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showInkAnnotation="0" defaultThemeVersion="124226"/>
  <mc:AlternateContent xmlns:mc="http://schemas.openxmlformats.org/markup-compatibility/2006">
    <mc:Choice Requires="x15">
      <x15ac:absPath xmlns:x15ac="http://schemas.microsoft.com/office/spreadsheetml/2010/11/ac" url="https://edisonintl-my.sharepoint.com/personal/jee_kim_sce_com/Documents/TO2024 Annual Update Filing/"/>
    </mc:Choice>
  </mc:AlternateContent>
  <xr:revisionPtr revIDLastSave="0" documentId="13_ncr:1_{8D5EE6A7-C326-4400-920C-291502B97E59}" xr6:coauthVersionLast="47" xr6:coauthVersionMax="47" xr10:uidLastSave="{00000000-0000-0000-0000-000000000000}"/>
  <bookViews>
    <workbookView xWindow="-110" yWindow="-110" windowWidth="19420" windowHeight="10420" tabRatio="896" firstSheet="1"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'21-RevenueCredits'!$A$1:$O$297</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'1-BaseTRR'!$A$1:$M$187</definedName>
    <definedName name="_xlnm.Print_Area" localSheetId="25">'20-AandG'!$A$1:$K$112</definedName>
    <definedName name="_xlnm.Print_Area" localSheetId="26">'21-RevenueCredits'!$A$1:$O$299</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'4-TUTRR'!$A$1:$J$108</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'9-ADIT-1'!$A$1:$J$161</definedName>
    <definedName name="_xlnm.Print_Area" localSheetId="13">'9-ADIT-2'!$A$1:$M$65</definedName>
    <definedName name="_xlnm.Print_Area" localSheetId="14">'9-ADIT-3'!$A$1:$I$55</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0" i="72" l="1"/>
  <c r="C31" i="57" l="1"/>
  <c r="H101" i="15" l="1"/>
  <c r="G106" i="15"/>
  <c r="G100" i="15"/>
  <c r="E106" i="15"/>
  <c r="E101" i="15"/>
  <c r="E100" i="15"/>
  <c r="E42" i="15"/>
  <c r="E41" i="15"/>
  <c r="E40" i="15"/>
  <c r="E38" i="15"/>
  <c r="E37" i="15"/>
  <c r="E36" i="15"/>
  <c r="H36" i="15" s="1"/>
  <c r="E35" i="15"/>
  <c r="G35" i="15" s="1"/>
  <c r="E34" i="15"/>
  <c r="H34" i="15" s="1"/>
  <c r="E33" i="15"/>
  <c r="E32" i="15"/>
  <c r="E31" i="15"/>
  <c r="H39" i="15"/>
  <c r="H33" i="15"/>
  <c r="H32" i="15"/>
  <c r="G43" i="15"/>
  <c r="G31" i="15"/>
  <c r="F44" i="26"/>
  <c r="D44" i="26" s="1"/>
  <c r="L138" i="4" l="1"/>
  <c r="L137" i="4"/>
  <c r="G37" i="26"/>
  <c r="D43" i="26" l="1"/>
  <c r="E251" i="61" l="1"/>
  <c r="N46" i="61" l="1"/>
  <c r="M46" i="61"/>
  <c r="J46" i="61"/>
  <c r="I46" i="61"/>
  <c r="G46" i="61"/>
  <c r="N38" i="61"/>
  <c r="M38" i="61"/>
  <c r="N37" i="61"/>
  <c r="M37" i="61"/>
  <c r="N36" i="61"/>
  <c r="M36" i="61"/>
  <c r="N35" i="61"/>
  <c r="M35" i="61"/>
  <c r="J38" i="61"/>
  <c r="G38" i="61"/>
  <c r="I38" i="61" s="1"/>
  <c r="J37" i="61"/>
  <c r="G37" i="61"/>
  <c r="I37" i="61" s="1"/>
  <c r="J36" i="61"/>
  <c r="I36" i="61"/>
  <c r="G36" i="61"/>
  <c r="J35" i="61"/>
  <c r="G35" i="61"/>
  <c r="I35" i="61" s="1"/>
  <c r="E232" i="61" l="1"/>
  <c r="N83" i="61"/>
  <c r="M83" i="61"/>
  <c r="J83" i="61" l="1"/>
  <c r="J86" i="61" s="1"/>
  <c r="G83" i="61"/>
  <c r="I83" i="61" s="1"/>
  <c r="L86" i="61"/>
  <c r="M86" i="61"/>
  <c r="E86" i="61"/>
  <c r="A61" i="15" l="1"/>
  <c r="D53" i="15"/>
  <c r="E25" i="12"/>
  <c r="G20" i="46" l="1"/>
  <c r="E17" i="66" l="1"/>
  <c r="G180" i="1" l="1"/>
  <c r="N185" i="61" l="1"/>
  <c r="J185" i="61"/>
  <c r="M185" i="61" s="1"/>
  <c r="G185" i="61"/>
  <c r="I185" i="61" s="1"/>
  <c r="N156" i="61"/>
  <c r="N155" i="61"/>
  <c r="N154" i="61"/>
  <c r="N153" i="61"/>
  <c r="N152" i="61"/>
  <c r="N151" i="61"/>
  <c r="J156" i="61"/>
  <c r="M156" i="61" s="1"/>
  <c r="G156" i="61"/>
  <c r="I156" i="61" s="1"/>
  <c r="J155" i="61"/>
  <c r="M155" i="61" s="1"/>
  <c r="G155" i="61"/>
  <c r="I155" i="61" s="1"/>
  <c r="J154" i="61"/>
  <c r="M154" i="61" s="1"/>
  <c r="G154" i="61"/>
  <c r="I154" i="61" s="1"/>
  <c r="J153" i="61"/>
  <c r="M153" i="61" s="1"/>
  <c r="G153" i="61"/>
  <c r="I153" i="61" s="1"/>
  <c r="J152" i="61"/>
  <c r="M152" i="61" s="1"/>
  <c r="G152" i="61"/>
  <c r="I152" i="61" s="1"/>
  <c r="J151" i="61"/>
  <c r="M151" i="61" s="1"/>
  <c r="G151" i="61"/>
  <c r="I151" i="61" s="1"/>
  <c r="N45" i="61"/>
  <c r="H126" i="15" l="1"/>
  <c r="G126" i="15"/>
  <c r="F126" i="15"/>
  <c r="E126" i="15"/>
  <c r="D126" i="15"/>
  <c r="H116" i="15"/>
  <c r="G116" i="15"/>
  <c r="F116" i="15"/>
  <c r="E116" i="15"/>
  <c r="D116" i="15"/>
  <c r="H85" i="15"/>
  <c r="G85" i="15"/>
  <c r="F85" i="15"/>
  <c r="F87" i="15" s="1"/>
  <c r="E85" i="15"/>
  <c r="D85" i="15"/>
  <c r="H64" i="15"/>
  <c r="G64" i="15"/>
  <c r="F64" i="15"/>
  <c r="E64" i="15"/>
  <c r="D64" i="15"/>
  <c r="H53" i="15"/>
  <c r="G53" i="15"/>
  <c r="F53" i="15"/>
  <c r="F66" i="15" s="1"/>
  <c r="F68" i="15" s="1"/>
  <c r="E53" i="15"/>
  <c r="E66" i="15" s="1"/>
  <c r="G146" i="15"/>
  <c r="G147" i="15" s="1"/>
  <c r="G154" i="15"/>
  <c r="G155" i="15" s="1"/>
  <c r="N31" i="61"/>
  <c r="N32" i="61"/>
  <c r="N33" i="61"/>
  <c r="F108" i="85"/>
  <c r="E108" i="85"/>
  <c r="G17" i="85"/>
  <c r="G97" i="85"/>
  <c r="D102" i="85"/>
  <c r="G102" i="85" s="1"/>
  <c r="E248" i="61" s="1"/>
  <c r="N248" i="61" s="1"/>
  <c r="N250" i="61" s="1"/>
  <c r="L11" i="46"/>
  <c r="E6" i="66"/>
  <c r="E41" i="30"/>
  <c r="D22" i="30" s="1"/>
  <c r="L250" i="61"/>
  <c r="H250" i="61"/>
  <c r="J248" i="61"/>
  <c r="J250" i="61" s="1"/>
  <c r="G248" i="61"/>
  <c r="I248" i="61" s="1"/>
  <c r="I250" i="61" s="1"/>
  <c r="H8" i="26"/>
  <c r="D49" i="85"/>
  <c r="G86" i="85"/>
  <c r="F183" i="1" s="1"/>
  <c r="H183" i="1" s="1"/>
  <c r="K47" i="1" s="1"/>
  <c r="G85" i="85"/>
  <c r="F182" i="1" s="1"/>
  <c r="H182" i="1" s="1"/>
  <c r="K46" i="1" s="1"/>
  <c r="B125" i="46"/>
  <c r="G49" i="85"/>
  <c r="H19" i="26"/>
  <c r="H18" i="26"/>
  <c r="H17" i="26"/>
  <c r="H16" i="26"/>
  <c r="H15" i="26"/>
  <c r="H14" i="26"/>
  <c r="H13" i="26"/>
  <c r="H12" i="26"/>
  <c r="H11" i="26"/>
  <c r="H10" i="26"/>
  <c r="H9" i="26"/>
  <c r="H7" i="26"/>
  <c r="H6" i="26"/>
  <c r="G101" i="85"/>
  <c r="G100" i="85"/>
  <c r="G99" i="85"/>
  <c r="G98" i="85"/>
  <c r="G90" i="85"/>
  <c r="G89" i="85"/>
  <c r="G88" i="85"/>
  <c r="G87" i="85"/>
  <c r="F184" i="1" s="1"/>
  <c r="H184" i="1" s="1"/>
  <c r="K48" i="1" s="1"/>
  <c r="G84" i="85"/>
  <c r="F181" i="1"/>
  <c r="H181" i="1" s="1"/>
  <c r="K45" i="1" s="1"/>
  <c r="G76" i="85"/>
  <c r="G68" i="85"/>
  <c r="G67" i="85"/>
  <c r="G66" i="85"/>
  <c r="G65" i="85"/>
  <c r="G64" i="85"/>
  <c r="G63" i="85"/>
  <c r="G62" i="85"/>
  <c r="G61" i="85"/>
  <c r="G60" i="85"/>
  <c r="G59" i="85"/>
  <c r="G58" i="85"/>
  <c r="G57" i="85"/>
  <c r="G56" i="85"/>
  <c r="G55" i="85"/>
  <c r="G47" i="85"/>
  <c r="J42" i="46"/>
  <c r="M42" i="46" s="1"/>
  <c r="E105" i="46" s="1"/>
  <c r="G46" i="85"/>
  <c r="J40" i="46" s="1"/>
  <c r="M40" i="46" s="1"/>
  <c r="E103" i="46" s="1"/>
  <c r="G45" i="85"/>
  <c r="J39" i="46" s="1"/>
  <c r="M39" i="46" s="1"/>
  <c r="E102" i="46" s="1"/>
  <c r="I102" i="46" s="1"/>
  <c r="G44" i="85"/>
  <c r="J38" i="46"/>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c r="M32" i="46" s="1"/>
  <c r="E95" i="46" s="1"/>
  <c r="G37" i="85"/>
  <c r="J31" i="46"/>
  <c r="M31" i="46" s="1"/>
  <c r="E94" i="46" s="1"/>
  <c r="I94" i="46" s="1"/>
  <c r="G36" i="85"/>
  <c r="J30" i="46"/>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c r="M24" i="46" s="1"/>
  <c r="E87" i="46" s="1"/>
  <c r="G29" i="85"/>
  <c r="J23" i="46"/>
  <c r="M23" i="46" s="1"/>
  <c r="E86" i="46" s="1"/>
  <c r="I86" i="46" s="1"/>
  <c r="G28" i="85"/>
  <c r="J22" i="46"/>
  <c r="M22" i="46" s="1"/>
  <c r="E85" i="46" s="1"/>
  <c r="I85" i="46" s="1"/>
  <c r="G27" i="85"/>
  <c r="J21" i="46" s="1"/>
  <c r="M21" i="46" s="1"/>
  <c r="E84" i="46" s="1"/>
  <c r="I84" i="46" s="1"/>
  <c r="G26" i="85"/>
  <c r="J20" i="46" s="1"/>
  <c r="M20" i="46" s="1"/>
  <c r="E83" i="46" s="1"/>
  <c r="G25" i="85"/>
  <c r="J19" i="46" s="1"/>
  <c r="M19" i="46" s="1"/>
  <c r="E82" i="46" s="1"/>
  <c r="G24" i="85"/>
  <c r="J18" i="46"/>
  <c r="M18" i="46"/>
  <c r="E81" i="46" s="1"/>
  <c r="I81" i="46" s="1"/>
  <c r="G23" i="85"/>
  <c r="J17" i="46" s="1"/>
  <c r="M17" i="46" s="1"/>
  <c r="E80" i="46" s="1"/>
  <c r="I80" i="46" s="1"/>
  <c r="G22" i="85"/>
  <c r="J16" i="46" s="1"/>
  <c r="M16" i="46" s="1"/>
  <c r="E79" i="46" s="1"/>
  <c r="G21" i="85"/>
  <c r="J15" i="46"/>
  <c r="M15" i="46" s="1"/>
  <c r="E78" i="46" s="1"/>
  <c r="I78" i="46" s="1"/>
  <c r="G20" i="85"/>
  <c r="J14" i="46"/>
  <c r="M14" i="46" s="1"/>
  <c r="E77" i="46" s="1"/>
  <c r="I77" i="46" s="1"/>
  <c r="G19" i="85"/>
  <c r="J13" i="46" s="1"/>
  <c r="M13" i="46" s="1"/>
  <c r="E76" i="46" s="1"/>
  <c r="G18" i="85"/>
  <c r="J12" i="46" s="1"/>
  <c r="J11" i="46"/>
  <c r="F70" i="85"/>
  <c r="E70" i="85"/>
  <c r="F49" i="85"/>
  <c r="E49" i="85"/>
  <c r="F77" i="85"/>
  <c r="E77" i="85"/>
  <c r="F102" i="85"/>
  <c r="E102" i="85"/>
  <c r="F91" i="85"/>
  <c r="E91" i="85"/>
  <c r="D70" i="85"/>
  <c r="G70" i="85" s="1"/>
  <c r="D77" i="85"/>
  <c r="G77" i="85" s="1"/>
  <c r="F180" i="1" s="1"/>
  <c r="H180" i="1" s="1"/>
  <c r="K39" i="1" s="1"/>
  <c r="D91" i="85"/>
  <c r="G91" i="85" s="1"/>
  <c r="A6" i="85"/>
  <c r="A7" i="85"/>
  <c r="A8" i="85"/>
  <c r="A17" i="85"/>
  <c r="M11" i="46"/>
  <c r="E74" i="46" s="1"/>
  <c r="F187" i="1"/>
  <c r="H187" i="1"/>
  <c r="K51" i="1" s="1"/>
  <c r="F185" i="1"/>
  <c r="H185" i="1" s="1"/>
  <c r="K49" i="1" s="1"/>
  <c r="F186" i="1"/>
  <c r="H186" i="1" s="1"/>
  <c r="K50" i="1" s="1"/>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H72" i="44"/>
  <c r="E28" i="53"/>
  <c r="H130" i="53"/>
  <c r="J14" i="53"/>
  <c r="N220" i="61"/>
  <c r="N221" i="61"/>
  <c r="N222" i="61"/>
  <c r="N223" i="61"/>
  <c r="N224" i="61"/>
  <c r="N225" i="61"/>
  <c r="N226" i="61"/>
  <c r="N227" i="61"/>
  <c r="N228" i="61"/>
  <c r="G220" i="61"/>
  <c r="I220" i="61" s="1"/>
  <c r="J220" i="61"/>
  <c r="M220" i="61" s="1"/>
  <c r="G221" i="61"/>
  <c r="I221" i="61" s="1"/>
  <c r="J221" i="61"/>
  <c r="M221" i="61" s="1"/>
  <c r="G222" i="61"/>
  <c r="I222" i="61" s="1"/>
  <c r="J222" i="61"/>
  <c r="M222" i="61" s="1"/>
  <c r="G223" i="61"/>
  <c r="I223" i="61"/>
  <c r="J223" i="61"/>
  <c r="M223" i="61" s="1"/>
  <c r="G224" i="61"/>
  <c r="I224" i="61" s="1"/>
  <c r="J224" i="61"/>
  <c r="M224" i="61" s="1"/>
  <c r="G225" i="61"/>
  <c r="I225" i="61" s="1"/>
  <c r="J225" i="61"/>
  <c r="M225" i="61" s="1"/>
  <c r="G226" i="61"/>
  <c r="I226" i="61" s="1"/>
  <c r="J226" i="61"/>
  <c r="M226" i="61" s="1"/>
  <c r="G227" i="61"/>
  <c r="I227" i="61" s="1"/>
  <c r="J227" i="61"/>
  <c r="M227" i="61" s="1"/>
  <c r="G228" i="61"/>
  <c r="I228" i="61" s="1"/>
  <c r="J228" i="61"/>
  <c r="M228" i="61" s="1"/>
  <c r="N150" i="61"/>
  <c r="J150" i="61"/>
  <c r="M150" i="61" s="1"/>
  <c r="G150" i="61"/>
  <c r="I150" i="61" s="1"/>
  <c r="N82" i="61"/>
  <c r="J82" i="61"/>
  <c r="M82" i="61" s="1"/>
  <c r="G82" i="61"/>
  <c r="I82" i="61" s="1"/>
  <c r="N81" i="61"/>
  <c r="J81" i="61"/>
  <c r="M81" i="61" s="1"/>
  <c r="G81" i="61"/>
  <c r="I81" i="61" s="1"/>
  <c r="J45" i="61"/>
  <c r="M45" i="61" s="1"/>
  <c r="G45" i="61"/>
  <c r="I45" i="61" s="1"/>
  <c r="N44" i="61"/>
  <c r="N49" i="61" s="1"/>
  <c r="J44" i="61"/>
  <c r="M44" i="61" s="1"/>
  <c r="G44" i="61"/>
  <c r="N34" i="61"/>
  <c r="J34" i="61"/>
  <c r="M34" i="61" s="1"/>
  <c r="G34" i="61"/>
  <c r="I34" i="61" s="1"/>
  <c r="J33" i="61"/>
  <c r="M33" i="61" s="1"/>
  <c r="G33" i="61"/>
  <c r="I33" i="61" s="1"/>
  <c r="J32" i="61"/>
  <c r="M32" i="61" s="1"/>
  <c r="G32" i="61"/>
  <c r="I32" i="61" s="1"/>
  <c r="J31" i="61"/>
  <c r="M31" i="61" s="1"/>
  <c r="G31" i="61"/>
  <c r="I31" i="61" s="1"/>
  <c r="E41" i="61"/>
  <c r="E86" i="4"/>
  <c r="A121" i="15"/>
  <c r="A122" i="15" s="1"/>
  <c r="A123" i="15" s="1"/>
  <c r="A99" i="15"/>
  <c r="A100" i="15" s="1"/>
  <c r="A101" i="15" s="1"/>
  <c r="A102" i="15" s="1"/>
  <c r="A103" i="15" s="1"/>
  <c r="A104" i="15" s="1"/>
  <c r="A105" i="15" s="1"/>
  <c r="A106" i="15" s="1"/>
  <c r="A107" i="15" s="1"/>
  <c r="A114" i="15" s="1"/>
  <c r="A78" i="15"/>
  <c r="A79" i="15" s="1"/>
  <c r="A80" i="15" s="1"/>
  <c r="A81" i="15" s="1"/>
  <c r="A82" i="15" s="1"/>
  <c r="A58" i="15"/>
  <c r="A59" i="15" s="1"/>
  <c r="A60" i="15" s="1"/>
  <c r="A32" i="15"/>
  <c r="A33" i="15" s="1"/>
  <c r="A34" i="15" s="1"/>
  <c r="A35" i="15" s="1"/>
  <c r="A36" i="15" s="1"/>
  <c r="A37" i="15" s="1"/>
  <c r="A38" i="15" s="1"/>
  <c r="A39" i="15" s="1"/>
  <c r="A40" i="15" s="1"/>
  <c r="A41" i="15" s="1"/>
  <c r="A42" i="15" s="1"/>
  <c r="A43" i="15" s="1"/>
  <c r="D14" i="49"/>
  <c r="D15" i="49"/>
  <c r="D16" i="49"/>
  <c r="D17" i="49"/>
  <c r="D18" i="49"/>
  <c r="D19" i="49"/>
  <c r="D20" i="49"/>
  <c r="D21" i="49"/>
  <c r="D22" i="49"/>
  <c r="D23" i="49"/>
  <c r="D24" i="49"/>
  <c r="D25" i="49"/>
  <c r="J54" i="49" s="1"/>
  <c r="D13" i="49"/>
  <c r="F86" i="4"/>
  <c r="F104" i="4" s="1"/>
  <c r="G86" i="4"/>
  <c r="G104" i="4" s="1"/>
  <c r="H86" i="4"/>
  <c r="I86" i="4"/>
  <c r="I104" i="4" s="1"/>
  <c r="J86" i="4"/>
  <c r="J104" i="4" s="1"/>
  <c r="K86" i="4"/>
  <c r="L86" i="4"/>
  <c r="H89" i="65"/>
  <c r="G89" i="65"/>
  <c r="F89" i="65"/>
  <c r="E89" i="65"/>
  <c r="D89" i="65"/>
  <c r="C89" i="65"/>
  <c r="A184" i="71"/>
  <c r="A185" i="71"/>
  <c r="A186" i="71"/>
  <c r="E20" i="71"/>
  <c r="D20" i="71"/>
  <c r="F20" i="71"/>
  <c r="F37" i="11"/>
  <c r="G20" i="71"/>
  <c r="G37" i="11"/>
  <c r="E37" i="11"/>
  <c r="H37" i="11"/>
  <c r="G19" i="71"/>
  <c r="G18" i="71"/>
  <c r="H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J418" i="49"/>
  <c r="I475" i="49"/>
  <c r="E475" i="49"/>
  <c r="F475" i="49"/>
  <c r="I474" i="49"/>
  <c r="E474" i="49"/>
  <c r="F474" i="49"/>
  <c r="I473" i="49"/>
  <c r="E473" i="49"/>
  <c r="F473" i="49"/>
  <c r="I472" i="49"/>
  <c r="E472" i="49"/>
  <c r="F472" i="49"/>
  <c r="I471" i="49"/>
  <c r="E471" i="49"/>
  <c r="F471" i="49"/>
  <c r="I470" i="49"/>
  <c r="E470" i="49"/>
  <c r="F470" i="49"/>
  <c r="I469" i="49"/>
  <c r="E469" i="49"/>
  <c r="F469" i="49"/>
  <c r="I468" i="49"/>
  <c r="E468" i="49"/>
  <c r="F468" i="49"/>
  <c r="I467" i="49"/>
  <c r="E467" i="49"/>
  <c r="F467" i="49"/>
  <c r="I466" i="49"/>
  <c r="E466" i="49"/>
  <c r="F466" i="49"/>
  <c r="I465" i="49"/>
  <c r="E465" i="49"/>
  <c r="F465" i="49"/>
  <c r="I464" i="49"/>
  <c r="E464" i="49"/>
  <c r="F464" i="49"/>
  <c r="I463" i="49"/>
  <c r="E463" i="49"/>
  <c r="F463" i="49"/>
  <c r="I462" i="49"/>
  <c r="E462" i="49"/>
  <c r="F462" i="49"/>
  <c r="I461" i="49"/>
  <c r="E461" i="49"/>
  <c r="F461" i="49"/>
  <c r="I460" i="49"/>
  <c r="E460" i="49"/>
  <c r="F460" i="49"/>
  <c r="I459" i="49"/>
  <c r="E459" i="49"/>
  <c r="F459" i="49"/>
  <c r="I458" i="49"/>
  <c r="E458" i="49"/>
  <c r="F458" i="49"/>
  <c r="I457" i="49"/>
  <c r="E457" i="49"/>
  <c r="F457" i="49"/>
  <c r="I456" i="49"/>
  <c r="E456" i="49"/>
  <c r="F456" i="49"/>
  <c r="I455" i="49"/>
  <c r="E455" i="49"/>
  <c r="F455" i="49"/>
  <c r="I454" i="49"/>
  <c r="E454" i="49"/>
  <c r="F454" i="49"/>
  <c r="I453" i="49"/>
  <c r="E453" i="49"/>
  <c r="F453" i="49"/>
  <c r="I452" i="49"/>
  <c r="E452" i="49"/>
  <c r="F452" i="49"/>
  <c r="J452" i="49"/>
  <c r="K450" i="49"/>
  <c r="J450" i="49"/>
  <c r="I450" i="49"/>
  <c r="H450" i="49"/>
  <c r="F450" i="49"/>
  <c r="E450" i="49"/>
  <c r="D450" i="49"/>
  <c r="K449" i="49"/>
  <c r="J449" i="49"/>
  <c r="I449" i="49"/>
  <c r="H449" i="49"/>
  <c r="F449" i="49"/>
  <c r="E449" i="49"/>
  <c r="D449"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K476" i="49"/>
  <c r="I46" i="49"/>
  <c r="F36" i="11" s="1"/>
  <c r="D74" i="49"/>
  <c r="L159" i="61"/>
  <c r="G77" i="48"/>
  <c r="H77" i="48" s="1"/>
  <c r="H14" i="48" s="1"/>
  <c r="G78" i="48"/>
  <c r="G79" i="48"/>
  <c r="H79" i="48" s="1"/>
  <c r="H16" i="48" s="1"/>
  <c r="G80" i="48"/>
  <c r="H80" i="48" s="1"/>
  <c r="I80" i="48" s="1"/>
  <c r="G81" i="48"/>
  <c r="H81" i="48" s="1"/>
  <c r="G82" i="48"/>
  <c r="H82" i="48" s="1"/>
  <c r="H19" i="48" s="1"/>
  <c r="G83" i="48"/>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H83" i="48"/>
  <c r="I83" i="48" s="1"/>
  <c r="H78" i="48"/>
  <c r="H15" i="48" s="1"/>
  <c r="M76" i="48"/>
  <c r="H46" i="49"/>
  <c r="E18" i="71" s="1"/>
  <c r="N182" i="61"/>
  <c r="N183" i="61"/>
  <c r="N184" i="61"/>
  <c r="F25" i="65"/>
  <c r="H24" i="65"/>
  <c r="J24" i="65" s="1"/>
  <c r="L24" i="65" s="1"/>
  <c r="N30" i="61"/>
  <c r="J30" i="61"/>
  <c r="M30" i="61" s="1"/>
  <c r="G30" i="61"/>
  <c r="I30" i="61" s="1"/>
  <c r="L231" i="61"/>
  <c r="E231" i="61"/>
  <c r="J184" i="61"/>
  <c r="M184" i="61" s="1"/>
  <c r="G184" i="61"/>
  <c r="I184" i="61" s="1"/>
  <c r="J183" i="61"/>
  <c r="M183" i="61" s="1"/>
  <c r="G183" i="61"/>
  <c r="I183" i="61" s="1"/>
  <c r="J182" i="61"/>
  <c r="M182" i="61" s="1"/>
  <c r="G182" i="61"/>
  <c r="I182" i="61" s="1"/>
  <c r="J80" i="61"/>
  <c r="M80" i="61" s="1"/>
  <c r="G80" i="61"/>
  <c r="I80" i="61" s="1"/>
  <c r="N149" i="61"/>
  <c r="N148" i="61"/>
  <c r="N147" i="61"/>
  <c r="N146" i="61"/>
  <c r="J149" i="61"/>
  <c r="M149" i="61" s="1"/>
  <c r="G149" i="61"/>
  <c r="I149" i="61" s="1"/>
  <c r="J148" i="61"/>
  <c r="M148" i="61" s="1"/>
  <c r="G148" i="61"/>
  <c r="I148" i="61" s="1"/>
  <c r="J147" i="61"/>
  <c r="M147" i="61" s="1"/>
  <c r="G147" i="61"/>
  <c r="I147" i="61" s="1"/>
  <c r="J146" i="61"/>
  <c r="M146" i="61" s="1"/>
  <c r="G146" i="61"/>
  <c r="I146" i="61" s="1"/>
  <c r="N80" i="61"/>
  <c r="N79" i="61"/>
  <c r="J79" i="61"/>
  <c r="M79" i="61" s="1"/>
  <c r="G79" i="61"/>
  <c r="I79" i="61" s="1"/>
  <c r="N29" i="61"/>
  <c r="N28" i="61"/>
  <c r="G27" i="61"/>
  <c r="J29" i="61"/>
  <c r="M29" i="61" s="1"/>
  <c r="G29" i="61"/>
  <c r="I29" i="61" s="1"/>
  <c r="J28" i="61"/>
  <c r="M28" i="61" s="1"/>
  <c r="G28" i="61"/>
  <c r="I28" i="61" s="1"/>
  <c r="N219" i="61"/>
  <c r="N218" i="61"/>
  <c r="G218" i="61"/>
  <c r="I218" i="61" s="1"/>
  <c r="J218" i="61"/>
  <c r="M218" i="61" s="1"/>
  <c r="G219" i="61"/>
  <c r="I219" i="61" s="1"/>
  <c r="J219" i="61"/>
  <c r="M219" i="61" s="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F68" i="48" s="1"/>
  <c r="F36" i="48" s="1"/>
  <c r="G78" i="49"/>
  <c r="E68" i="48" s="1"/>
  <c r="E36" i="48" s="1"/>
  <c r="D78" i="49"/>
  <c r="H77" i="49"/>
  <c r="F67" i="48" s="1"/>
  <c r="F35" i="48" s="1"/>
  <c r="G77" i="49"/>
  <c r="E67" i="48" s="1"/>
  <c r="E35" i="48" s="1"/>
  <c r="D77" i="49"/>
  <c r="H76" i="49"/>
  <c r="F66" i="48" s="1"/>
  <c r="F34" i="48" s="1"/>
  <c r="G76" i="49"/>
  <c r="D76" i="49"/>
  <c r="H75" i="49"/>
  <c r="F65" i="48" s="1"/>
  <c r="F33" i="48" s="1"/>
  <c r="G75" i="49"/>
  <c r="E65" i="48" s="1"/>
  <c r="E33" i="48" s="1"/>
  <c r="D75" i="49"/>
  <c r="H74" i="49"/>
  <c r="F64" i="48" s="1"/>
  <c r="F32" i="48" s="1"/>
  <c r="G74" i="49"/>
  <c r="E64" i="48" s="1"/>
  <c r="E32" i="48" s="1"/>
  <c r="H73" i="49"/>
  <c r="F63" i="48" s="1"/>
  <c r="F31" i="48" s="1"/>
  <c r="G73" i="49"/>
  <c r="E63" i="48" s="1"/>
  <c r="E31" i="48" s="1"/>
  <c r="D73" i="49"/>
  <c r="H72" i="49"/>
  <c r="F62" i="48" s="1"/>
  <c r="F30" i="48" s="1"/>
  <c r="G72" i="49"/>
  <c r="E62" i="48" s="1"/>
  <c r="E30" i="48" s="1"/>
  <c r="D72" i="49"/>
  <c r="H71" i="49"/>
  <c r="F61" i="48" s="1"/>
  <c r="F29" i="48" s="1"/>
  <c r="G71" i="49"/>
  <c r="E61" i="48" s="1"/>
  <c r="E29" i="48" s="1"/>
  <c r="D71" i="49"/>
  <c r="H70" i="49"/>
  <c r="F60" i="48" s="1"/>
  <c r="F28" i="48" s="1"/>
  <c r="G70" i="49"/>
  <c r="E60" i="48" s="1"/>
  <c r="E28" i="48" s="1"/>
  <c r="D70" i="49"/>
  <c r="H69" i="49"/>
  <c r="F59" i="48" s="1"/>
  <c r="F27" i="48" s="1"/>
  <c r="G69" i="49"/>
  <c r="E59" i="48" s="1"/>
  <c r="E27" i="48" s="1"/>
  <c r="D69" i="49"/>
  <c r="H68" i="49"/>
  <c r="F58" i="48" s="1"/>
  <c r="F26" i="48" s="1"/>
  <c r="G68" i="49"/>
  <c r="E58" i="48" s="1"/>
  <c r="E26" i="48" s="1"/>
  <c r="D68" i="49"/>
  <c r="H67" i="49"/>
  <c r="F57" i="48" s="1"/>
  <c r="F25" i="48" s="1"/>
  <c r="G67" i="49"/>
  <c r="E57" i="48" s="1"/>
  <c r="E25" i="48" s="1"/>
  <c r="D67" i="49"/>
  <c r="H66" i="49"/>
  <c r="F56" i="48" s="1"/>
  <c r="F24" i="48" s="1"/>
  <c r="G66" i="49"/>
  <c r="E56" i="48" s="1"/>
  <c r="E24" i="48" s="1"/>
  <c r="D66" i="49"/>
  <c r="H65" i="49"/>
  <c r="F55" i="48" s="1"/>
  <c r="F23" i="48" s="1"/>
  <c r="G65" i="49"/>
  <c r="E55" i="48" s="1"/>
  <c r="E23" i="48" s="1"/>
  <c r="D65" i="49"/>
  <c r="H64" i="49"/>
  <c r="F54" i="48" s="1"/>
  <c r="F22" i="48" s="1"/>
  <c r="G64" i="49"/>
  <c r="E54" i="48" s="1"/>
  <c r="E22" i="48" s="1"/>
  <c r="D64" i="49"/>
  <c r="H63" i="49"/>
  <c r="F53" i="48" s="1"/>
  <c r="F21" i="48" s="1"/>
  <c r="G63" i="49"/>
  <c r="E53" i="48" s="1"/>
  <c r="E21" i="48" s="1"/>
  <c r="D63" i="49"/>
  <c r="H62" i="49"/>
  <c r="F52" i="48" s="1"/>
  <c r="F20" i="48" s="1"/>
  <c r="G62" i="49"/>
  <c r="E52" i="48" s="1"/>
  <c r="E20" i="48" s="1"/>
  <c r="D62" i="49"/>
  <c r="H61" i="49"/>
  <c r="F51" i="48" s="1"/>
  <c r="F19" i="48" s="1"/>
  <c r="G61" i="49"/>
  <c r="E51" i="48" s="1"/>
  <c r="E19" i="48" s="1"/>
  <c r="D61" i="49"/>
  <c r="H60" i="49"/>
  <c r="F50" i="48" s="1"/>
  <c r="F18" i="48" s="1"/>
  <c r="G60" i="49"/>
  <c r="E50" i="48" s="1"/>
  <c r="E18" i="48" s="1"/>
  <c r="D60" i="49"/>
  <c r="H59" i="49"/>
  <c r="F49" i="48" s="1"/>
  <c r="F17" i="48" s="1"/>
  <c r="G59" i="49"/>
  <c r="E49" i="48" s="1"/>
  <c r="E17" i="48" s="1"/>
  <c r="D59" i="49"/>
  <c r="H58" i="49"/>
  <c r="F48" i="48" s="1"/>
  <c r="F16" i="48" s="1"/>
  <c r="G58" i="49"/>
  <c r="E48" i="48" s="1"/>
  <c r="E16" i="48" s="1"/>
  <c r="D58" i="49"/>
  <c r="H57" i="49"/>
  <c r="F47" i="48" s="1"/>
  <c r="F15" i="48" s="1"/>
  <c r="G57" i="49"/>
  <c r="E47" i="48" s="1"/>
  <c r="E15" i="48" s="1"/>
  <c r="D57" i="49"/>
  <c r="H56" i="49"/>
  <c r="F46" i="48" s="1"/>
  <c r="F14" i="48" s="1"/>
  <c r="G56" i="49"/>
  <c r="E46" i="48" s="1"/>
  <c r="E14" i="48" s="1"/>
  <c r="D56" i="49"/>
  <c r="H55" i="49"/>
  <c r="F45" i="48" s="1"/>
  <c r="F13" i="48" s="1"/>
  <c r="G55" i="49"/>
  <c r="E45" i="48" s="1"/>
  <c r="E13" i="48" s="1"/>
  <c r="D55" i="49"/>
  <c r="H47" i="83"/>
  <c r="H46" i="83"/>
  <c r="H45" i="83"/>
  <c r="H44" i="83"/>
  <c r="I44" i="83" s="1"/>
  <c r="K41" i="84" s="1"/>
  <c r="H43" i="83"/>
  <c r="I43" i="83" s="1"/>
  <c r="K40" i="84" s="1"/>
  <c r="H42" i="83"/>
  <c r="I42" i="83" s="1"/>
  <c r="K39" i="84" s="1"/>
  <c r="H41" i="83"/>
  <c r="H40" i="83"/>
  <c r="H39" i="83"/>
  <c r="I39" i="83" s="1"/>
  <c r="K36" i="84" s="1"/>
  <c r="H38" i="83"/>
  <c r="I38" i="83" s="1"/>
  <c r="K35" i="84" s="1"/>
  <c r="H37" i="83"/>
  <c r="I37" i="83" s="1"/>
  <c r="K34" i="84" s="1"/>
  <c r="H36" i="83"/>
  <c r="I36" i="83" s="1"/>
  <c r="K33" i="84" s="1"/>
  <c r="H35" i="83"/>
  <c r="H34" i="83"/>
  <c r="I34" i="83"/>
  <c r="K31" i="84" s="1"/>
  <c r="E49" i="83"/>
  <c r="D49" i="83"/>
  <c r="F47" i="83"/>
  <c r="G47" i="83"/>
  <c r="I47" i="83"/>
  <c r="K44" i="84" s="1"/>
  <c r="F46" i="83"/>
  <c r="G46" i="83"/>
  <c r="I46" i="83"/>
  <c r="K43" i="84" s="1"/>
  <c r="F45" i="83"/>
  <c r="G45" i="83"/>
  <c r="I45" i="83"/>
  <c r="K42" i="84"/>
  <c r="F44" i="83"/>
  <c r="G44" i="83"/>
  <c r="G43" i="83"/>
  <c r="F43" i="83"/>
  <c r="F42" i="83"/>
  <c r="G42" i="83"/>
  <c r="F41" i="83"/>
  <c r="G41" i="83"/>
  <c r="I41" i="83"/>
  <c r="K38" i="84" s="1"/>
  <c r="F40" i="83"/>
  <c r="G40" i="83"/>
  <c r="I40" i="83"/>
  <c r="K37" i="84" s="1"/>
  <c r="L37" i="84" s="1"/>
  <c r="F39" i="83"/>
  <c r="G39" i="83"/>
  <c r="F38" i="83"/>
  <c r="G38" i="83"/>
  <c r="F37" i="83"/>
  <c r="G37" i="83"/>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L43" i="84" s="1"/>
  <c r="J42" i="84"/>
  <c r="L42" i="84" s="1"/>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E18" i="57" s="1"/>
  <c r="D16" i="57"/>
  <c r="E15" i="57"/>
  <c r="D15" i="57"/>
  <c r="C15" i="57" s="1"/>
  <c r="E11" i="57"/>
  <c r="D11" i="57"/>
  <c r="E10" i="57"/>
  <c r="C10" i="57" s="1"/>
  <c r="D10" i="57"/>
  <c r="E42" i="30"/>
  <c r="E22" i="30" s="1"/>
  <c r="E37" i="4"/>
  <c r="D37" i="4"/>
  <c r="C37" i="4"/>
  <c r="M82" i="4"/>
  <c r="M85" i="4"/>
  <c r="M84" i="4"/>
  <c r="M83" i="4"/>
  <c r="M81" i="4"/>
  <c r="M80" i="4"/>
  <c r="M79" i="4"/>
  <c r="M78" i="4"/>
  <c r="M77" i="4"/>
  <c r="M76" i="4"/>
  <c r="M75" i="4"/>
  <c r="M74" i="4"/>
  <c r="E103" i="4"/>
  <c r="E102" i="4"/>
  <c r="E101" i="4"/>
  <c r="E100" i="4"/>
  <c r="E99" i="4"/>
  <c r="E97" i="4"/>
  <c r="E96" i="4"/>
  <c r="E95" i="4"/>
  <c r="E94" i="4"/>
  <c r="E151" i="4" s="1"/>
  <c r="E93" i="4"/>
  <c r="L103" i="4"/>
  <c r="L102" i="4"/>
  <c r="L101" i="4"/>
  <c r="L100" i="4"/>
  <c r="L99" i="4"/>
  <c r="L98" i="4"/>
  <c r="L97" i="4"/>
  <c r="L96" i="4"/>
  <c r="L95" i="4"/>
  <c r="L94" i="4"/>
  <c r="L93" i="4"/>
  <c r="K98" i="4"/>
  <c r="K103" i="4"/>
  <c r="K102" i="4"/>
  <c r="K159" i="4" s="1"/>
  <c r="K101" i="4"/>
  <c r="K100" i="4"/>
  <c r="K99" i="4"/>
  <c r="K97" i="4"/>
  <c r="K96" i="4"/>
  <c r="K95" i="4"/>
  <c r="K94" i="4"/>
  <c r="K93" i="4"/>
  <c r="K150" i="4" s="1"/>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153" i="4" s="1"/>
  <c r="G95" i="4"/>
  <c r="G94" i="4"/>
  <c r="G93" i="4"/>
  <c r="F103" i="4"/>
  <c r="F102" i="4"/>
  <c r="F101" i="4"/>
  <c r="F100" i="4"/>
  <c r="F99" i="4"/>
  <c r="F156" i="4" s="1"/>
  <c r="F98" i="4"/>
  <c r="F155" i="4" s="1"/>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6" i="4"/>
  <c r="L135" i="4"/>
  <c r="L134" i="4"/>
  <c r="L133" i="4"/>
  <c r="L132" i="4"/>
  <c r="L131" i="4"/>
  <c r="K142" i="4"/>
  <c r="K141" i="4"/>
  <c r="K140" i="4"/>
  <c r="K139" i="4"/>
  <c r="K138" i="4"/>
  <c r="K137" i="4"/>
  <c r="K136" i="4"/>
  <c r="K135" i="4"/>
  <c r="K154" i="4" s="1"/>
  <c r="K134" i="4"/>
  <c r="K153" i="4" s="1"/>
  <c r="K133" i="4"/>
  <c r="K132" i="4"/>
  <c r="K151" i="4" s="1"/>
  <c r="K131" i="4"/>
  <c r="J139" i="4"/>
  <c r="J142" i="4"/>
  <c r="J141" i="4"/>
  <c r="J140" i="4"/>
  <c r="J138" i="4"/>
  <c r="J157" i="4" s="1"/>
  <c r="J137" i="4"/>
  <c r="J136" i="4"/>
  <c r="J135" i="4"/>
  <c r="J134" i="4"/>
  <c r="J133" i="4"/>
  <c r="J132" i="4"/>
  <c r="J131" i="4"/>
  <c r="I142" i="4"/>
  <c r="I141" i="4"/>
  <c r="I160" i="4" s="1"/>
  <c r="I140" i="4"/>
  <c r="I159" i="4" s="1"/>
  <c r="I139" i="4"/>
  <c r="I158" i="4" s="1"/>
  <c r="I138" i="4"/>
  <c r="I137" i="4"/>
  <c r="I136" i="4"/>
  <c r="I135" i="4"/>
  <c r="I134" i="4"/>
  <c r="I133" i="4"/>
  <c r="I132" i="4"/>
  <c r="I151" i="4" s="1"/>
  <c r="I131" i="4"/>
  <c r="H142" i="4"/>
  <c r="H141" i="4"/>
  <c r="H140" i="4"/>
  <c r="H139" i="4"/>
  <c r="H158" i="4" s="1"/>
  <c r="H138" i="4"/>
  <c r="H137" i="4"/>
  <c r="H136" i="4"/>
  <c r="H135" i="4"/>
  <c r="H154" i="4" s="1"/>
  <c r="H134" i="4"/>
  <c r="H153" i="4" s="1"/>
  <c r="H133" i="4"/>
  <c r="H132" i="4"/>
  <c r="H131" i="4"/>
  <c r="G141" i="4"/>
  <c r="G142" i="4"/>
  <c r="G140" i="4"/>
  <c r="G139" i="4"/>
  <c r="G138" i="4"/>
  <c r="G137" i="4"/>
  <c r="G136" i="4"/>
  <c r="G135" i="4"/>
  <c r="G154" i="4" s="1"/>
  <c r="G134" i="4"/>
  <c r="G133" i="4"/>
  <c r="G132" i="4"/>
  <c r="G131" i="4"/>
  <c r="D138" i="4"/>
  <c r="D142" i="4"/>
  <c r="E141" i="4"/>
  <c r="E142" i="4"/>
  <c r="E140" i="4"/>
  <c r="E139" i="4"/>
  <c r="E158" i="4" s="1"/>
  <c r="E138" i="4"/>
  <c r="E137" i="4"/>
  <c r="E156" i="4" s="1"/>
  <c r="E136" i="4"/>
  <c r="E135" i="4"/>
  <c r="E134" i="4"/>
  <c r="F138" i="4"/>
  <c r="F142" i="4"/>
  <c r="F141" i="4"/>
  <c r="F140" i="4"/>
  <c r="F139" i="4"/>
  <c r="F137" i="4"/>
  <c r="F136" i="4"/>
  <c r="F135" i="4"/>
  <c r="F134" i="4"/>
  <c r="F133" i="4"/>
  <c r="F132" i="4"/>
  <c r="F151" i="4" s="1"/>
  <c r="F131" i="4"/>
  <c r="E133" i="4"/>
  <c r="E132" i="4"/>
  <c r="E131" i="4"/>
  <c r="D136" i="4"/>
  <c r="D141" i="4"/>
  <c r="D140" i="4"/>
  <c r="D139" i="4"/>
  <c r="D137" i="4"/>
  <c r="D135" i="4"/>
  <c r="D134" i="4"/>
  <c r="D133" i="4"/>
  <c r="D132" i="4"/>
  <c r="D131" i="4"/>
  <c r="C135" i="4"/>
  <c r="C140" i="4"/>
  <c r="C142" i="4"/>
  <c r="C141" i="4"/>
  <c r="C139" i="4"/>
  <c r="C138" i="4"/>
  <c r="C137" i="4"/>
  <c r="C156" i="4" s="1"/>
  <c r="C136" i="4"/>
  <c r="C134" i="4"/>
  <c r="C133" i="4"/>
  <c r="C132" i="4"/>
  <c r="C131" i="4"/>
  <c r="M124" i="4"/>
  <c r="M123" i="4"/>
  <c r="M122" i="4"/>
  <c r="M121" i="4"/>
  <c r="M120" i="4"/>
  <c r="M119" i="4"/>
  <c r="M118" i="4"/>
  <c r="M117" i="4"/>
  <c r="M116" i="4"/>
  <c r="M115" i="4"/>
  <c r="M114" i="4"/>
  <c r="M113" i="4"/>
  <c r="M112" i="4"/>
  <c r="J43" i="82"/>
  <c r="J41" i="82"/>
  <c r="J40" i="82"/>
  <c r="J26" i="82"/>
  <c r="J10" i="82"/>
  <c r="J8" i="82"/>
  <c r="H65" i="72"/>
  <c r="L33" i="82" s="1"/>
  <c r="L34" i="82"/>
  <c r="C26" i="72"/>
  <c r="L44" i="82" s="1"/>
  <c r="A26" i="72"/>
  <c r="J44" i="82"/>
  <c r="C24" i="72"/>
  <c r="L43" i="82" s="1"/>
  <c r="C22" i="72"/>
  <c r="L40" i="82" s="1"/>
  <c r="C20" i="72"/>
  <c r="L28" i="82" s="1"/>
  <c r="L42" i="82" s="1"/>
  <c r="C18" i="72"/>
  <c r="L27" i="82" s="1"/>
  <c r="A18" i="72"/>
  <c r="A20" i="72"/>
  <c r="J28" i="82"/>
  <c r="C16" i="72"/>
  <c r="L41" i="82" s="1"/>
  <c r="C14" i="72"/>
  <c r="L11" i="82" s="1"/>
  <c r="C12" i="72"/>
  <c r="L10" i="82" s="1"/>
  <c r="C10" i="72"/>
  <c r="L9" i="82" s="1"/>
  <c r="A10" i="72"/>
  <c r="A14" i="72"/>
  <c r="J11" i="82"/>
  <c r="C8" i="72"/>
  <c r="L8" i="82" s="1"/>
  <c r="L21" i="82"/>
  <c r="A9" i="82"/>
  <c r="A11" i="82"/>
  <c r="A15" i="82"/>
  <c r="I63" i="1"/>
  <c r="J9" i="82"/>
  <c r="J27" i="82"/>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78" i="61"/>
  <c r="J78" i="61"/>
  <c r="M78" i="61" s="1"/>
  <c r="G78" i="61"/>
  <c r="I78" i="61" s="1"/>
  <c r="L21" i="46"/>
  <c r="D84" i="46" s="1"/>
  <c r="H84" i="46" s="1"/>
  <c r="L20" i="46"/>
  <c r="D83" i="46" s="1"/>
  <c r="L19" i="46"/>
  <c r="D82" i="46" s="1"/>
  <c r="L18" i="46"/>
  <c r="L17" i="46"/>
  <c r="D80" i="46" s="1"/>
  <c r="H80" i="46" s="1"/>
  <c r="L16" i="46"/>
  <c r="L15" i="46"/>
  <c r="D78" i="46" s="1"/>
  <c r="H78" i="46" s="1"/>
  <c r="L14" i="46"/>
  <c r="L13" i="46"/>
  <c r="D76" i="46" s="1"/>
  <c r="L12" i="46"/>
  <c r="L22" i="46"/>
  <c r="D85" i="46" s="1"/>
  <c r="H85" i="46" s="1"/>
  <c r="L23" i="46"/>
  <c r="D86" i="46" s="1"/>
  <c r="H86" i="46" s="1"/>
  <c r="L24" i="46"/>
  <c r="D87" i="46" s="1"/>
  <c r="L25" i="46"/>
  <c r="D88" i="46" s="1"/>
  <c r="H88" i="46" s="1"/>
  <c r="L26" i="46"/>
  <c r="L27" i="46"/>
  <c r="L28" i="46"/>
  <c r="D91" i="46" s="1"/>
  <c r="H91" i="46" s="1"/>
  <c r="L29" i="46"/>
  <c r="D92" i="46" s="1"/>
  <c r="H92" i="46" s="1"/>
  <c r="L30" i="46"/>
  <c r="L31" i="46"/>
  <c r="L32" i="46"/>
  <c r="D95" i="46" s="1"/>
  <c r="L33" i="46"/>
  <c r="L34" i="46"/>
  <c r="D97" i="46" s="1"/>
  <c r="L35" i="46"/>
  <c r="D98" i="46" s="1"/>
  <c r="H98" i="46" s="1"/>
  <c r="L36" i="46"/>
  <c r="D99" i="46" s="1"/>
  <c r="L37" i="46"/>
  <c r="D100" i="46" s="1"/>
  <c r="H100" i="46" s="1"/>
  <c r="L38" i="46"/>
  <c r="L39" i="46"/>
  <c r="D102" i="46" s="1"/>
  <c r="H102" i="46" s="1"/>
  <c r="L40" i="46"/>
  <c r="D103" i="46" s="1"/>
  <c r="F8" i="42"/>
  <c r="E21" i="32" s="1"/>
  <c r="D53" i="2"/>
  <c r="D54" i="2" s="1"/>
  <c r="A66" i="15"/>
  <c r="A67" i="15" s="1"/>
  <c r="E40" i="56"/>
  <c r="E42" i="56" s="1"/>
  <c r="F36" i="56"/>
  <c r="I28" i="53"/>
  <c r="H28" i="53"/>
  <c r="G28" i="53"/>
  <c r="F28" i="53"/>
  <c r="E130" i="53"/>
  <c r="D130" i="53"/>
  <c r="C130" i="53"/>
  <c r="I43" i="46"/>
  <c r="E43" i="46"/>
  <c r="D43" i="46"/>
  <c r="C11" i="46"/>
  <c r="G10" i="2"/>
  <c r="I34" i="44"/>
  <c r="H34" i="44"/>
  <c r="E159" i="61"/>
  <c r="L49" i="61"/>
  <c r="H49" i="61"/>
  <c r="E49" i="61"/>
  <c r="L41" i="61"/>
  <c r="H41" i="61"/>
  <c r="E8" i="61"/>
  <c r="L8" i="61"/>
  <c r="H8" i="61"/>
  <c r="E243" i="61"/>
  <c r="E244" i="61" s="1"/>
  <c r="E199" i="61"/>
  <c r="E194" i="61"/>
  <c r="E188" i="61"/>
  <c r="E71" i="26"/>
  <c r="F71" i="26"/>
  <c r="E64" i="26"/>
  <c r="G11" i="2" s="1"/>
  <c r="I58" i="46"/>
  <c r="E58" i="46"/>
  <c r="D58" i="46"/>
  <c r="G76" i="48"/>
  <c r="H76" i="48" s="1"/>
  <c r="J385" i="49"/>
  <c r="H84" i="64"/>
  <c r="P55" i="48"/>
  <c r="I37" i="79"/>
  <c r="G37" i="79"/>
  <c r="F69" i="22"/>
  <c r="F46" i="22" s="1"/>
  <c r="F53" i="22" s="1"/>
  <c r="F63" i="22"/>
  <c r="F34" i="22" s="1"/>
  <c r="F23" i="22"/>
  <c r="E24" i="54"/>
  <c r="D24" i="54"/>
  <c r="E155" i="49"/>
  <c r="G46" i="49"/>
  <c r="F46" i="49"/>
  <c r="E16" i="71" s="1"/>
  <c r="E46" i="49"/>
  <c r="D46" i="49"/>
  <c r="E14" i="71" s="1"/>
  <c r="I26" i="49"/>
  <c r="E13" i="71" s="1"/>
  <c r="H26" i="49"/>
  <c r="E12" i="71" s="1"/>
  <c r="G26" i="49"/>
  <c r="F26" i="49"/>
  <c r="E26" i="49"/>
  <c r="F35" i="21"/>
  <c r="E35" i="21"/>
  <c r="D35" i="21"/>
  <c r="G34" i="21"/>
  <c r="K22" i="1" s="1"/>
  <c r="G33" i="21"/>
  <c r="N24" i="21"/>
  <c r="K21" i="1" s="1"/>
  <c r="N12" i="21"/>
  <c r="C40" i="56"/>
  <c r="C42" i="56" s="1"/>
  <c r="E26" i="56"/>
  <c r="E12" i="56"/>
  <c r="E17" i="56" s="1"/>
  <c r="C26" i="56"/>
  <c r="C12" i="56"/>
  <c r="C17" i="56" s="1"/>
  <c r="D66" i="65"/>
  <c r="B45" i="53"/>
  <c r="I126" i="15"/>
  <c r="N194" i="61"/>
  <c r="M194" i="61"/>
  <c r="L194" i="61"/>
  <c r="J194" i="61"/>
  <c r="I194" i="61"/>
  <c r="H194" i="61"/>
  <c r="G194" i="61"/>
  <c r="L243" i="61"/>
  <c r="N240" i="61"/>
  <c r="N239" i="61"/>
  <c r="N238" i="61"/>
  <c r="N237" i="61"/>
  <c r="N236" i="61"/>
  <c r="J240" i="61"/>
  <c r="M240" i="61" s="1"/>
  <c r="J239" i="61"/>
  <c r="M239" i="61" s="1"/>
  <c r="J238" i="61"/>
  <c r="M238" i="61" s="1"/>
  <c r="J237" i="61"/>
  <c r="M237" i="61" s="1"/>
  <c r="J236" i="61"/>
  <c r="M236" i="61" s="1"/>
  <c r="H231" i="61"/>
  <c r="N104" i="61"/>
  <c r="N103" i="61"/>
  <c r="N102" i="61"/>
  <c r="N101" i="61"/>
  <c r="N100" i="61"/>
  <c r="N99" i="61"/>
  <c r="N97" i="61"/>
  <c r="N96" i="61"/>
  <c r="N95" i="61"/>
  <c r="N94" i="61"/>
  <c r="N93" i="61"/>
  <c r="N92" i="61"/>
  <c r="N91" i="61"/>
  <c r="N90" i="61"/>
  <c r="N89" i="6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J92" i="61"/>
  <c r="M92" i="61" s="1"/>
  <c r="J91" i="61"/>
  <c r="M91" i="61" s="1"/>
  <c r="J90" i="61"/>
  <c r="M90" i="61" s="1"/>
  <c r="J89" i="61"/>
  <c r="M89" i="61" s="1"/>
  <c r="N181" i="61"/>
  <c r="N180" i="61"/>
  <c r="N179" i="61"/>
  <c r="N178" i="61"/>
  <c r="N177" i="61"/>
  <c r="N176" i="61"/>
  <c r="N175" i="61"/>
  <c r="N174" i="61"/>
  <c r="N173" i="61"/>
  <c r="N172" i="61"/>
  <c r="N171" i="61"/>
  <c r="N170" i="61"/>
  <c r="N169" i="61"/>
  <c r="N168" i="61"/>
  <c r="N167" i="61"/>
  <c r="N166" i="61"/>
  <c r="N165" i="61"/>
  <c r="N164" i="61"/>
  <c r="N163" i="61"/>
  <c r="N162" i="61"/>
  <c r="J181" i="61"/>
  <c r="M181" i="61" s="1"/>
  <c r="J180" i="61"/>
  <c r="M180" i="61" s="1"/>
  <c r="J179" i="61"/>
  <c r="M179" i="61" s="1"/>
  <c r="J178" i="61"/>
  <c r="M178" i="61" s="1"/>
  <c r="J177" i="61"/>
  <c r="M177" i="61" s="1"/>
  <c r="J175" i="61"/>
  <c r="M175" i="61" s="1"/>
  <c r="J174" i="61"/>
  <c r="M174" i="61" s="1"/>
  <c r="J173" i="61"/>
  <c r="M173" i="61" s="1"/>
  <c r="J172" i="61"/>
  <c r="M172" i="61" s="1"/>
  <c r="J171" i="61"/>
  <c r="M171" i="61" s="1"/>
  <c r="J170" i="61"/>
  <c r="M170" i="61" s="1"/>
  <c r="J169" i="61"/>
  <c r="M169" i="61" s="1"/>
  <c r="J168" i="61"/>
  <c r="M168" i="61" s="1"/>
  <c r="J167" i="61"/>
  <c r="M167" i="61" s="1"/>
  <c r="J166" i="61"/>
  <c r="M166" i="61" s="1"/>
  <c r="J165" i="61"/>
  <c r="M165" i="61" s="1"/>
  <c r="J164" i="61"/>
  <c r="M164" i="61" s="1"/>
  <c r="J163" i="61"/>
  <c r="M163" i="61" s="1"/>
  <c r="J162" i="61"/>
  <c r="M162" i="61" s="1"/>
  <c r="G181" i="61"/>
  <c r="I181" i="61" s="1"/>
  <c r="G180" i="61"/>
  <c r="I180" i="61" s="1"/>
  <c r="G179" i="61"/>
  <c r="I179" i="61" s="1"/>
  <c r="G178" i="61"/>
  <c r="I178" i="61" s="1"/>
  <c r="G177" i="61"/>
  <c r="I177" i="61" s="1"/>
  <c r="G176" i="61"/>
  <c r="I176" i="61" s="1"/>
  <c r="G174" i="61"/>
  <c r="I174" i="61" s="1"/>
  <c r="G173" i="61"/>
  <c r="I173" i="61" s="1"/>
  <c r="G172" i="61"/>
  <c r="I172" i="61" s="1"/>
  <c r="G171" i="61"/>
  <c r="I171" i="61" s="1"/>
  <c r="G170" i="61"/>
  <c r="I170" i="61" s="1"/>
  <c r="G169" i="61"/>
  <c r="I169" i="61" s="1"/>
  <c r="G168" i="61"/>
  <c r="H168" i="61" s="1"/>
  <c r="G167" i="61"/>
  <c r="I167" i="61" s="1"/>
  <c r="G166" i="61"/>
  <c r="I166" i="61" s="1"/>
  <c r="G165" i="61"/>
  <c r="I165" i="61" s="1"/>
  <c r="G164" i="61"/>
  <c r="I164" i="61" s="1"/>
  <c r="G163" i="61"/>
  <c r="I163" i="61" s="1"/>
  <c r="G162" i="61"/>
  <c r="H162" i="61" s="1"/>
  <c r="I162" i="61" s="1"/>
  <c r="N138" i="61"/>
  <c r="N137" i="61"/>
  <c r="N136" i="61"/>
  <c r="N135" i="61"/>
  <c r="N134" i="61"/>
  <c r="N133" i="61"/>
  <c r="N132" i="61"/>
  <c r="N131" i="61"/>
  <c r="N130" i="61"/>
  <c r="N129" i="61"/>
  <c r="N128" i="61"/>
  <c r="N127" i="61"/>
  <c r="N126" i="61"/>
  <c r="N123" i="61"/>
  <c r="N122" i="61"/>
  <c r="N121" i="61"/>
  <c r="N120" i="61"/>
  <c r="N119" i="61"/>
  <c r="N118" i="61"/>
  <c r="N117" i="61"/>
  <c r="N116" i="61"/>
  <c r="J138" i="61"/>
  <c r="M138" i="61" s="1"/>
  <c r="J137" i="61"/>
  <c r="M137" i="61" s="1"/>
  <c r="J136" i="61"/>
  <c r="M136" i="61" s="1"/>
  <c r="J135" i="61"/>
  <c r="M135" i="61" s="1"/>
  <c r="J134" i="61"/>
  <c r="M134" i="61" s="1"/>
  <c r="J133" i="61"/>
  <c r="M133" i="61" s="1"/>
  <c r="J132" i="61"/>
  <c r="M132" i="61" s="1"/>
  <c r="J131" i="61"/>
  <c r="M131" i="61" s="1"/>
  <c r="J130" i="61"/>
  <c r="M130" i="61" s="1"/>
  <c r="J129" i="61"/>
  <c r="M129" i="61" s="1"/>
  <c r="J128" i="61"/>
  <c r="M128" i="61" s="1"/>
  <c r="J127" i="61"/>
  <c r="M127" i="61" s="1"/>
  <c r="J126" i="61"/>
  <c r="M126" i="61" s="1"/>
  <c r="J125" i="61"/>
  <c r="M125" i="61" s="1"/>
  <c r="J124" i="61"/>
  <c r="M124" i="61" s="1"/>
  <c r="J123" i="61"/>
  <c r="M123" i="61" s="1"/>
  <c r="J122" i="61"/>
  <c r="M122" i="61" s="1"/>
  <c r="J121" i="61"/>
  <c r="M121" i="61" s="1"/>
  <c r="J120" i="61"/>
  <c r="M120" i="61" s="1"/>
  <c r="J119" i="61"/>
  <c r="M119" i="61" s="1"/>
  <c r="J118" i="61"/>
  <c r="M118" i="61" s="1"/>
  <c r="J117" i="61"/>
  <c r="M117" i="61" s="1"/>
  <c r="J116" i="61"/>
  <c r="M116" i="61" s="1"/>
  <c r="G138" i="61"/>
  <c r="I138" i="61" s="1"/>
  <c r="G137" i="61"/>
  <c r="I137" i="61" s="1"/>
  <c r="G135" i="61"/>
  <c r="I135" i="61" s="1"/>
  <c r="G134" i="61"/>
  <c r="I134" i="61" s="1"/>
  <c r="G133" i="61"/>
  <c r="I133" i="61" s="1"/>
  <c r="G132" i="61"/>
  <c r="I132" i="61" s="1"/>
  <c r="G131" i="61"/>
  <c r="I131" i="61" s="1"/>
  <c r="G130" i="61"/>
  <c r="I130" i="61" s="1"/>
  <c r="G129" i="61"/>
  <c r="I129" i="61" s="1"/>
  <c r="G128" i="61"/>
  <c r="I128" i="61" s="1"/>
  <c r="G127" i="61"/>
  <c r="I127" i="61" s="1"/>
  <c r="G126" i="61"/>
  <c r="I126" i="61" s="1"/>
  <c r="G123" i="61"/>
  <c r="I123" i="61" s="1"/>
  <c r="G122" i="61"/>
  <c r="I122" i="61" s="1"/>
  <c r="G121" i="61"/>
  <c r="I121"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G106" i="61"/>
  <c r="I106" i="61" s="1"/>
  <c r="G105" i="61"/>
  <c r="I105" i="61" s="1"/>
  <c r="G104" i="61"/>
  <c r="I104" i="61" s="1"/>
  <c r="G103" i="61"/>
  <c r="I103" i="61" s="1"/>
  <c r="G102" i="61"/>
  <c r="I102" i="61" s="1"/>
  <c r="G101" i="61"/>
  <c r="I101" i="61" s="1"/>
  <c r="G100" i="61"/>
  <c r="I100" i="61" s="1"/>
  <c r="G99" i="61"/>
  <c r="I99" i="61" s="1"/>
  <c r="G97" i="61"/>
  <c r="G96" i="61"/>
  <c r="I96" i="61" s="1"/>
  <c r="G95" i="61"/>
  <c r="I95" i="61" s="1"/>
  <c r="G94" i="61"/>
  <c r="I94" i="61" s="1"/>
  <c r="G93" i="61"/>
  <c r="I93" i="61" s="1"/>
  <c r="G92" i="61"/>
  <c r="I92" i="61" s="1"/>
  <c r="G91" i="61"/>
  <c r="I91" i="61" s="1"/>
  <c r="G90" i="61"/>
  <c r="I90" i="61" s="1"/>
  <c r="G89" i="61"/>
  <c r="I89" i="61" s="1"/>
  <c r="N75" i="61"/>
  <c r="N74" i="61"/>
  <c r="N73" i="61"/>
  <c r="N72" i="61"/>
  <c r="N71" i="61"/>
  <c r="J75" i="61"/>
  <c r="M75" i="61" s="1"/>
  <c r="J72" i="61"/>
  <c r="M72" i="61" s="1"/>
  <c r="J71" i="61"/>
  <c r="M71" i="61" s="1"/>
  <c r="J74" i="61"/>
  <c r="M74" i="61" s="1"/>
  <c r="N69" i="61"/>
  <c r="N68" i="61"/>
  <c r="N67" i="61"/>
  <c r="N66" i="61"/>
  <c r="N65" i="61"/>
  <c r="J69" i="61"/>
  <c r="M69" i="61" s="1"/>
  <c r="J68" i="61"/>
  <c r="M68" i="61" s="1"/>
  <c r="J67" i="61"/>
  <c r="M67" i="61" s="1"/>
  <c r="J66" i="61"/>
  <c r="M66" i="61" s="1"/>
  <c r="J65" i="61"/>
  <c r="M65" i="61" s="1"/>
  <c r="G136" i="61"/>
  <c r="I136" i="61" s="1"/>
  <c r="G65" i="61"/>
  <c r="N64" i="61"/>
  <c r="H64" i="61"/>
  <c r="H63" i="61"/>
  <c r="G75" i="61"/>
  <c r="I75" i="61" s="1"/>
  <c r="G74" i="61"/>
  <c r="I74" i="61" s="1"/>
  <c r="G73" i="61"/>
  <c r="I73" i="61" s="1"/>
  <c r="G71" i="61"/>
  <c r="I71" i="61" s="1"/>
  <c r="G70" i="61"/>
  <c r="G69" i="61"/>
  <c r="I69" i="61" s="1"/>
  <c r="G68" i="61"/>
  <c r="I68" i="61" s="1"/>
  <c r="G67" i="61"/>
  <c r="I67" i="61" s="1"/>
  <c r="G66" i="61"/>
  <c r="I66" i="61" s="1"/>
  <c r="J63" i="61"/>
  <c r="M63" i="61" s="1"/>
  <c r="N55" i="61"/>
  <c r="N54" i="61"/>
  <c r="N53" i="61"/>
  <c r="N52" i="61"/>
  <c r="J52" i="61"/>
  <c r="M52" i="61" s="1"/>
  <c r="G55" i="61"/>
  <c r="I55" i="61" s="1"/>
  <c r="G54" i="61"/>
  <c r="I54" i="61" s="1"/>
  <c r="G53" i="61"/>
  <c r="I53" i="61" s="1"/>
  <c r="G52" i="61"/>
  <c r="I52" i="61" s="1"/>
  <c r="N145" i="61"/>
  <c r="G145" i="61"/>
  <c r="I145" i="61" s="1"/>
  <c r="J145" i="61"/>
  <c r="M145" i="61" s="1"/>
  <c r="N144" i="61"/>
  <c r="N143" i="61"/>
  <c r="N141" i="61"/>
  <c r="N140" i="61"/>
  <c r="N139" i="61"/>
  <c r="H142" i="61"/>
  <c r="N142" i="61" s="1"/>
  <c r="J139" i="61"/>
  <c r="M139" i="61" s="1"/>
  <c r="J140" i="61"/>
  <c r="M140" i="61" s="1"/>
  <c r="J141" i="61"/>
  <c r="M141" i="61" s="1"/>
  <c r="J142" i="61"/>
  <c r="M142" i="61" s="1"/>
  <c r="J143" i="61"/>
  <c r="M143" i="61" s="1"/>
  <c r="J144" i="61"/>
  <c r="M144" i="61" s="1"/>
  <c r="G139" i="61"/>
  <c r="I139" i="61" s="1"/>
  <c r="G140" i="61"/>
  <c r="I140" i="61" s="1"/>
  <c r="G141" i="61"/>
  <c r="I141" i="61" s="1"/>
  <c r="G143" i="61"/>
  <c r="I143" i="61" s="1"/>
  <c r="G144" i="61"/>
  <c r="H144" i="61" s="1"/>
  <c r="I144" i="61" s="1"/>
  <c r="L188" i="61"/>
  <c r="H61" i="61"/>
  <c r="G61" i="61" s="1"/>
  <c r="J60" i="61"/>
  <c r="M60" i="61" s="1"/>
  <c r="G60" i="61"/>
  <c r="I60" i="61" s="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N19" i="61"/>
  <c r="J19" i="61"/>
  <c r="M19" i="61" s="1"/>
  <c r="G19" i="61"/>
  <c r="I19" i="61" s="1"/>
  <c r="H240" i="61"/>
  <c r="H243" i="61" s="1"/>
  <c r="G240" i="61"/>
  <c r="G239" i="61"/>
  <c r="I239" i="61" s="1"/>
  <c r="G238" i="61"/>
  <c r="I238" i="61" s="1"/>
  <c r="G237" i="61"/>
  <c r="I237" i="61" s="1"/>
  <c r="G236" i="61"/>
  <c r="I236" i="61" s="1"/>
  <c r="J217" i="61"/>
  <c r="M217" i="61" s="1"/>
  <c r="J216" i="61"/>
  <c r="M216" i="61" s="1"/>
  <c r="J215" i="61"/>
  <c r="M215" i="61" s="1"/>
  <c r="J214" i="61"/>
  <c r="M214" i="61" s="1"/>
  <c r="J213" i="61"/>
  <c r="M213" i="61" s="1"/>
  <c r="J212" i="61"/>
  <c r="M212" i="61" s="1"/>
  <c r="J211" i="61"/>
  <c r="M211" i="61" s="1"/>
  <c r="J210" i="61"/>
  <c r="M210" i="61" s="1"/>
  <c r="J209" i="61"/>
  <c r="M209" i="61" s="1"/>
  <c r="J208" i="61"/>
  <c r="M208" i="61" s="1"/>
  <c r="J207" i="61"/>
  <c r="M207" i="61" s="1"/>
  <c r="J206" i="61"/>
  <c r="M206" i="61" s="1"/>
  <c r="J205" i="61"/>
  <c r="M205" i="61" s="1"/>
  <c r="J204" i="61"/>
  <c r="M204" i="61" s="1"/>
  <c r="J203" i="61"/>
  <c r="M203" i="61" s="1"/>
  <c r="G217" i="61"/>
  <c r="I217" i="61" s="1"/>
  <c r="G216" i="61"/>
  <c r="I216" i="61" s="1"/>
  <c r="G215" i="61"/>
  <c r="I215" i="61" s="1"/>
  <c r="G214" i="61"/>
  <c r="I214" i="61" s="1"/>
  <c r="G213" i="61"/>
  <c r="I213" i="61" s="1"/>
  <c r="G212" i="61"/>
  <c r="I212" i="61" s="1"/>
  <c r="G211" i="61"/>
  <c r="I211" i="61" s="1"/>
  <c r="G210" i="61"/>
  <c r="I210" i="61" s="1"/>
  <c r="G209" i="61"/>
  <c r="I209" i="61" s="1"/>
  <c r="G208" i="61"/>
  <c r="I208" i="61" s="1"/>
  <c r="G207" i="61"/>
  <c r="I207" i="61" s="1"/>
  <c r="G206" i="61"/>
  <c r="I206" i="61" s="1"/>
  <c r="G205" i="61"/>
  <c r="I205" i="61" s="1"/>
  <c r="G204" i="61"/>
  <c r="I204" i="61" s="1"/>
  <c r="G203" i="61"/>
  <c r="I203" i="61" s="1"/>
  <c r="G125" i="61"/>
  <c r="I125" i="61" s="1"/>
  <c r="G124" i="61"/>
  <c r="I124" i="61" s="1"/>
  <c r="N115" i="61"/>
  <c r="N114" i="61"/>
  <c r="N113" i="61"/>
  <c r="N112" i="61"/>
  <c r="N111" i="61"/>
  <c r="N110" i="61"/>
  <c r="N109" i="61"/>
  <c r="N108" i="61"/>
  <c r="N107" i="61"/>
  <c r="N106" i="61"/>
  <c r="J115" i="61"/>
  <c r="M115" i="61" s="1"/>
  <c r="J114" i="61"/>
  <c r="M114" i="61" s="1"/>
  <c r="J113" i="61"/>
  <c r="M113" i="61" s="1"/>
  <c r="J112" i="61"/>
  <c r="M112" i="61" s="1"/>
  <c r="J111" i="61"/>
  <c r="M111" i="61" s="1"/>
  <c r="J110" i="61"/>
  <c r="M110" i="61" s="1"/>
  <c r="J109" i="61"/>
  <c r="M109" i="61" s="1"/>
  <c r="J108" i="61"/>
  <c r="M108" i="61" s="1"/>
  <c r="J107" i="61"/>
  <c r="M107" i="61" s="1"/>
  <c r="J106" i="61"/>
  <c r="M106" i="61" s="1"/>
  <c r="N105" i="61"/>
  <c r="J105" i="61"/>
  <c r="M105" i="61" s="1"/>
  <c r="N70" i="61"/>
  <c r="N56" i="61"/>
  <c r="N20" i="61"/>
  <c r="N203" i="61"/>
  <c r="J18" i="61"/>
  <c r="M18" i="61" s="1"/>
  <c r="N216" i="61"/>
  <c r="N217" i="61"/>
  <c r="G12" i="61"/>
  <c r="I12" i="61" s="1"/>
  <c r="J76" i="61"/>
  <c r="M76" i="61" s="1"/>
  <c r="H77" i="61"/>
  <c r="G77" i="61" s="1"/>
  <c r="H76" i="61"/>
  <c r="G76" i="61" s="1"/>
  <c r="J77" i="61"/>
  <c r="M77" i="61" s="1"/>
  <c r="G72" i="61"/>
  <c r="I72" i="61" s="1"/>
  <c r="J73" i="61"/>
  <c r="M73" i="61" s="1"/>
  <c r="J70" i="61"/>
  <c r="M70" i="61" s="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4" i="8"/>
  <c r="F99" i="8"/>
  <c r="E12" i="66"/>
  <c r="E18" i="66"/>
  <c r="B145" i="21"/>
  <c r="M106" i="21"/>
  <c r="L106" i="21"/>
  <c r="K106" i="21"/>
  <c r="J106" i="21"/>
  <c r="I106" i="21"/>
  <c r="H106" i="21"/>
  <c r="G106" i="21"/>
  <c r="F106" i="21"/>
  <c r="E106" i="21"/>
  <c r="D106" i="21"/>
  <c r="E45" i="21"/>
  <c r="F58" i="21" s="1"/>
  <c r="E44" i="21"/>
  <c r="A35" i="21"/>
  <c r="A44" i="21"/>
  <c r="A13" i="21"/>
  <c r="A14" i="21"/>
  <c r="A15" i="21"/>
  <c r="A16" i="21"/>
  <c r="A17" i="21"/>
  <c r="A18" i="21"/>
  <c r="A19" i="21"/>
  <c r="A20" i="21"/>
  <c r="A21" i="21"/>
  <c r="A22" i="21"/>
  <c r="A23" i="21"/>
  <c r="A24" i="21"/>
  <c r="E24" i="4"/>
  <c r="F24" i="4"/>
  <c r="F24" i="64" s="1"/>
  <c r="C122" i="48" s="1"/>
  <c r="E122" i="48" s="1"/>
  <c r="G24" i="4"/>
  <c r="G24" i="64" s="1"/>
  <c r="C123" i="48" s="1"/>
  <c r="E123" i="48" s="1"/>
  <c r="H24" i="4"/>
  <c r="H183" i="4" s="1"/>
  <c r="I24" i="4"/>
  <c r="I183" i="4" s="1"/>
  <c r="J24" i="4"/>
  <c r="K24" i="4"/>
  <c r="K183" i="4" s="1"/>
  <c r="L24" i="4"/>
  <c r="L183" i="4" s="1"/>
  <c r="L104" i="4"/>
  <c r="K104" i="4"/>
  <c r="H104" i="4"/>
  <c r="H161" i="4" s="1"/>
  <c r="D183" i="4"/>
  <c r="C183" i="4"/>
  <c r="J97" i="4"/>
  <c r="H54" i="4"/>
  <c r="F62" i="4" s="1"/>
  <c r="H53" i="4"/>
  <c r="F36" i="4"/>
  <c r="F35" i="4"/>
  <c r="F37" i="4" s="1"/>
  <c r="A13" i="4"/>
  <c r="A14" i="4"/>
  <c r="A15" i="4"/>
  <c r="A16" i="4" s="1"/>
  <c r="A17" i="4" s="1"/>
  <c r="A18" i="4" s="1"/>
  <c r="A19" i="4" s="1"/>
  <c r="A20" i="4" s="1"/>
  <c r="A21" i="4" s="1"/>
  <c r="A22" i="4" s="1"/>
  <c r="A23" i="4" s="1"/>
  <c r="A24" i="4" s="1"/>
  <c r="M12" i="4"/>
  <c r="M12" i="64" s="1"/>
  <c r="G151" i="4"/>
  <c r="G159" i="4"/>
  <c r="C153" i="4"/>
  <c r="K161" i="4"/>
  <c r="D153" i="4"/>
  <c r="C160" i="4"/>
  <c r="J156" i="4"/>
  <c r="D157" i="4"/>
  <c r="L159" i="4"/>
  <c r="D161" i="4"/>
  <c r="C154" i="4"/>
  <c r="E155" i="4"/>
  <c r="J153" i="4"/>
  <c r="F159" i="4"/>
  <c r="J319" i="49"/>
  <c r="C12" i="46"/>
  <c r="C57" i="22"/>
  <c r="D19" i="71"/>
  <c r="D18" i="71"/>
  <c r="G69" i="22"/>
  <c r="G63" i="22"/>
  <c r="G22" i="45"/>
  <c r="G20" i="45"/>
  <c r="K12" i="1" s="1"/>
  <c r="G19" i="45"/>
  <c r="G18" i="45"/>
  <c r="K130" i="1" s="1"/>
  <c r="J128" i="53"/>
  <c r="I128" i="53"/>
  <c r="K128" i="53" s="1"/>
  <c r="F128" i="53"/>
  <c r="J127" i="53"/>
  <c r="I127" i="53"/>
  <c r="F127" i="53"/>
  <c r="J126" i="53"/>
  <c r="I126" i="53"/>
  <c r="K126" i="53" s="1"/>
  <c r="L126" i="53" s="1"/>
  <c r="F126" i="53"/>
  <c r="J125" i="53"/>
  <c r="K125" i="53" s="1"/>
  <c r="I125" i="53"/>
  <c r="F125" i="53"/>
  <c r="J124" i="53"/>
  <c r="I124" i="53"/>
  <c r="F124" i="53"/>
  <c r="J123" i="53"/>
  <c r="I123" i="53"/>
  <c r="F123" i="53"/>
  <c r="J122" i="53"/>
  <c r="K122" i="53" s="1"/>
  <c r="I122" i="53"/>
  <c r="F122" i="53"/>
  <c r="J121" i="53"/>
  <c r="I121" i="53"/>
  <c r="K121" i="53" s="1"/>
  <c r="F121" i="53"/>
  <c r="J120" i="53"/>
  <c r="I120" i="53"/>
  <c r="F120" i="53"/>
  <c r="J119" i="53"/>
  <c r="I119" i="53"/>
  <c r="F119" i="53"/>
  <c r="J118" i="53"/>
  <c r="I118" i="53"/>
  <c r="F118" i="53"/>
  <c r="J117" i="53"/>
  <c r="I117" i="53"/>
  <c r="F117" i="53"/>
  <c r="J116" i="53"/>
  <c r="I116" i="53"/>
  <c r="F116" i="53"/>
  <c r="J115" i="53"/>
  <c r="I115" i="53"/>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K119" i="53"/>
  <c r="K123"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F110" i="49" s="1"/>
  <c r="E111" i="49"/>
  <c r="E112" i="49"/>
  <c r="F112" i="49" s="1"/>
  <c r="E66" i="48"/>
  <c r="E34" i="48" s="1"/>
  <c r="D128" i="48"/>
  <c r="D127" i="48"/>
  <c r="D126" i="48"/>
  <c r="D125" i="48"/>
  <c r="D124" i="48"/>
  <c r="D123" i="48"/>
  <c r="D122" i="48"/>
  <c r="D121" i="48"/>
  <c r="D120" i="48"/>
  <c r="D119" i="48"/>
  <c r="F267" i="61"/>
  <c r="F72" i="64"/>
  <c r="E72" i="64"/>
  <c r="D72" i="64"/>
  <c r="F67" i="64"/>
  <c r="F66" i="64"/>
  <c r="F68" i="64" s="1"/>
  <c r="F77" i="64" s="1"/>
  <c r="E67" i="64"/>
  <c r="E66" i="64"/>
  <c r="E68" i="64" s="1"/>
  <c r="E77" i="64" s="1"/>
  <c r="D67" i="64"/>
  <c r="D66" i="64"/>
  <c r="D24" i="64"/>
  <c r="C120" i="48" s="1"/>
  <c r="E120" i="48" s="1"/>
  <c r="L12" i="64"/>
  <c r="K12" i="64"/>
  <c r="K48" i="64" s="1"/>
  <c r="L70" i="21" s="1"/>
  <c r="J12" i="64"/>
  <c r="I12" i="64"/>
  <c r="I48" i="64" s="1"/>
  <c r="J70" i="21" s="1"/>
  <c r="H12" i="64"/>
  <c r="H48" i="64" s="1"/>
  <c r="I70" i="21" s="1"/>
  <c r="G12" i="64"/>
  <c r="G48" i="64" s="1"/>
  <c r="H70" i="21" s="1"/>
  <c r="F12" i="64"/>
  <c r="F48" i="64" s="1"/>
  <c r="G70" i="21" s="1"/>
  <c r="E12" i="64"/>
  <c r="E48" i="64" s="1"/>
  <c r="D12" i="64"/>
  <c r="C24" i="64"/>
  <c r="C119" i="48" s="1"/>
  <c r="E119" i="48" s="1"/>
  <c r="C12" i="64"/>
  <c r="C48" i="64" s="1"/>
  <c r="D70" i="21" s="1"/>
  <c r="B97" i="64"/>
  <c r="A43" i="64"/>
  <c r="A44" i="64"/>
  <c r="A45" i="64"/>
  <c r="A46" i="64"/>
  <c r="A47" i="64"/>
  <c r="A48" i="64"/>
  <c r="A13" i="64"/>
  <c r="A14" i="64"/>
  <c r="A15" i="64"/>
  <c r="A16" i="64"/>
  <c r="A17" i="64"/>
  <c r="A18" i="64"/>
  <c r="A19" i="64"/>
  <c r="A20" i="64"/>
  <c r="A21" i="64"/>
  <c r="A22" i="64"/>
  <c r="A23" i="64"/>
  <c r="A24" i="64"/>
  <c r="A25" i="64"/>
  <c r="A26" i="64"/>
  <c r="A28" i="64"/>
  <c r="J48" i="64"/>
  <c r="K70" i="21" s="1"/>
  <c r="D48" i="64"/>
  <c r="E70" i="21" s="1"/>
  <c r="L48" i="64"/>
  <c r="M70" i="21" s="1"/>
  <c r="A49" i="64"/>
  <c r="A50" i="64"/>
  <c r="A51" i="64"/>
  <c r="A52" i="64"/>
  <c r="A53" i="64"/>
  <c r="A54" i="64"/>
  <c r="A55" i="64"/>
  <c r="A56" i="64"/>
  <c r="A57" i="64"/>
  <c r="A58" i="64"/>
  <c r="A59" i="64"/>
  <c r="A60" i="64"/>
  <c r="A61" i="64"/>
  <c r="A62" i="64"/>
  <c r="A63" i="64"/>
  <c r="A64" i="64"/>
  <c r="A65" i="64"/>
  <c r="A66" i="64"/>
  <c r="A67" i="64"/>
  <c r="A68" i="64"/>
  <c r="G91" i="64"/>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7" i="8"/>
  <c r="E88" i="8"/>
  <c r="C117" i="48"/>
  <c r="H26" i="8"/>
  <c r="I31" i="1"/>
  <c r="A33" i="79"/>
  <c r="A34" i="79"/>
  <c r="A35" i="79"/>
  <c r="A36" i="79"/>
  <c r="A37" i="79"/>
  <c r="A38" i="79"/>
  <c r="A39" i="79"/>
  <c r="D17" i="71"/>
  <c r="D16" i="71"/>
  <c r="D15" i="71"/>
  <c r="D14" i="71"/>
  <c r="D13" i="71"/>
  <c r="D12" i="71"/>
  <c r="D11" i="71"/>
  <c r="D10" i="71"/>
  <c r="D54"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F404" i="49" s="1"/>
  <c r="E403" i="49"/>
  <c r="F403" i="49" s="1"/>
  <c r="E402" i="49"/>
  <c r="F402" i="49" s="1"/>
  <c r="E401" i="49"/>
  <c r="F401" i="49" s="1"/>
  <c r="E400" i="49"/>
  <c r="F400" i="49" s="1"/>
  <c r="E399" i="49"/>
  <c r="F399" i="49" s="1"/>
  <c r="E398" i="49"/>
  <c r="E397" i="49"/>
  <c r="F397" i="49" s="1"/>
  <c r="E396" i="49"/>
  <c r="F396" i="49" s="1"/>
  <c r="E395" i="49"/>
  <c r="F395" i="49" s="1"/>
  <c r="E394" i="49"/>
  <c r="F394" i="49" s="1"/>
  <c r="E393" i="49"/>
  <c r="E392" i="49"/>
  <c r="F392" i="49" s="1"/>
  <c r="E391" i="49"/>
  <c r="F391" i="49" s="1"/>
  <c r="E390" i="49"/>
  <c r="F390" i="49" s="1"/>
  <c r="E389" i="49"/>
  <c r="E388" i="49"/>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E368" i="49"/>
  <c r="E367" i="49"/>
  <c r="F367" i="49" s="1"/>
  <c r="E366" i="49"/>
  <c r="F366" i="49" s="1"/>
  <c r="E365" i="49"/>
  <c r="F365" i="49" s="1"/>
  <c r="E364" i="49"/>
  <c r="F364" i="49" s="1"/>
  <c r="E363" i="49"/>
  <c r="F363" i="49" s="1"/>
  <c r="E362" i="49"/>
  <c r="E361" i="49"/>
  <c r="F361" i="49" s="1"/>
  <c r="E360" i="49"/>
  <c r="E359" i="49"/>
  <c r="E358" i="49"/>
  <c r="F358" i="49" s="1"/>
  <c r="E357" i="49"/>
  <c r="F357" i="49" s="1"/>
  <c r="E356" i="49"/>
  <c r="E355" i="49"/>
  <c r="F355" i="49" s="1"/>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E337" i="49"/>
  <c r="F337" i="49" s="1"/>
  <c r="E336" i="49"/>
  <c r="F336" i="49" s="1"/>
  <c r="E335" i="49"/>
  <c r="F335" i="49" s="1"/>
  <c r="E334" i="49"/>
  <c r="F334" i="49" s="1"/>
  <c r="E333" i="49"/>
  <c r="F333" i="49" s="1"/>
  <c r="E332" i="49"/>
  <c r="F332" i="49" s="1"/>
  <c r="E331" i="49"/>
  <c r="F331" i="49" s="1"/>
  <c r="E330" i="49"/>
  <c r="E329" i="49"/>
  <c r="F329" i="49" s="1"/>
  <c r="E328" i="49"/>
  <c r="E327" i="49"/>
  <c r="F327" i="49" s="1"/>
  <c r="E326" i="49"/>
  <c r="E325" i="49"/>
  <c r="F325" i="49" s="1"/>
  <c r="E324" i="49"/>
  <c r="E323" i="49"/>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E303" i="49"/>
  <c r="E302" i="49"/>
  <c r="F302" i="49" s="1"/>
  <c r="E301" i="49"/>
  <c r="F301" i="49" s="1"/>
  <c r="E300" i="49"/>
  <c r="E299" i="49"/>
  <c r="F299" i="49" s="1"/>
  <c r="E298" i="49"/>
  <c r="F298" i="49" s="1"/>
  <c r="E297" i="49"/>
  <c r="E296" i="49"/>
  <c r="E295" i="49"/>
  <c r="E294" i="49"/>
  <c r="F294" i="49" s="1"/>
  <c r="E293" i="49"/>
  <c r="E292" i="49"/>
  <c r="E291" i="49"/>
  <c r="F291" i="49" s="1"/>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F273" i="49" s="1"/>
  <c r="E272" i="49"/>
  <c r="E271" i="49"/>
  <c r="F271" i="49" s="1"/>
  <c r="E270" i="49"/>
  <c r="F270" i="49" s="1"/>
  <c r="E269" i="49"/>
  <c r="F269" i="49" s="1"/>
  <c r="E268" i="49"/>
  <c r="E267" i="49"/>
  <c r="E266" i="49"/>
  <c r="F266" i="49" s="1"/>
  <c r="E265" i="49"/>
  <c r="F265" i="49" s="1"/>
  <c r="E264" i="49"/>
  <c r="E263" i="49"/>
  <c r="F263" i="49" s="1"/>
  <c r="E262" i="49"/>
  <c r="F262" i="49"/>
  <c r="E261" i="49"/>
  <c r="F261" i="49" s="1"/>
  <c r="E260" i="49"/>
  <c r="E259" i="49"/>
  <c r="E258" i="49"/>
  <c r="E257" i="49"/>
  <c r="F257" i="49" s="1"/>
  <c r="E256" i="49"/>
  <c r="F256" i="49" s="1"/>
  <c r="E255" i="49"/>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E238" i="49"/>
  <c r="F238" i="49" s="1"/>
  <c r="E237" i="49"/>
  <c r="E236" i="49"/>
  <c r="F236" i="49" s="1"/>
  <c r="E235" i="49"/>
  <c r="F235" i="49" s="1"/>
  <c r="E234" i="49"/>
  <c r="E233" i="49"/>
  <c r="E232" i="49"/>
  <c r="F232" i="49" s="1"/>
  <c r="E231" i="49"/>
  <c r="E230" i="49"/>
  <c r="E229" i="49"/>
  <c r="E228" i="49"/>
  <c r="F228" i="49" s="1"/>
  <c r="E227" i="49"/>
  <c r="F227" i="49" s="1"/>
  <c r="E226" i="49"/>
  <c r="F226" i="49" s="1"/>
  <c r="E225" i="49"/>
  <c r="E224" i="49"/>
  <c r="F224" i="49" s="1"/>
  <c r="E223" i="49"/>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F190" i="49" s="1"/>
  <c r="E191" i="49"/>
  <c r="F191" i="49" s="1"/>
  <c r="E192" i="49"/>
  <c r="F192" i="49" s="1"/>
  <c r="E193" i="49"/>
  <c r="E194" i="49"/>
  <c r="E195" i="49"/>
  <c r="E196" i="49"/>
  <c r="F196" i="49" s="1"/>
  <c r="E197" i="49"/>
  <c r="E198" i="49"/>
  <c r="F198" i="49" s="1"/>
  <c r="E199" i="49"/>
  <c r="F199" i="49" s="1"/>
  <c r="E200" i="49"/>
  <c r="F200" i="49" s="1"/>
  <c r="E201" i="49"/>
  <c r="E202" i="49"/>
  <c r="E203" i="49"/>
  <c r="E204" i="49"/>
  <c r="F204" i="49" s="1"/>
  <c r="E205" i="49"/>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F170" i="49" s="1"/>
  <c r="E169" i="49"/>
  <c r="F169" i="49" s="1"/>
  <c r="E168" i="49"/>
  <c r="F168" i="49" s="1"/>
  <c r="E167" i="49"/>
  <c r="F167" i="49" s="1"/>
  <c r="E166" i="49"/>
  <c r="F166" i="49" s="1"/>
  <c r="E165" i="49"/>
  <c r="E164" i="49"/>
  <c r="E163" i="49"/>
  <c r="E162" i="49"/>
  <c r="F162" i="49" s="1"/>
  <c r="E161" i="49"/>
  <c r="F161" i="49" s="1"/>
  <c r="E160" i="49"/>
  <c r="F160" i="49" s="1"/>
  <c r="E159" i="49"/>
  <c r="E158" i="49"/>
  <c r="F158" i="49" s="1"/>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F140" i="49" s="1"/>
  <c r="E139" i="49"/>
  <c r="F139" i="49" s="1"/>
  <c r="E138" i="49"/>
  <c r="F138" i="49" s="1"/>
  <c r="E137" i="49"/>
  <c r="E136" i="49"/>
  <c r="E135" i="49"/>
  <c r="F135" i="49" s="1"/>
  <c r="E134" i="49"/>
  <c r="F134" i="49" s="1"/>
  <c r="E133" i="49"/>
  <c r="E132" i="49"/>
  <c r="E131" i="49"/>
  <c r="E130" i="49"/>
  <c r="F130" i="49" s="1"/>
  <c r="E129" i="49"/>
  <c r="F129" i="49" s="1"/>
  <c r="E128" i="49"/>
  <c r="E127" i="49"/>
  <c r="F127" i="49" s="1"/>
  <c r="E126" i="49"/>
  <c r="F126" i="49" s="1"/>
  <c r="E125" i="49"/>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F109" i="49" s="1"/>
  <c r="E108" i="49"/>
  <c r="F108" i="49" s="1"/>
  <c r="E107" i="49"/>
  <c r="E106" i="49"/>
  <c r="F106" i="49" s="1"/>
  <c r="E105" i="49"/>
  <c r="F105" i="49" s="1"/>
  <c r="E104" i="49"/>
  <c r="E103" i="49"/>
  <c r="F103" i="49" s="1"/>
  <c r="E102" i="49"/>
  <c r="E101" i="49"/>
  <c r="F101" i="49" s="1"/>
  <c r="E100" i="49"/>
  <c r="E99" i="49"/>
  <c r="F99" i="49" s="1"/>
  <c r="E98" i="49"/>
  <c r="F98" i="49" s="1"/>
  <c r="E97" i="49"/>
  <c r="E96" i="49"/>
  <c r="E95" i="49"/>
  <c r="F95" i="49" s="1"/>
  <c r="E94" i="49"/>
  <c r="F94" i="49" s="1"/>
  <c r="E93" i="49"/>
  <c r="F93" i="49" s="1"/>
  <c r="E92" i="49"/>
  <c r="F92" i="49" s="1"/>
  <c r="E91" i="49"/>
  <c r="F91" i="49" s="1"/>
  <c r="E90" i="49"/>
  <c r="F90" i="49" s="1"/>
  <c r="E89" i="49"/>
  <c r="F89" i="49" s="1"/>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406" i="49"/>
  <c r="F405" i="49"/>
  <c r="F398" i="49"/>
  <c r="F393" i="49"/>
  <c r="F389" i="49"/>
  <c r="F388" i="49"/>
  <c r="K384" i="49"/>
  <c r="J384" i="49"/>
  <c r="I384" i="49"/>
  <c r="H384" i="49"/>
  <c r="G384" i="49"/>
  <c r="F384" i="49"/>
  <c r="E384" i="49"/>
  <c r="D384" i="49"/>
  <c r="K383" i="49"/>
  <c r="J383" i="49"/>
  <c r="I383" i="49"/>
  <c r="H383" i="49"/>
  <c r="G383" i="49"/>
  <c r="F383" i="49"/>
  <c r="E383" i="49"/>
  <c r="D383" i="49"/>
  <c r="G382" i="49"/>
  <c r="F369" i="49"/>
  <c r="F368" i="49"/>
  <c r="F362" i="49"/>
  <c r="F360" i="49"/>
  <c r="F359" i="49"/>
  <c r="F356" i="49"/>
  <c r="F354" i="49"/>
  <c r="F353" i="49"/>
  <c r="J352" i="49"/>
  <c r="K351" i="49"/>
  <c r="J351" i="49"/>
  <c r="I351" i="49"/>
  <c r="H351" i="49"/>
  <c r="G351" i="49"/>
  <c r="F351" i="49"/>
  <c r="E351" i="49"/>
  <c r="D351" i="49"/>
  <c r="K350" i="49"/>
  <c r="J350" i="49"/>
  <c r="I350" i="49"/>
  <c r="H350" i="49"/>
  <c r="G350" i="49"/>
  <c r="F350" i="49"/>
  <c r="E350" i="49"/>
  <c r="D350" i="49"/>
  <c r="G349" i="49"/>
  <c r="F338" i="49"/>
  <c r="F330" i="49"/>
  <c r="F328" i="49"/>
  <c r="F326" i="49"/>
  <c r="F324" i="49"/>
  <c r="F323" i="49"/>
  <c r="K318" i="49"/>
  <c r="J318" i="49"/>
  <c r="I318" i="49"/>
  <c r="H318" i="49"/>
  <c r="G318" i="49"/>
  <c r="F318" i="49"/>
  <c r="E318" i="49"/>
  <c r="D318" i="49"/>
  <c r="K317" i="49"/>
  <c r="J317" i="49"/>
  <c r="I317" i="49"/>
  <c r="H317" i="49"/>
  <c r="G317" i="49"/>
  <c r="F317" i="49"/>
  <c r="E317" i="49"/>
  <c r="D317" i="49"/>
  <c r="G316" i="49"/>
  <c r="F305" i="49"/>
  <c r="F304" i="49"/>
  <c r="F303" i="49"/>
  <c r="F300" i="49"/>
  <c r="F297" i="49"/>
  <c r="F296" i="49"/>
  <c r="F295" i="49"/>
  <c r="F293" i="49"/>
  <c r="F292" i="49"/>
  <c r="F289" i="49"/>
  <c r="F288" i="49"/>
  <c r="F287" i="49"/>
  <c r="J286" i="49"/>
  <c r="K285" i="49"/>
  <c r="J285" i="49"/>
  <c r="I285" i="49"/>
  <c r="H285" i="49"/>
  <c r="G285" i="49"/>
  <c r="F285" i="49"/>
  <c r="E285" i="49"/>
  <c r="D285" i="49"/>
  <c r="K284" i="49"/>
  <c r="J284" i="49"/>
  <c r="I284" i="49"/>
  <c r="H284" i="49"/>
  <c r="G284" i="49"/>
  <c r="F284" i="49"/>
  <c r="E284" i="49"/>
  <c r="D284" i="49"/>
  <c r="G283" i="49"/>
  <c r="F272" i="49"/>
  <c r="F268" i="49"/>
  <c r="F267" i="49"/>
  <c r="F264" i="49"/>
  <c r="F260" i="49"/>
  <c r="F259" i="49"/>
  <c r="F258" i="49"/>
  <c r="F255" i="49"/>
  <c r="J253" i="49"/>
  <c r="K252" i="49"/>
  <c r="J252" i="49"/>
  <c r="I252" i="49"/>
  <c r="H252" i="49"/>
  <c r="F252" i="49"/>
  <c r="E252" i="49"/>
  <c r="D252" i="49"/>
  <c r="K251" i="49"/>
  <c r="J251" i="49"/>
  <c r="I251" i="49"/>
  <c r="H251" i="49"/>
  <c r="F251" i="49"/>
  <c r="E251" i="49"/>
  <c r="D251" i="49"/>
  <c r="F239" i="49"/>
  <c r="F237" i="49"/>
  <c r="F233" i="49"/>
  <c r="F231" i="49"/>
  <c r="F230" i="49"/>
  <c r="F225" i="49"/>
  <c r="F223" i="49"/>
  <c r="F222" i="49"/>
  <c r="J220" i="49"/>
  <c r="K219" i="49"/>
  <c r="J219" i="49"/>
  <c r="I219" i="49"/>
  <c r="H219" i="49"/>
  <c r="G219" i="49"/>
  <c r="F219" i="49"/>
  <c r="E219" i="49"/>
  <c r="D219" i="49"/>
  <c r="K218" i="49"/>
  <c r="J218" i="49"/>
  <c r="I218" i="49"/>
  <c r="H218" i="49"/>
  <c r="G218" i="49"/>
  <c r="F218" i="49"/>
  <c r="E218" i="49"/>
  <c r="D218" i="49"/>
  <c r="G217" i="49"/>
  <c r="F205" i="49"/>
  <c r="F203" i="49"/>
  <c r="F202" i="49"/>
  <c r="F201" i="49"/>
  <c r="F197" i="49"/>
  <c r="F195" i="49"/>
  <c r="F194" i="49"/>
  <c r="F193" i="49"/>
  <c r="F189" i="49"/>
  <c r="J187" i="49"/>
  <c r="K186" i="49"/>
  <c r="J186" i="49"/>
  <c r="I186" i="49"/>
  <c r="H186" i="49"/>
  <c r="G186" i="49"/>
  <c r="F186" i="49"/>
  <c r="E186" i="49"/>
  <c r="D186" i="49"/>
  <c r="K185" i="49"/>
  <c r="J185" i="49"/>
  <c r="I185" i="49"/>
  <c r="H185" i="49"/>
  <c r="G185" i="49"/>
  <c r="F185" i="49"/>
  <c r="E185" i="49"/>
  <c r="D185" i="49"/>
  <c r="G184" i="49"/>
  <c r="F172" i="49"/>
  <c r="F165" i="49"/>
  <c r="F164" i="49"/>
  <c r="F163"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37" i="49"/>
  <c r="F133" i="49"/>
  <c r="F132" i="49"/>
  <c r="F131" i="49"/>
  <c r="F128" i="49"/>
  <c r="F125" i="49"/>
  <c r="J121" i="49"/>
  <c r="K120" i="49"/>
  <c r="J120" i="49"/>
  <c r="I120" i="49"/>
  <c r="H120" i="49"/>
  <c r="G120" i="49"/>
  <c r="G450" i="49"/>
  <c r="F120" i="49"/>
  <c r="E120" i="49"/>
  <c r="D120" i="49"/>
  <c r="K119" i="49"/>
  <c r="J119" i="49"/>
  <c r="I119" i="49"/>
  <c r="H119" i="49"/>
  <c r="G119" i="49"/>
  <c r="G449" i="49"/>
  <c r="F119" i="49"/>
  <c r="E119" i="49"/>
  <c r="D119" i="49"/>
  <c r="G118" i="49"/>
  <c r="G448" i="49"/>
  <c r="F104" i="49"/>
  <c r="F102" i="49"/>
  <c r="F97" i="49"/>
  <c r="F96" i="49"/>
  <c r="J88" i="49"/>
  <c r="K87" i="49"/>
  <c r="J87" i="49"/>
  <c r="I87" i="49"/>
  <c r="H87" i="49"/>
  <c r="G87" i="49"/>
  <c r="G417" i="49"/>
  <c r="F87" i="49"/>
  <c r="E87" i="49"/>
  <c r="D87" i="49"/>
  <c r="K86" i="49"/>
  <c r="J86" i="49"/>
  <c r="I86" i="49"/>
  <c r="H86" i="49"/>
  <c r="G86" i="49"/>
  <c r="G416" i="49"/>
  <c r="F86" i="49"/>
  <c r="E86" i="49"/>
  <c r="D86" i="49"/>
  <c r="G85" i="49"/>
  <c r="G415" i="49"/>
  <c r="A14" i="49"/>
  <c r="A15" i="49"/>
  <c r="A16" i="49"/>
  <c r="A17" i="49"/>
  <c r="A18" i="49"/>
  <c r="A19" i="49"/>
  <c r="A20" i="49"/>
  <c r="A21" i="49"/>
  <c r="A22" i="49"/>
  <c r="A23" i="49"/>
  <c r="A24" i="49"/>
  <c r="A25" i="49"/>
  <c r="A45" i="48"/>
  <c r="A46" i="48"/>
  <c r="A47" i="48"/>
  <c r="A48" i="48"/>
  <c r="A49" i="48"/>
  <c r="A50" i="48"/>
  <c r="A51" i="48"/>
  <c r="A52" i="48"/>
  <c r="A53" i="48"/>
  <c r="A54" i="48"/>
  <c r="A55" i="48"/>
  <c r="A56" i="48"/>
  <c r="A57" i="48"/>
  <c r="A58" i="48"/>
  <c r="A59" i="48"/>
  <c r="A60" i="48"/>
  <c r="A61" i="48"/>
  <c r="A62" i="48"/>
  <c r="A63" i="48"/>
  <c r="A64" i="48"/>
  <c r="A65" i="48"/>
  <c r="G41" i="57"/>
  <c r="E78" i="7"/>
  <c r="A26" i="49"/>
  <c r="A33" i="49"/>
  <c r="A34" i="49"/>
  <c r="A35" i="49"/>
  <c r="A36" i="49"/>
  <c r="A37" i="49"/>
  <c r="A38" i="49"/>
  <c r="A39" i="49"/>
  <c r="A40" i="49"/>
  <c r="E57" i="7"/>
  <c r="E46" i="7"/>
  <c r="E53" i="7"/>
  <c r="E15" i="71"/>
  <c r="F32" i="11"/>
  <c r="E17" i="71"/>
  <c r="F34" i="11"/>
  <c r="D46" i="7"/>
  <c r="E9" i="71"/>
  <c r="E47" i="71" s="1"/>
  <c r="F26" i="11"/>
  <c r="F62" i="11" s="1"/>
  <c r="E10" i="71"/>
  <c r="E54" i="71" s="1"/>
  <c r="F27" i="11"/>
  <c r="F63" i="11" s="1"/>
  <c r="E11" i="71"/>
  <c r="F28" i="11"/>
  <c r="P95" i="48"/>
  <c r="P32" i="48" s="1"/>
  <c r="P78" i="48"/>
  <c r="F74" i="48"/>
  <c r="E44" i="48"/>
  <c r="P92" i="48"/>
  <c r="P79" i="48"/>
  <c r="P87" i="48"/>
  <c r="P24" i="48" s="1"/>
  <c r="P94" i="48"/>
  <c r="P54" i="48"/>
  <c r="P22" i="48" s="1"/>
  <c r="G44" i="48"/>
  <c r="P50" i="48"/>
  <c r="P57" i="48"/>
  <c r="P84" i="48"/>
  <c r="P93" i="48"/>
  <c r="P49" i="48"/>
  <c r="P56" i="48"/>
  <c r="P58" i="48"/>
  <c r="P85" i="48"/>
  <c r="P91" i="48"/>
  <c r="F75" i="48"/>
  <c r="F44" i="48"/>
  <c r="O15" i="48"/>
  <c r="P89" i="48"/>
  <c r="P60" i="48"/>
  <c r="P65" i="48"/>
  <c r="P76" i="48"/>
  <c r="P82" i="48"/>
  <c r="P83" i="48"/>
  <c r="O28" i="48"/>
  <c r="E42" i="48"/>
  <c r="P46" i="48"/>
  <c r="P64" i="48"/>
  <c r="P77" i="48"/>
  <c r="P14" i="48" s="1"/>
  <c r="O14" i="48"/>
  <c r="O20" i="48"/>
  <c r="P48" i="48"/>
  <c r="P16" i="48" s="1"/>
  <c r="P62" i="48"/>
  <c r="P80" i="48"/>
  <c r="P17" i="48" s="1"/>
  <c r="P61" i="48"/>
  <c r="P29" i="48" s="1"/>
  <c r="P53" i="48"/>
  <c r="P45" i="48"/>
  <c r="P96" i="48"/>
  <c r="P88" i="48"/>
  <c r="P59" i="48"/>
  <c r="P51" i="48"/>
  <c r="P63" i="48"/>
  <c r="P47" i="48"/>
  <c r="P15" i="48" s="1"/>
  <c r="P86" i="48"/>
  <c r="P23" i="48" s="1"/>
  <c r="P90" i="48"/>
  <c r="E74" i="48"/>
  <c r="E43" i="48"/>
  <c r="P81" i="48"/>
  <c r="P18" i="48" s="1"/>
  <c r="O16" i="48"/>
  <c r="O32" i="48"/>
  <c r="G43" i="48"/>
  <c r="O22" i="48"/>
  <c r="O30" i="48"/>
  <c r="F274" i="49"/>
  <c r="A41" i="49"/>
  <c r="A42" i="49"/>
  <c r="A43" i="49"/>
  <c r="A44" i="49"/>
  <c r="A45" i="49"/>
  <c r="A46"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M13"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P28" i="48"/>
  <c r="P13" i="48"/>
  <c r="A107" i="48"/>
  <c r="A111" i="48"/>
  <c r="G72" i="48"/>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G42" i="57"/>
  <c r="E82" i="7"/>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G9" i="71"/>
  <c r="H26" i="11"/>
  <c r="H72" i="48"/>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H27" i="11"/>
  <c r="G10" i="71"/>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G11" i="71"/>
  <c r="H28" i="11"/>
  <c r="A119" i="48"/>
  <c r="J72" i="48"/>
  <c r="A220" i="49"/>
  <c r="A221" i="49"/>
  <c r="A222" i="49"/>
  <c r="A223" i="49"/>
  <c r="A224" i="49"/>
  <c r="A225" i="49"/>
  <c r="A226" i="49"/>
  <c r="A227" i="49"/>
  <c r="A228" i="49"/>
  <c r="A229" i="49"/>
  <c r="A230" i="49"/>
  <c r="A231" i="49"/>
  <c r="A232" i="49"/>
  <c r="A233" i="49"/>
  <c r="A234" i="49"/>
  <c r="A235" i="49"/>
  <c r="A236" i="49"/>
  <c r="A237" i="49"/>
  <c r="A238" i="49"/>
  <c r="A239" i="49"/>
  <c r="A240" i="49"/>
  <c r="A241" i="49"/>
  <c r="G12" i="71"/>
  <c r="H29" i="11"/>
  <c r="A120" i="48"/>
  <c r="A121" i="48"/>
  <c r="A122" i="48"/>
  <c r="A123" i="48"/>
  <c r="A124" i="48"/>
  <c r="A125" i="48"/>
  <c r="A126" i="48"/>
  <c r="A127" i="48"/>
  <c r="A128" i="48"/>
  <c r="A129" i="48"/>
  <c r="A130" i="48"/>
  <c r="A242" i="49"/>
  <c r="A243" i="49"/>
  <c r="A244" i="49"/>
  <c r="A245"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F130" i="48"/>
  <c r="A131" i="48"/>
  <c r="A132" i="48"/>
  <c r="A133" i="48"/>
  <c r="F131" i="48"/>
  <c r="F133" i="48"/>
  <c r="H30" i="11"/>
  <c r="A276" i="49"/>
  <c r="A277" i="49"/>
  <c r="A278"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G13" i="71"/>
  <c r="H31" i="11"/>
  <c r="G14" i="71"/>
  <c r="A319" i="49"/>
  <c r="A320" i="49"/>
  <c r="A321" i="49"/>
  <c r="A322" i="49"/>
  <c r="A323" i="49"/>
  <c r="A324" i="49"/>
  <c r="A325" i="49"/>
  <c r="A326" i="49"/>
  <c r="A327" i="49"/>
  <c r="A328" i="49"/>
  <c r="A329" i="49"/>
  <c r="A330" i="49"/>
  <c r="A331" i="49"/>
  <c r="A332" i="49"/>
  <c r="A333" i="49"/>
  <c r="A334" i="49"/>
  <c r="A335" i="49"/>
  <c r="A336" i="49"/>
  <c r="A337" i="49"/>
  <c r="A338" i="49"/>
  <c r="A339" i="49"/>
  <c r="A340" i="49"/>
  <c r="G15" i="71"/>
  <c r="H32" i="11"/>
  <c r="A341" i="49"/>
  <c r="A342" i="49"/>
  <c r="A343" i="49"/>
  <c r="A344" i="49"/>
  <c r="A352" i="49"/>
  <c r="A353" i="49"/>
  <c r="A354" i="49"/>
  <c r="A355" i="49"/>
  <c r="A356" i="49"/>
  <c r="A357" i="49"/>
  <c r="A358" i="49"/>
  <c r="A359" i="49"/>
  <c r="A360" i="49"/>
  <c r="A361" i="49"/>
  <c r="A362" i="49"/>
  <c r="A363" i="49"/>
  <c r="A364" i="49"/>
  <c r="A365" i="49"/>
  <c r="A366" i="49"/>
  <c r="A367" i="49"/>
  <c r="A368" i="49"/>
  <c r="A369" i="49"/>
  <c r="A370" i="49"/>
  <c r="A371" i="49"/>
  <c r="A372" i="49"/>
  <c r="A373" i="49"/>
  <c r="H33" i="11"/>
  <c r="A374" i="49"/>
  <c r="A375" i="49"/>
  <c r="A376" i="49"/>
  <c r="A377" i="49"/>
  <c r="G17" i="71"/>
  <c r="G16" i="71"/>
  <c r="H34" i="11"/>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H35" i="11"/>
  <c r="I128" i="15"/>
  <c r="A128" i="15"/>
  <c r="E133" i="15" s="1"/>
  <c r="I116" i="15"/>
  <c r="E90" i="15"/>
  <c r="A86" i="15"/>
  <c r="A87" i="15" s="1"/>
  <c r="I85" i="15"/>
  <c r="I66" i="15"/>
  <c r="E71" i="15"/>
  <c r="I64" i="15"/>
  <c r="A11" i="15"/>
  <c r="A12" i="15" s="1"/>
  <c r="A13" i="15" s="1"/>
  <c r="E14" i="15" s="1"/>
  <c r="I53"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64" i="61"/>
  <c r="F265" i="61"/>
  <c r="F262" i="61"/>
  <c r="F268" i="61"/>
  <c r="J45" i="8"/>
  <c r="C103" i="26"/>
  <c r="E19" i="55"/>
  <c r="E17" i="55"/>
  <c r="E18" i="55"/>
  <c r="I21" i="45"/>
  <c r="H57" i="26"/>
  <c r="F64" i="26"/>
  <c r="B112" i="12"/>
  <c r="K135" i="1"/>
  <c r="E27" i="12"/>
  <c r="E26" i="12"/>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G49" i="11" s="1"/>
  <c r="H169" i="11"/>
  <c r="G169" i="11"/>
  <c r="G84" i="11" s="1"/>
  <c r="H168" i="11"/>
  <c r="G168" i="11"/>
  <c r="G83" i="11" s="1"/>
  <c r="H167" i="11"/>
  <c r="G167" i="11"/>
  <c r="G82" i="11" s="1"/>
  <c r="H166" i="11"/>
  <c r="G166" i="11"/>
  <c r="G81" i="11" s="1"/>
  <c r="H165" i="11"/>
  <c r="G165" i="11"/>
  <c r="G80" i="11" s="1"/>
  <c r="H164" i="11"/>
  <c r="G164" i="11"/>
  <c r="G79" i="11" s="1"/>
  <c r="H163" i="11"/>
  <c r="G163" i="11"/>
  <c r="G78" i="11"/>
  <c r="H162" i="11"/>
  <c r="G162" i="11"/>
  <c r="G77" i="11" s="1"/>
  <c r="H161" i="11"/>
  <c r="G161" i="11"/>
  <c r="G76" i="11" s="1"/>
  <c r="H160" i="11"/>
  <c r="G160" i="11"/>
  <c r="G75" i="11" s="1"/>
  <c r="H159" i="11"/>
  <c r="G159" i="11"/>
  <c r="G74" i="11" s="1"/>
  <c r="H158" i="11"/>
  <c r="G158" i="11"/>
  <c r="G73" i="11" s="1"/>
  <c r="H150" i="11"/>
  <c r="G150" i="11"/>
  <c r="H85" i="11" s="1"/>
  <c r="G47" i="11" s="1"/>
  <c r="E47" i="11" s="1"/>
  <c r="E39" i="12" s="1"/>
  <c r="H149" i="11"/>
  <c r="G149" i="11"/>
  <c r="H84" i="11" s="1"/>
  <c r="H148" i="11"/>
  <c r="G148" i="11"/>
  <c r="H83" i="11" s="1"/>
  <c r="H147" i="11"/>
  <c r="G147" i="11"/>
  <c r="H82" i="11"/>
  <c r="H146" i="11"/>
  <c r="G146" i="11"/>
  <c r="H81" i="11" s="1"/>
  <c r="H145" i="11"/>
  <c r="G145" i="11"/>
  <c r="H80" i="11"/>
  <c r="H144" i="11"/>
  <c r="G144" i="11"/>
  <c r="H79" i="11" s="1"/>
  <c r="H143" i="11"/>
  <c r="G143" i="11"/>
  <c r="H78" i="11" s="1"/>
  <c r="H142" i="11"/>
  <c r="G142" i="11"/>
  <c r="H77" i="11" s="1"/>
  <c r="H141" i="11"/>
  <c r="G141" i="11"/>
  <c r="H76" i="11" s="1"/>
  <c r="H140" i="11"/>
  <c r="G140" i="11"/>
  <c r="H75" i="11" s="1"/>
  <c r="H139" i="11"/>
  <c r="G139" i="11"/>
  <c r="H74" i="11" s="1"/>
  <c r="H138" i="11"/>
  <c r="G138" i="11"/>
  <c r="H73" i="11" s="1"/>
  <c r="H130" i="11"/>
  <c r="G130" i="11"/>
  <c r="F85" i="11" s="1"/>
  <c r="H129" i="11"/>
  <c r="G129" i="11"/>
  <c r="F84" i="11" s="1"/>
  <c r="H128" i="11"/>
  <c r="G128" i="11"/>
  <c r="F83" i="11" s="1"/>
  <c r="H127" i="11"/>
  <c r="G127" i="11"/>
  <c r="F82" i="11" s="1"/>
  <c r="H126" i="11"/>
  <c r="G126" i="11"/>
  <c r="F81" i="11" s="1"/>
  <c r="H125" i="11"/>
  <c r="G125" i="11"/>
  <c r="F80" i="11" s="1"/>
  <c r="H124" i="11"/>
  <c r="G124" i="11"/>
  <c r="F79" i="11"/>
  <c r="H123" i="11"/>
  <c r="G123" i="11"/>
  <c r="F78" i="11" s="1"/>
  <c r="H122" i="11"/>
  <c r="G122" i="11"/>
  <c r="F77" i="11"/>
  <c r="H121" i="11"/>
  <c r="G121" i="11"/>
  <c r="F76" i="11" s="1"/>
  <c r="H120" i="11"/>
  <c r="G120" i="11"/>
  <c r="F75" i="11" s="1"/>
  <c r="H119" i="11"/>
  <c r="G119" i="11"/>
  <c r="F74" i="11" s="1"/>
  <c r="H118" i="11"/>
  <c r="G118" i="11"/>
  <c r="F73" i="11" s="1"/>
  <c r="F108" i="11"/>
  <c r="D37" i="7"/>
  <c r="G24" i="2"/>
  <c r="G22" i="2"/>
  <c r="F100" i="12"/>
  <c r="B108" i="12"/>
  <c r="B34" i="31"/>
  <c r="G13" i="26"/>
  <c r="I13" i="26" s="1"/>
  <c r="F47" i="71"/>
  <c r="A10" i="71"/>
  <c r="A11" i="71"/>
  <c r="A12" i="71"/>
  <c r="A13" i="71"/>
  <c r="A14" i="71"/>
  <c r="A15" i="71"/>
  <c r="A16" i="71"/>
  <c r="A17" i="71"/>
  <c r="A18" i="71"/>
  <c r="A19" i="71"/>
  <c r="A20" i="71"/>
  <c r="D47" i="71"/>
  <c r="D38" i="7"/>
  <c r="J55" i="61"/>
  <c r="M55" i="61" s="1"/>
  <c r="G12" i="2"/>
  <c r="C64" i="46"/>
  <c r="G57" i="26"/>
  <c r="G58" i="26" s="1"/>
  <c r="D37" i="26" s="1"/>
  <c r="G6" i="26" s="1"/>
  <c r="I6" i="26" s="1"/>
  <c r="H80" i="44"/>
  <c r="H77" i="44"/>
  <c r="H55" i="44"/>
  <c r="A14" i="44"/>
  <c r="A15" i="44"/>
  <c r="A16" i="44"/>
  <c r="A17" i="44"/>
  <c r="A18" i="44"/>
  <c r="A30" i="44"/>
  <c r="C56" i="46"/>
  <c r="L57" i="46"/>
  <c r="E120" i="46"/>
  <c r="I120" i="46"/>
  <c r="K56" i="46"/>
  <c r="D119" i="46" s="1"/>
  <c r="H119" i="46" s="1"/>
  <c r="G55" i="46"/>
  <c r="L55" i="46"/>
  <c r="E118" i="46" s="1"/>
  <c r="K55" i="46"/>
  <c r="D118" i="46" s="1"/>
  <c r="C55" i="46"/>
  <c r="G54" i="46"/>
  <c r="L54" i="46"/>
  <c r="E117" i="46" s="1"/>
  <c r="K54" i="46"/>
  <c r="D117" i="46" s="1"/>
  <c r="C54" i="46"/>
  <c r="G53" i="46"/>
  <c r="L53" i="46"/>
  <c r="E116" i="46" s="1"/>
  <c r="K53" i="46"/>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D94" i="46"/>
  <c r="H94" i="46" s="1"/>
  <c r="C31" i="46"/>
  <c r="G30" i="46"/>
  <c r="C30" i="46"/>
  <c r="G28" i="46"/>
  <c r="C28" i="46"/>
  <c r="G27" i="46"/>
  <c r="D90"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s="1"/>
  <c r="F15" i="66"/>
  <c r="H43" i="26"/>
  <c r="G12" i="26"/>
  <c r="D58" i="7"/>
  <c r="D54" i="7"/>
  <c r="F42" i="54"/>
  <c r="F39" i="54"/>
  <c r="F30" i="54"/>
  <c r="A8" i="2"/>
  <c r="A9" i="2"/>
  <c r="A10" i="2"/>
  <c r="A11" i="2"/>
  <c r="K128" i="1"/>
  <c r="A11" i="7"/>
  <c r="A12" i="7"/>
  <c r="A13" i="7"/>
  <c r="A14" i="7"/>
  <c r="A15" i="7"/>
  <c r="A16" i="7"/>
  <c r="K32" i="1"/>
  <c r="A14" i="65"/>
  <c r="A15" i="65" s="1"/>
  <c r="A16" i="65" s="1"/>
  <c r="A17" i="65" s="1"/>
  <c r="A18" i="65" s="1"/>
  <c r="A19" i="65" s="1"/>
  <c r="A20" i="65" s="1"/>
  <c r="A21" i="65" s="1"/>
  <c r="A22" i="65" s="1"/>
  <c r="A23" i="65" s="1"/>
  <c r="A24" i="65" s="1"/>
  <c r="A25" i="12"/>
  <c r="A26" i="12"/>
  <c r="E266" i="61"/>
  <c r="N213" i="61"/>
  <c r="N210" i="61"/>
  <c r="N208" i="61"/>
  <c r="N205" i="61"/>
  <c r="N204" i="61"/>
  <c r="N199" i="61"/>
  <c r="M199" i="61"/>
  <c r="L199" i="61"/>
  <c r="J199" i="61"/>
  <c r="I199" i="61"/>
  <c r="H199" i="61"/>
  <c r="G199" i="61"/>
  <c r="J176" i="61"/>
  <c r="M176" i="61" s="1"/>
  <c r="N124" i="61"/>
  <c r="H98" i="61"/>
  <c r="N98" i="61" s="1"/>
  <c r="H97" i="61"/>
  <c r="H62" i="61"/>
  <c r="G62" i="61"/>
  <c r="J61" i="61"/>
  <c r="M61" i="61" s="1"/>
  <c r="N60" i="61"/>
  <c r="N59" i="61"/>
  <c r="J58" i="61"/>
  <c r="M58" i="61" s="1"/>
  <c r="J57" i="61"/>
  <c r="M57" i="61" s="1"/>
  <c r="J56" i="61"/>
  <c r="M56" i="61" s="1"/>
  <c r="G18" i="61"/>
  <c r="I18" i="61" s="1"/>
  <c r="J17" i="61"/>
  <c r="M17" i="61" s="1"/>
  <c r="N16" i="61"/>
  <c r="J15" i="61"/>
  <c r="M15" i="61" s="1"/>
  <c r="G14" i="61"/>
  <c r="I14" i="61" s="1"/>
  <c r="J13" i="61"/>
  <c r="M13" i="61" s="1"/>
  <c r="J12" i="61"/>
  <c r="M12" i="61" s="1"/>
  <c r="J11" i="61"/>
  <c r="M11" i="61" s="1"/>
  <c r="J5" i="61"/>
  <c r="M5" i="61" s="1"/>
  <c r="G4" i="61"/>
  <c r="I4" i="61" s="1"/>
  <c r="A8" i="17"/>
  <c r="A9" i="17"/>
  <c r="A10" i="17"/>
  <c r="A11" i="17"/>
  <c r="A12" i="17"/>
  <c r="A13" i="17"/>
  <c r="A14" i="17"/>
  <c r="I103" i="1"/>
  <c r="D50" i="26"/>
  <c r="G19" i="26" s="1"/>
  <c r="I19" i="26" s="1"/>
  <c r="D49" i="26"/>
  <c r="G18" i="26" s="1"/>
  <c r="I18" i="26" s="1"/>
  <c r="D48" i="26"/>
  <c r="G17" i="26" s="1"/>
  <c r="I17" i="26" s="1"/>
  <c r="D47" i="26"/>
  <c r="G16" i="26" s="1"/>
  <c r="I16" i="26" s="1"/>
  <c r="D46" i="26"/>
  <c r="G15" i="26" s="1"/>
  <c r="I15" i="26" s="1"/>
  <c r="D45" i="26"/>
  <c r="G14" i="26" s="1"/>
  <c r="I14" i="26" s="1"/>
  <c r="D42" i="26"/>
  <c r="G11" i="26" s="1"/>
  <c r="I11" i="26" s="1"/>
  <c r="D41" i="26"/>
  <c r="G10" i="26" s="1"/>
  <c r="I10" i="26" s="1"/>
  <c r="D40" i="26"/>
  <c r="G9" i="26" s="1"/>
  <c r="I9" i="26" s="1"/>
  <c r="D39" i="26"/>
  <c r="G8" i="26" s="1"/>
  <c r="I8" i="26" s="1"/>
  <c r="D38" i="26"/>
  <c r="G7" i="26" s="1"/>
  <c r="I7"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7" i="26"/>
  <c r="A8" i="26"/>
  <c r="A9" i="26"/>
  <c r="A10" i="26"/>
  <c r="A27" i="11"/>
  <c r="K102" i="1"/>
  <c r="A7" i="8"/>
  <c r="A8" i="8" s="1"/>
  <c r="A9" i="8" s="1"/>
  <c r="A12" i="8" s="1"/>
  <c r="E27" i="32"/>
  <c r="F24" i="26"/>
  <c r="F27" i="12"/>
  <c r="F56" i="12"/>
  <c r="F26" i="12"/>
  <c r="F40" i="12" s="1"/>
  <c r="F25" i="12"/>
  <c r="F39" i="12" s="1"/>
  <c r="F22" i="31"/>
  <c r="E22" i="31"/>
  <c r="D22" i="31"/>
  <c r="E20" i="26"/>
  <c r="F15" i="56"/>
  <c r="I70" i="61"/>
  <c r="F48" i="11"/>
  <c r="A28" i="11"/>
  <c r="A29" i="11"/>
  <c r="A30" i="11"/>
  <c r="A31" i="11"/>
  <c r="A32" i="11"/>
  <c r="A33" i="11"/>
  <c r="A34" i="11"/>
  <c r="A35" i="11"/>
  <c r="A36" i="11"/>
  <c r="A37" i="11"/>
  <c r="A38" i="11"/>
  <c r="L52" i="46"/>
  <c r="H64" i="44"/>
  <c r="A10" i="1"/>
  <c r="A11" i="1" s="1"/>
  <c r="A12" i="1" s="1"/>
  <c r="A21" i="71"/>
  <c r="G21" i="71"/>
  <c r="F54" i="71"/>
  <c r="J14" i="61"/>
  <c r="M14" i="61" s="1"/>
  <c r="G16" i="61"/>
  <c r="I16" i="61" s="1"/>
  <c r="J16" i="61"/>
  <c r="M16" i="61" s="1"/>
  <c r="J53" i="61"/>
  <c r="M53" i="61" s="1"/>
  <c r="G15" i="61"/>
  <c r="I15" i="61" s="1"/>
  <c r="N12" i="61"/>
  <c r="N211" i="61"/>
  <c r="E10" i="2"/>
  <c r="F48" i="71"/>
  <c r="E54" i="7"/>
  <c r="A29" i="57"/>
  <c r="J59" i="61"/>
  <c r="M59" i="61" s="1"/>
  <c r="N58" i="61"/>
  <c r="F40" i="56"/>
  <c r="G175" i="61"/>
  <c r="I175" i="61" s="1"/>
  <c r="N15" i="61"/>
  <c r="G57" i="61"/>
  <c r="I57" i="61" s="1"/>
  <c r="G11" i="61"/>
  <c r="I11" i="61" s="1"/>
  <c r="N215" i="61"/>
  <c r="N5" i="61"/>
  <c r="I65" i="61"/>
  <c r="G58" i="61"/>
  <c r="I58" i="61" s="1"/>
  <c r="F41" i="12"/>
  <c r="H24" i="8"/>
  <c r="I28" i="1"/>
  <c r="N17" i="61"/>
  <c r="N14" i="61"/>
  <c r="N18" i="61"/>
  <c r="G5" i="61"/>
  <c r="I5" i="61" s="1"/>
  <c r="N4" i="61"/>
  <c r="N209" i="61"/>
  <c r="N212" i="61"/>
  <c r="J54" i="61"/>
  <c r="M54" i="61" s="1"/>
  <c r="J62" i="61"/>
  <c r="M62" i="61" s="1"/>
  <c r="N13" i="61"/>
  <c r="N125" i="61"/>
  <c r="G17" i="61"/>
  <c r="I17" i="61" s="1"/>
  <c r="G13" i="61"/>
  <c r="I13" i="61" s="1"/>
  <c r="N206" i="61"/>
  <c r="N11" i="61"/>
  <c r="N207" i="61"/>
  <c r="N57" i="61"/>
  <c r="G56" i="61"/>
  <c r="I56" i="61" s="1"/>
  <c r="N62" i="61"/>
  <c r="N214" i="61"/>
  <c r="G59" i="61"/>
  <c r="I59" i="61" s="1"/>
  <c r="J4" i="61"/>
  <c r="J64" i="61"/>
  <c r="M64" i="61" s="1"/>
  <c r="J54" i="46"/>
  <c r="C117" i="46" s="1"/>
  <c r="A12" i="2"/>
  <c r="A13" i="2"/>
  <c r="J27" i="8"/>
  <c r="D101" i="46"/>
  <c r="K103" i="1"/>
  <c r="H43" i="44"/>
  <c r="A15" i="17"/>
  <c r="A16" i="17"/>
  <c r="A17" i="17"/>
  <c r="A18" i="17"/>
  <c r="A19" i="17"/>
  <c r="A20" i="17"/>
  <c r="A21" i="17"/>
  <c r="A22" i="17"/>
  <c r="A23" i="17"/>
  <c r="D74" i="46"/>
  <c r="A17" i="7"/>
  <c r="A18" i="7"/>
  <c r="A19" i="7"/>
  <c r="A20" i="7"/>
  <c r="A21" i="7"/>
  <c r="A22" i="7"/>
  <c r="A23" i="7"/>
  <c r="A24" i="7"/>
  <c r="A25" i="7"/>
  <c r="B197" i="71"/>
  <c r="D93" i="46"/>
  <c r="D77" i="46"/>
  <c r="H77" i="46" s="1"/>
  <c r="G77" i="44"/>
  <c r="A31" i="44"/>
  <c r="A47" i="11"/>
  <c r="H39" i="12"/>
  <c r="A11" i="56"/>
  <c r="A12" i="56"/>
  <c r="E115" i="46"/>
  <c r="A23" i="22"/>
  <c r="A14" i="32"/>
  <c r="A20" i="32"/>
  <c r="A27" i="12"/>
  <c r="D48" i="71"/>
  <c r="E48" i="71"/>
  <c r="E55" i="71"/>
  <c r="D55" i="71"/>
  <c r="A6" i="31"/>
  <c r="A7" i="31"/>
  <c r="A8" i="31"/>
  <c r="B39" i="31"/>
  <c r="A30" i="57"/>
  <c r="A31" i="57"/>
  <c r="G31" i="57"/>
  <c r="F55" i="71"/>
  <c r="E58" i="7"/>
  <c r="F115" i="71"/>
  <c r="G41" i="44"/>
  <c r="E25" i="7"/>
  <c r="E13" i="2"/>
  <c r="E14" i="2"/>
  <c r="A14" i="2"/>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A48" i="11"/>
  <c r="H40" i="12"/>
  <c r="A32" i="44"/>
  <c r="G55" i="44"/>
  <c r="D17" i="56"/>
  <c r="A32" i="57"/>
  <c r="A33" i="57"/>
  <c r="E15" i="2"/>
  <c r="A15" i="2"/>
  <c r="A26" i="71"/>
  <c r="A27" i="71"/>
  <c r="A33" i="44"/>
  <c r="B48" i="44"/>
  <c r="G64" i="44"/>
  <c r="A37" i="7"/>
  <c r="A38" i="7"/>
  <c r="A39" i="7"/>
  <c r="A40" i="7"/>
  <c r="A41" i="7"/>
  <c r="A42" i="7"/>
  <c r="A43" i="7"/>
  <c r="A44" i="7"/>
  <c r="A45" i="7"/>
  <c r="A46" i="7"/>
  <c r="A54" i="12"/>
  <c r="B40" i="31"/>
  <c r="B35" i="31"/>
  <c r="A10" i="31"/>
  <c r="A49" i="11"/>
  <c r="H41" i="12"/>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G73" i="44"/>
  <c r="I85" i="64"/>
  <c r="A47" i="7"/>
  <c r="A48" i="7"/>
  <c r="A49" i="7"/>
  <c r="A50" i="7"/>
  <c r="A51" i="7"/>
  <c r="A52" i="7"/>
  <c r="A53" i="7"/>
  <c r="A54" i="7"/>
  <c r="A55" i="7"/>
  <c r="G26" i="26"/>
  <c r="G50" i="22"/>
  <c r="F29" i="54"/>
  <c r="G54" i="22"/>
  <c r="G24" i="22"/>
  <c r="I55" i="1"/>
  <c r="A16" i="2"/>
  <c r="A17" i="2"/>
  <c r="A18" i="2"/>
  <c r="A19" i="2"/>
  <c r="A20" i="2"/>
  <c r="A21" i="2"/>
  <c r="A22" i="2"/>
  <c r="G22" i="32"/>
  <c r="A55" i="12"/>
  <c r="A56" i="12"/>
  <c r="A57" i="12"/>
  <c r="A58" i="12"/>
  <c r="A59" i="12"/>
  <c r="H61" i="8"/>
  <c r="B191" i="71"/>
  <c r="B194" i="71"/>
  <c r="F27" i="71"/>
  <c r="F65" i="71"/>
  <c r="A32" i="71"/>
  <c r="A33" i="71"/>
  <c r="A27" i="22"/>
  <c r="H12" i="8"/>
  <c r="A27" i="32"/>
  <c r="A28" i="32"/>
  <c r="A21" i="56"/>
  <c r="A22" i="56"/>
  <c r="A23" i="56"/>
  <c r="A24" i="56"/>
  <c r="A25" i="56"/>
  <c r="A26" i="56"/>
  <c r="A50" i="11"/>
  <c r="A51" i="11"/>
  <c r="A52" i="11"/>
  <c r="A61" i="11"/>
  <c r="B41" i="31"/>
  <c r="B36" i="31"/>
  <c r="A18" i="31"/>
  <c r="E40" i="7"/>
  <c r="A34" i="44"/>
  <c r="G80" i="44"/>
  <c r="G43" i="57"/>
  <c r="G45" i="57"/>
  <c r="A34" i="71"/>
  <c r="A35" i="71"/>
  <c r="F66" i="71"/>
  <c r="A46" i="57"/>
  <c r="A47" i="57"/>
  <c r="G9" i="31"/>
  <c r="G10" i="31"/>
  <c r="H54" i="12"/>
  <c r="F68" i="12"/>
  <c r="E48" i="7"/>
  <c r="E23" i="2"/>
  <c r="A23" i="2"/>
  <c r="B109" i="12"/>
  <c r="A68" i="12"/>
  <c r="A19" i="31"/>
  <c r="A20" i="31"/>
  <c r="A22" i="31"/>
  <c r="A24" i="31"/>
  <c r="A27" i="31"/>
  <c r="A56" i="7"/>
  <c r="A57" i="7"/>
  <c r="A58" i="7"/>
  <c r="A59" i="7"/>
  <c r="A60" i="7"/>
  <c r="A61" i="7"/>
  <c r="E55" i="7"/>
  <c r="D26" i="56"/>
  <c r="G28" i="32"/>
  <c r="A34" i="22"/>
  <c r="A41" i="44"/>
  <c r="A42" i="44"/>
  <c r="A62" i="11"/>
  <c r="A27" i="56"/>
  <c r="A28" i="56"/>
  <c r="D28" i="56"/>
  <c r="A36" i="71"/>
  <c r="A37" i="71"/>
  <c r="C37" i="71"/>
  <c r="B192" i="71"/>
  <c r="B195" i="71"/>
  <c r="G12" i="32"/>
  <c r="G26" i="32"/>
  <c r="G20" i="32"/>
  <c r="E20" i="2"/>
  <c r="A38" i="71"/>
  <c r="A39" i="71"/>
  <c r="A42" i="71"/>
  <c r="A47" i="71"/>
  <c r="A48" i="71"/>
  <c r="A49" i="71"/>
  <c r="F35" i="71"/>
  <c r="H55" i="12"/>
  <c r="F69" i="12"/>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B98" i="44"/>
  <c r="A43" i="44"/>
  <c r="A63" i="11"/>
  <c r="B99" i="44"/>
  <c r="H56" i="12"/>
  <c r="F70" i="12"/>
  <c r="E64" i="7"/>
  <c r="E69" i="7"/>
  <c r="E25" i="2"/>
  <c r="A25" i="2"/>
  <c r="G53" i="22"/>
  <c r="A64" i="7"/>
  <c r="A65" i="7"/>
  <c r="B110" i="12"/>
  <c r="A90" i="12"/>
  <c r="A54" i="71"/>
  <c r="A55" i="71"/>
  <c r="A56" i="71"/>
  <c r="F67" i="71"/>
  <c r="G44" i="44"/>
  <c r="A44" i="44"/>
  <c r="A49" i="22"/>
  <c r="A64" i="11"/>
  <c r="A65" i="11"/>
  <c r="A66" i="11"/>
  <c r="A73" i="11"/>
  <c r="A74" i="11"/>
  <c r="A75" i="11"/>
  <c r="A76" i="11"/>
  <c r="A77" i="11"/>
  <c r="A78" i="11"/>
  <c r="A79" i="11"/>
  <c r="A80" i="11"/>
  <c r="A81" i="11"/>
  <c r="A82" i="11"/>
  <c r="A83" i="11"/>
  <c r="A84" i="11"/>
  <c r="A85" i="11"/>
  <c r="A39" i="56"/>
  <c r="A40" i="56"/>
  <c r="A26" i="2"/>
  <c r="A27" i="2"/>
  <c r="A28" i="2"/>
  <c r="E65" i="7"/>
  <c r="D40" i="56"/>
  <c r="A66" i="7"/>
  <c r="A67" i="7"/>
  <c r="A68" i="7"/>
  <c r="A69" i="7"/>
  <c r="A70" i="7"/>
  <c r="A50" i="22"/>
  <c r="A51" i="22"/>
  <c r="H13" i="8"/>
  <c r="A91" i="12"/>
  <c r="A92" i="12"/>
  <c r="H47" i="11"/>
  <c r="H48" i="11"/>
  <c r="H49" i="11"/>
  <c r="A57" i="71"/>
  <c r="A58" i="71"/>
  <c r="F68" i="71"/>
  <c r="A41" i="56"/>
  <c r="A42" i="56"/>
  <c r="E21" i="2"/>
  <c r="D42" i="56"/>
  <c r="A86" i="11"/>
  <c r="G87" i="44"/>
  <c r="A55" i="44"/>
  <c r="A53" i="22"/>
  <c r="I129" i="15"/>
  <c r="I86" i="15"/>
  <c r="I67" i="15"/>
  <c r="A65" i="71"/>
  <c r="A66" i="71"/>
  <c r="F49" i="71"/>
  <c r="F56" i="71"/>
  <c r="E28" i="2"/>
  <c r="A29" i="2"/>
  <c r="A30" i="2"/>
  <c r="A31" i="2"/>
  <c r="A32" i="2"/>
  <c r="I40" i="1"/>
  <c r="G28" i="26"/>
  <c r="G92" i="12"/>
  <c r="A71" i="7"/>
  <c r="E71" i="7"/>
  <c r="A54" i="22"/>
  <c r="A55" i="22"/>
  <c r="I16" i="1"/>
  <c r="G51" i="22"/>
  <c r="A93" i="12"/>
  <c r="A94" i="12"/>
  <c r="G98" i="12"/>
  <c r="A95" i="11"/>
  <c r="A96" i="11"/>
  <c r="A97" i="11"/>
  <c r="A98" i="11"/>
  <c r="A99" i="11"/>
  <c r="A100" i="11"/>
  <c r="A101" i="11"/>
  <c r="A102" i="11"/>
  <c r="A103" i="11"/>
  <c r="A104" i="11"/>
  <c r="A105" i="11"/>
  <c r="A106" i="11"/>
  <c r="A107" i="11"/>
  <c r="A108" i="11"/>
  <c r="A118" i="11"/>
  <c r="H62" i="11"/>
  <c r="H61" i="11"/>
  <c r="H63" i="11"/>
  <c r="A56" i="44"/>
  <c r="A57" i="44"/>
  <c r="G59" i="44"/>
  <c r="C22" i="17"/>
  <c r="A72" i="7"/>
  <c r="A73" i="7"/>
  <c r="A74" i="7"/>
  <c r="A75" i="7"/>
  <c r="A76" i="7"/>
  <c r="A77" i="7"/>
  <c r="A78" i="7"/>
  <c r="A79" i="7"/>
  <c r="A80" i="7"/>
  <c r="A81" i="7"/>
  <c r="A82" i="7"/>
  <c r="A83" i="7"/>
  <c r="A84" i="7"/>
  <c r="A85" i="7"/>
  <c r="A86" i="7"/>
  <c r="E88" i="7"/>
  <c r="A119" i="11"/>
  <c r="A120" i="11"/>
  <c r="A121" i="11"/>
  <c r="A122" i="11"/>
  <c r="A123" i="11"/>
  <c r="A124" i="11"/>
  <c r="A125" i="11"/>
  <c r="A126" i="11"/>
  <c r="A127" i="11"/>
  <c r="A128" i="11"/>
  <c r="A129" i="11"/>
  <c r="A130" i="11"/>
  <c r="F70" i="11"/>
  <c r="A87" i="7"/>
  <c r="A88" i="7"/>
  <c r="A89" i="7"/>
  <c r="C23" i="17"/>
  <c r="I53" i="1"/>
  <c r="G55" i="22"/>
  <c r="A98" i="12"/>
  <c r="G94" i="12"/>
  <c r="A67" i="71"/>
  <c r="A58" i="44"/>
  <c r="A59" i="44"/>
  <c r="G65" i="44"/>
  <c r="E73" i="7"/>
  <c r="E89" i="7"/>
  <c r="E79" i="7"/>
  <c r="A138" i="11"/>
  <c r="A139" i="11"/>
  <c r="A140" i="11"/>
  <c r="A141" i="11"/>
  <c r="A142" i="11"/>
  <c r="A143" i="11"/>
  <c r="A144" i="11"/>
  <c r="A145" i="11"/>
  <c r="A146" i="11"/>
  <c r="A147" i="11"/>
  <c r="A148" i="11"/>
  <c r="A149" i="11"/>
  <c r="A150" i="11"/>
  <c r="A158" i="11"/>
  <c r="A90" i="7"/>
  <c r="A91" i="7"/>
  <c r="I150" i="1"/>
  <c r="G90" i="44"/>
  <c r="A99" i="12"/>
  <c r="A100" i="12"/>
  <c r="A101" i="12"/>
  <c r="A68" i="71"/>
  <c r="B193" i="71"/>
  <c r="E91" i="7"/>
  <c r="E80" i="7"/>
  <c r="E86" i="7"/>
  <c r="E84" i="7"/>
  <c r="G78" i="44"/>
  <c r="A64" i="44"/>
  <c r="B189" i="71"/>
  <c r="B190" i="71"/>
  <c r="B196" i="71"/>
  <c r="H70" i="11"/>
  <c r="A159" i="11"/>
  <c r="A160" i="11"/>
  <c r="A161" i="11"/>
  <c r="A162" i="11"/>
  <c r="A163" i="11"/>
  <c r="A164" i="11"/>
  <c r="A165" i="11"/>
  <c r="A166" i="11"/>
  <c r="A167" i="11"/>
  <c r="A168" i="11"/>
  <c r="A169" i="11"/>
  <c r="A170" i="11"/>
  <c r="A177" i="11"/>
  <c r="A178" i="11"/>
  <c r="A179" i="11"/>
  <c r="A180" i="11"/>
  <c r="A181" i="11"/>
  <c r="A182" i="11"/>
  <c r="A183" i="11"/>
  <c r="A184" i="11"/>
  <c r="A185" i="11"/>
  <c r="A186" i="11"/>
  <c r="A187" i="11"/>
  <c r="A188" i="11"/>
  <c r="A189" i="11"/>
  <c r="A196" i="11"/>
  <c r="A197" i="11"/>
  <c r="A198" i="11"/>
  <c r="A199" i="11"/>
  <c r="A200" i="11"/>
  <c r="A201" i="11"/>
  <c r="A202" i="11"/>
  <c r="A203" i="11"/>
  <c r="A204" i="11"/>
  <c r="A205" i="11"/>
  <c r="A206" i="11"/>
  <c r="A207" i="11"/>
  <c r="A208" i="11"/>
  <c r="A215" i="11"/>
  <c r="A216" i="11"/>
  <c r="A217" i="11"/>
  <c r="A218" i="11"/>
  <c r="A219" i="11"/>
  <c r="A220" i="11"/>
  <c r="A221" i="11"/>
  <c r="A222" i="11"/>
  <c r="A223" i="11"/>
  <c r="A224" i="11"/>
  <c r="A225" i="11"/>
  <c r="A226" i="11"/>
  <c r="A227" i="11"/>
  <c r="A234" i="11"/>
  <c r="A235" i="11"/>
  <c r="A236" i="11"/>
  <c r="A237" i="11"/>
  <c r="A238" i="11"/>
  <c r="A239" i="11"/>
  <c r="A240" i="11"/>
  <c r="A241" i="11"/>
  <c r="A242" i="11"/>
  <c r="A243" i="11"/>
  <c r="A244" i="11"/>
  <c r="A245" i="11"/>
  <c r="A246" i="11"/>
  <c r="A253" i="11"/>
  <c r="A254" i="11"/>
  <c r="A255" i="11"/>
  <c r="A256" i="11"/>
  <c r="A257" i="11"/>
  <c r="A258" i="11"/>
  <c r="A259" i="11"/>
  <c r="A260" i="11"/>
  <c r="A261" i="11"/>
  <c r="A262" i="11"/>
  <c r="A263" i="11"/>
  <c r="A264" i="11"/>
  <c r="A265" i="11"/>
  <c r="A272" i="11"/>
  <c r="A273" i="11"/>
  <c r="A274" i="11"/>
  <c r="A275" i="11"/>
  <c r="A276" i="11"/>
  <c r="A277" i="11"/>
  <c r="A278" i="11"/>
  <c r="A279" i="11"/>
  <c r="A280" i="11"/>
  <c r="A281" i="11"/>
  <c r="A282" i="11"/>
  <c r="A283" i="11"/>
  <c r="A284" i="11"/>
  <c r="A291" i="11"/>
  <c r="A292" i="11"/>
  <c r="A293" i="11"/>
  <c r="A294" i="11"/>
  <c r="A295" i="11"/>
  <c r="A296" i="11"/>
  <c r="A297" i="11"/>
  <c r="A298" i="11"/>
  <c r="A299" i="11"/>
  <c r="A300" i="11"/>
  <c r="A301" i="11"/>
  <c r="A302" i="11"/>
  <c r="A303" i="11"/>
  <c r="G101" i="12"/>
  <c r="F141" i="71"/>
  <c r="A69" i="71"/>
  <c r="A65" i="44"/>
  <c r="A66" i="44"/>
  <c r="A67" i="44"/>
  <c r="A68" i="44"/>
  <c r="A69" i="44"/>
  <c r="A70" i="44"/>
  <c r="A310" i="11"/>
  <c r="A311" i="11"/>
  <c r="A312" i="11"/>
  <c r="A313" i="11"/>
  <c r="A314" i="11"/>
  <c r="A315" i="11"/>
  <c r="A316" i="11"/>
  <c r="A317" i="11"/>
  <c r="A318" i="11"/>
  <c r="A319" i="11"/>
  <c r="A320" i="11"/>
  <c r="A321" i="11"/>
  <c r="A322" i="11"/>
  <c r="G70" i="11"/>
  <c r="A71" i="44"/>
  <c r="A72" i="44"/>
  <c r="G66" i="44"/>
  <c r="A70" i="71"/>
  <c r="A78" i="71"/>
  <c r="F70" i="71"/>
  <c r="G79" i="44"/>
  <c r="A330" i="11"/>
  <c r="A331" i="11"/>
  <c r="A332" i="11"/>
  <c r="A333" i="11"/>
  <c r="A334" i="11"/>
  <c r="A335" i="11"/>
  <c r="A336" i="11"/>
  <c r="A337" i="11"/>
  <c r="A338" i="11"/>
  <c r="A339" i="11"/>
  <c r="A340" i="11"/>
  <c r="A341" i="11"/>
  <c r="G72" i="44"/>
  <c r="A73" i="44"/>
  <c r="A74" i="44"/>
  <c r="A79" i="71"/>
  <c r="A80" i="71"/>
  <c r="A81" i="71"/>
  <c r="A82" i="71"/>
  <c r="A83" i="71"/>
  <c r="A84" i="71"/>
  <c r="A85" i="71"/>
  <c r="A86" i="71"/>
  <c r="A87" i="71"/>
  <c r="A88" i="71"/>
  <c r="A89" i="71"/>
  <c r="A342" i="11"/>
  <c r="G74" i="44"/>
  <c r="G81" i="44"/>
  <c r="A77" i="44"/>
  <c r="A78" i="44"/>
  <c r="A79" i="44"/>
  <c r="A80" i="44"/>
  <c r="A81" i="44"/>
  <c r="A82" i="44"/>
  <c r="A83" i="44"/>
  <c r="A33" i="2"/>
  <c r="B198" i="71"/>
  <c r="A90" i="71"/>
  <c r="A96" i="71"/>
  <c r="I90" i="71"/>
  <c r="A366" i="11"/>
  <c r="A367" i="11"/>
  <c r="A349" i="11"/>
  <c r="A350" i="11"/>
  <c r="A351" i="11"/>
  <c r="A352" i="11"/>
  <c r="A353" i="11"/>
  <c r="A354" i="11"/>
  <c r="A355" i="11"/>
  <c r="A356" i="11"/>
  <c r="A357" i="11"/>
  <c r="A358" i="11"/>
  <c r="A359" i="11"/>
  <c r="A360" i="11"/>
  <c r="A361" i="11"/>
  <c r="G88" i="44"/>
  <c r="A87" i="44"/>
  <c r="A88" i="44"/>
  <c r="A89" i="44"/>
  <c r="A90" i="44"/>
  <c r="A91" i="44"/>
  <c r="A92" i="44"/>
  <c r="A93" i="44"/>
  <c r="I159" i="1"/>
  <c r="A34" i="2"/>
  <c r="A35" i="2"/>
  <c r="A36" i="2"/>
  <c r="A97" i="71"/>
  <c r="A98" i="71"/>
  <c r="A99" i="71"/>
  <c r="A100" i="71"/>
  <c r="A101" i="71"/>
  <c r="A102" i="71"/>
  <c r="A103" i="71"/>
  <c r="A104" i="71"/>
  <c r="A105" i="71"/>
  <c r="A106" i="71"/>
  <c r="A107" i="71"/>
  <c r="A108" i="71"/>
  <c r="A114" i="71"/>
  <c r="A115" i="71"/>
  <c r="A116" i="71"/>
  <c r="F117" i="71"/>
  <c r="I108" i="71"/>
  <c r="G25" i="12"/>
  <c r="A368" i="11"/>
  <c r="A371" i="11"/>
  <c r="A372" i="11"/>
  <c r="B101" i="44"/>
  <c r="G93" i="44"/>
  <c r="G91" i="44"/>
  <c r="E36" i="2"/>
  <c r="E35" i="2"/>
  <c r="A37" i="2"/>
  <c r="A38" i="2"/>
  <c r="A39" i="2"/>
  <c r="G26" i="12"/>
  <c r="A373" i="11"/>
  <c r="A376" i="11"/>
  <c r="A377" i="11"/>
  <c r="A40" i="2"/>
  <c r="A41" i="2"/>
  <c r="A42" i="2"/>
  <c r="F116" i="71"/>
  <c r="A117" i="71"/>
  <c r="A118" i="71"/>
  <c r="A123" i="71"/>
  <c r="F142" i="71"/>
  <c r="G27" i="12"/>
  <c r="A378" i="11"/>
  <c r="A379" i="11"/>
  <c r="A382" i="11"/>
  <c r="A383" i="11"/>
  <c r="A384" i="11"/>
  <c r="A385" i="11"/>
  <c r="A386" i="11"/>
  <c r="A389" i="11"/>
  <c r="A390" i="11"/>
  <c r="A391" i="11"/>
  <c r="A394" i="11"/>
  <c r="A395" i="11"/>
  <c r="A396" i="11"/>
  <c r="A399" i="11"/>
  <c r="A400" i="11"/>
  <c r="A401" i="11"/>
  <c r="A404" i="11"/>
  <c r="A405" i="11"/>
  <c r="A406" i="11"/>
  <c r="A409" i="11"/>
  <c r="A410" i="11"/>
  <c r="A411" i="11"/>
  <c r="A414" i="11"/>
  <c r="A415" i="11"/>
  <c r="A416" i="11"/>
  <c r="A419" i="11"/>
  <c r="A420" i="11"/>
  <c r="A421" i="11"/>
  <c r="A424" i="11"/>
  <c r="A425" i="11"/>
  <c r="A426" i="11"/>
  <c r="A429" i="11"/>
  <c r="A430" i="11"/>
  <c r="A431" i="11"/>
  <c r="A434" i="11"/>
  <c r="A435" i="11"/>
  <c r="A436" i="11"/>
  <c r="E41" i="2"/>
  <c r="E42" i="2"/>
  <c r="A43" i="2"/>
  <c r="F118" i="71"/>
  <c r="A124" i="71"/>
  <c r="A125" i="71"/>
  <c r="A126" i="71"/>
  <c r="A127" i="71"/>
  <c r="A128" i="71"/>
  <c r="A129" i="71"/>
  <c r="A130" i="71"/>
  <c r="A131" i="71"/>
  <c r="A132" i="71"/>
  <c r="A141" i="71"/>
  <c r="A142" i="71"/>
  <c r="A143" i="71"/>
  <c r="A133" i="71"/>
  <c r="A134" i="71"/>
  <c r="A135" i="71"/>
  <c r="A44" i="2"/>
  <c r="A45" i="2"/>
  <c r="A46" i="2"/>
  <c r="A47" i="2"/>
  <c r="A48" i="2"/>
  <c r="A49" i="2"/>
  <c r="F135" i="71"/>
  <c r="B199" i="71"/>
  <c r="A50" i="2"/>
  <c r="A51" i="2"/>
  <c r="A52" i="2"/>
  <c r="A53" i="2"/>
  <c r="A54" i="2"/>
  <c r="F143" i="71"/>
  <c r="A144" i="71"/>
  <c r="A145" i="71"/>
  <c r="A146" i="71"/>
  <c r="A147" i="71"/>
  <c r="A148" i="71"/>
  <c r="A149" i="71"/>
  <c r="B37" i="31"/>
  <c r="A155" i="71"/>
  <c r="A156" i="71"/>
  <c r="A157" i="71"/>
  <c r="A158" i="71"/>
  <c r="A159" i="71"/>
  <c r="A160" i="71"/>
  <c r="A161" i="71"/>
  <c r="A162" i="71"/>
  <c r="A163" i="71"/>
  <c r="A164" i="71"/>
  <c r="F146" i="71"/>
  <c r="F149" i="71"/>
  <c r="F148" i="71"/>
  <c r="F147" i="71"/>
  <c r="A174" i="71"/>
  <c r="A175" i="71"/>
  <c r="A176" i="71"/>
  <c r="A177" i="71"/>
  <c r="A178" i="71"/>
  <c r="A179" i="71"/>
  <c r="A180" i="71"/>
  <c r="A181" i="71"/>
  <c r="A182" i="71"/>
  <c r="A183" i="71"/>
  <c r="A165" i="71"/>
  <c r="A166" i="71"/>
  <c r="A167" i="71"/>
  <c r="E48" i="2"/>
  <c r="E47" i="2"/>
  <c r="E54" i="2"/>
  <c r="E53" i="2"/>
  <c r="E183" i="4"/>
  <c r="E24" i="64"/>
  <c r="C121" i="48" s="1"/>
  <c r="E46" i="21"/>
  <c r="F51" i="21" s="1"/>
  <c r="B148" i="21"/>
  <c r="I21" i="1"/>
  <c r="A25" i="21"/>
  <c r="E38" i="7"/>
  <c r="A45" i="21"/>
  <c r="H46" i="21"/>
  <c r="H19" i="8"/>
  <c r="E104" i="4"/>
  <c r="K115" i="53"/>
  <c r="E13" i="32"/>
  <c r="J53" i="46"/>
  <c r="C116" i="46" s="1"/>
  <c r="P30" i="48"/>
  <c r="F159" i="49"/>
  <c r="F111" i="49"/>
  <c r="F30" i="11"/>
  <c r="D39" i="7"/>
  <c r="G183" i="4"/>
  <c r="F12" i="56"/>
  <c r="C158" i="4"/>
  <c r="H155" i="4"/>
  <c r="L26" i="82"/>
  <c r="K64" i="1"/>
  <c r="L32" i="84"/>
  <c r="M32" i="84"/>
  <c r="A97" i="85"/>
  <c r="A98" i="85"/>
  <c r="A44" i="46"/>
  <c r="A52" i="46"/>
  <c r="A53" i="46"/>
  <c r="A54" i="46"/>
  <c r="A55" i="46"/>
  <c r="A56" i="46"/>
  <c r="A57" i="46"/>
  <c r="A58" i="46"/>
  <c r="E62" i="46"/>
  <c r="D116" i="46"/>
  <c r="G24" i="26"/>
  <c r="A11" i="26"/>
  <c r="A12" i="26"/>
  <c r="A13" i="26"/>
  <c r="A14" i="26"/>
  <c r="A15" i="26"/>
  <c r="A16" i="26"/>
  <c r="A17" i="26"/>
  <c r="A18" i="26"/>
  <c r="A19" i="26"/>
  <c r="A46" i="21"/>
  <c r="G58" i="21"/>
  <c r="A33" i="21"/>
  <c r="H18" i="8"/>
  <c r="A99" i="85"/>
  <c r="A100" i="85"/>
  <c r="A101" i="85"/>
  <c r="A102" i="85"/>
  <c r="A103" i="85"/>
  <c r="A104" i="85"/>
  <c r="A105" i="85"/>
  <c r="A106" i="85"/>
  <c r="A107" i="85"/>
  <c r="A108" i="85"/>
  <c r="A109" i="85"/>
  <c r="A110" i="85"/>
  <c r="A111" i="85"/>
  <c r="A112" i="85"/>
  <c r="A113" i="85"/>
  <c r="A59" i="46"/>
  <c r="A60" i="46"/>
  <c r="E63" i="46"/>
  <c r="D145" i="46"/>
  <c r="C80" i="26"/>
  <c r="A20" i="26"/>
  <c r="B144" i="21"/>
  <c r="H35" i="21"/>
  <c r="G51" i="21"/>
  <c r="A51" i="21"/>
  <c r="G73" i="8"/>
  <c r="I152" i="1"/>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23" i="26"/>
  <c r="G23" i="26"/>
  <c r="A52" i="21"/>
  <c r="A53" i="21"/>
  <c r="G53" i="21"/>
  <c r="A107" i="46"/>
  <c r="A115" i="46"/>
  <c r="A116" i="46"/>
  <c r="A117" i="46"/>
  <c r="A118" i="46"/>
  <c r="A119" i="46"/>
  <c r="A120" i="46"/>
  <c r="A121" i="46"/>
  <c r="A122" i="46"/>
  <c r="A123" i="46"/>
  <c r="A124" i="46"/>
  <c r="A24" i="26"/>
  <c r="A25" i="26"/>
  <c r="G25" i="26"/>
  <c r="A58" i="21"/>
  <c r="H20" i="8"/>
  <c r="I126" i="1"/>
  <c r="A125" i="46"/>
  <c r="E7" i="2"/>
  <c r="A26" i="26"/>
  <c r="A27" i="26"/>
  <c r="G27" i="26"/>
  <c r="A59" i="21"/>
  <c r="A60" i="21"/>
  <c r="G60" i="21"/>
  <c r="A28" i="26"/>
  <c r="I23" i="1"/>
  <c r="A70" i="21"/>
  <c r="A71" i="21"/>
  <c r="A72" i="21"/>
  <c r="A73" i="21"/>
  <c r="A74" i="21"/>
  <c r="A75" i="21"/>
  <c r="A76" i="21"/>
  <c r="A77" i="21"/>
  <c r="A78" i="21"/>
  <c r="A79" i="21"/>
  <c r="A80" i="21"/>
  <c r="A81" i="21"/>
  <c r="A82" i="21"/>
  <c r="A29" i="26"/>
  <c r="G29" i="26"/>
  <c r="A89" i="21"/>
  <c r="A90" i="21"/>
  <c r="A91" i="21"/>
  <c r="A92" i="21"/>
  <c r="A93" i="21"/>
  <c r="A94" i="21"/>
  <c r="A95" i="21"/>
  <c r="A96" i="21"/>
  <c r="A97" i="21"/>
  <c r="A98" i="21"/>
  <c r="A99" i="21"/>
  <c r="A100" i="21"/>
  <c r="A106" i="21"/>
  <c r="B149" i="21"/>
  <c r="A30" i="26"/>
  <c r="G30" i="26"/>
  <c r="A109" i="21"/>
  <c r="A112" i="21"/>
  <c r="A119" i="21"/>
  <c r="A120" i="21"/>
  <c r="A121" i="21"/>
  <c r="A122" i="21"/>
  <c r="A123" i="21"/>
  <c r="A124" i="21"/>
  <c r="A125" i="21"/>
  <c r="A126" i="21"/>
  <c r="A127" i="21"/>
  <c r="A128" i="21"/>
  <c r="A129" i="21"/>
  <c r="A130" i="21"/>
  <c r="A131" i="21"/>
  <c r="I127" i="1"/>
  <c r="A37" i="26"/>
  <c r="B150" i="21"/>
  <c r="A38" i="26"/>
  <c r="A39" i="26"/>
  <c r="A40" i="26"/>
  <c r="A41" i="26"/>
  <c r="A42" i="26"/>
  <c r="A43" i="26"/>
  <c r="G81" i="26"/>
  <c r="C82" i="26"/>
  <c r="A44" i="26"/>
  <c r="C73" i="26"/>
  <c r="A45" i="26"/>
  <c r="A46" i="26"/>
  <c r="A47" i="26"/>
  <c r="A48" i="26"/>
  <c r="A49" i="26"/>
  <c r="A50" i="26"/>
  <c r="J50" i="8" l="1"/>
  <c r="A13" i="8"/>
  <c r="A14" i="8" s="1"/>
  <c r="A15" i="8" s="1"/>
  <c r="A18" i="8" s="1"/>
  <c r="F55" i="12"/>
  <c r="J155" i="49"/>
  <c r="F35" i="11"/>
  <c r="F33" i="11"/>
  <c r="F38" i="11" s="1"/>
  <c r="J24" i="8" s="1"/>
  <c r="F91" i="12" s="1"/>
  <c r="F29" i="11"/>
  <c r="B231" i="4"/>
  <c r="E36" i="7"/>
  <c r="A25" i="4"/>
  <c r="M137" i="4"/>
  <c r="G152" i="4"/>
  <c r="F153" i="4"/>
  <c r="G150" i="4"/>
  <c r="L152" i="4"/>
  <c r="L160" i="4"/>
  <c r="I24" i="64"/>
  <c r="C125" i="48" s="1"/>
  <c r="E125" i="48" s="1"/>
  <c r="D155" i="4"/>
  <c r="H152" i="4"/>
  <c r="E152" i="4"/>
  <c r="M86" i="4"/>
  <c r="I154" i="4"/>
  <c r="L161" i="4"/>
  <c r="L155" i="4"/>
  <c r="D150" i="4"/>
  <c r="J160" i="4"/>
  <c r="J158" i="4"/>
  <c r="C105" i="4"/>
  <c r="M97" i="4"/>
  <c r="L154" i="4"/>
  <c r="H160" i="4"/>
  <c r="P26" i="48"/>
  <c r="P21" i="48"/>
  <c r="I91" i="48"/>
  <c r="J91" i="48" s="1"/>
  <c r="J28" i="48" s="1"/>
  <c r="H28" i="48"/>
  <c r="I99" i="48"/>
  <c r="J99" i="48" s="1"/>
  <c r="J36" i="48" s="1"/>
  <c r="H20" i="48"/>
  <c r="P19" i="48"/>
  <c r="D21" i="71"/>
  <c r="D32" i="71" s="1"/>
  <c r="J353" i="49"/>
  <c r="J354" i="49" s="1"/>
  <c r="E69" i="8"/>
  <c r="E144" i="71"/>
  <c r="D108" i="85"/>
  <c r="D113" i="85" s="1"/>
  <c r="I12" i="26"/>
  <c r="I20" i="26" s="1"/>
  <c r="F23" i="26" s="1"/>
  <c r="F25" i="26" s="1"/>
  <c r="E73" i="8"/>
  <c r="K152" i="1"/>
  <c r="E90" i="46"/>
  <c r="K27" i="46"/>
  <c r="C90" i="46" s="1"/>
  <c r="M12" i="46"/>
  <c r="E75" i="46" s="1"/>
  <c r="I75" i="46" s="1"/>
  <c r="J43" i="46"/>
  <c r="K26" i="46"/>
  <c r="C89" i="46" s="1"/>
  <c r="K11" i="46"/>
  <c r="C74" i="46" s="1"/>
  <c r="G94" i="46"/>
  <c r="K16" i="46"/>
  <c r="C79" i="46" s="1"/>
  <c r="K18" i="46"/>
  <c r="C81" i="46" s="1"/>
  <c r="G64" i="61"/>
  <c r="H86" i="61"/>
  <c r="G142" i="61"/>
  <c r="G49" i="61"/>
  <c r="N243" i="61"/>
  <c r="G243" i="61"/>
  <c r="N231" i="61"/>
  <c r="G8" i="61"/>
  <c r="I8" i="61"/>
  <c r="J8" i="61"/>
  <c r="N8" i="61"/>
  <c r="L38" i="84"/>
  <c r="M38" i="84"/>
  <c r="H28" i="84"/>
  <c r="H48" i="84" s="1"/>
  <c r="I49" i="84" s="1"/>
  <c r="K107" i="1" s="1"/>
  <c r="J46" i="84"/>
  <c r="L18" i="84"/>
  <c r="M35" i="84"/>
  <c r="L26" i="84"/>
  <c r="M43" i="84"/>
  <c r="H49" i="83"/>
  <c r="H27" i="83"/>
  <c r="K20" i="57"/>
  <c r="E31" i="57" s="1"/>
  <c r="C12" i="57"/>
  <c r="D12" i="57"/>
  <c r="C11" i="57"/>
  <c r="J20" i="57"/>
  <c r="D27" i="57" s="1"/>
  <c r="L44" i="84"/>
  <c r="M44" i="84"/>
  <c r="L33" i="84"/>
  <c r="M33" i="84"/>
  <c r="L40" i="84"/>
  <c r="M40" i="84"/>
  <c r="L20" i="84"/>
  <c r="M20" i="84"/>
  <c r="M36" i="84"/>
  <c r="L36" i="84"/>
  <c r="M41" i="84"/>
  <c r="L41" i="84"/>
  <c r="K46" i="84"/>
  <c r="M31" i="84"/>
  <c r="M46" i="84" s="1"/>
  <c r="L31" i="84"/>
  <c r="L39" i="84"/>
  <c r="M39" i="84"/>
  <c r="L35" i="84"/>
  <c r="F48" i="84"/>
  <c r="M42" i="84"/>
  <c r="I49" i="83"/>
  <c r="J14" i="84"/>
  <c r="J28" i="84" s="1"/>
  <c r="J48" i="84" s="1"/>
  <c r="L34" i="84"/>
  <c r="M37" i="84"/>
  <c r="M34" i="84"/>
  <c r="D48" i="84"/>
  <c r="M18" i="84"/>
  <c r="A129" i="15"/>
  <c r="A130" i="15" s="1"/>
  <c r="A44" i="15"/>
  <c r="A51" i="15" s="1"/>
  <c r="E12" i="15"/>
  <c r="A133" i="15"/>
  <c r="A68" i="15"/>
  <c r="I68" i="15"/>
  <c r="E11" i="15"/>
  <c r="A90" i="15"/>
  <c r="A14" i="15"/>
  <c r="I87" i="15"/>
  <c r="G66" i="15"/>
  <c r="I130" i="15"/>
  <c r="E128" i="15"/>
  <c r="E28" i="84"/>
  <c r="E48" i="84" s="1"/>
  <c r="E49" i="84" s="1"/>
  <c r="H17" i="83"/>
  <c r="H128" i="15"/>
  <c r="H66" i="15"/>
  <c r="F54" i="12"/>
  <c r="G35" i="21"/>
  <c r="J19" i="8" s="1"/>
  <c r="K38" i="46"/>
  <c r="C101" i="46" s="1"/>
  <c r="K14" i="46"/>
  <c r="C77" i="46" s="1"/>
  <c r="K24" i="46"/>
  <c r="C87" i="46" s="1"/>
  <c r="K12" i="46"/>
  <c r="C75" i="46" s="1"/>
  <c r="D79" i="46"/>
  <c r="K32" i="46"/>
  <c r="C95" i="46" s="1"/>
  <c r="K30" i="46"/>
  <c r="C93" i="46" s="1"/>
  <c r="K28" i="46"/>
  <c r="C91" i="46" s="1"/>
  <c r="D89" i="46"/>
  <c r="H89" i="46" s="1"/>
  <c r="E60" i="46"/>
  <c r="L122" i="53"/>
  <c r="K116" i="53"/>
  <c r="K124" i="53"/>
  <c r="L123" i="53"/>
  <c r="I130" i="53"/>
  <c r="K118" i="53"/>
  <c r="L118" i="53" s="1"/>
  <c r="I150" i="4"/>
  <c r="L157" i="4"/>
  <c r="M134" i="4"/>
  <c r="M133" i="4"/>
  <c r="H143" i="4"/>
  <c r="H187" i="4" s="1"/>
  <c r="H191" i="4" s="1"/>
  <c r="H150" i="4"/>
  <c r="G161" i="4"/>
  <c r="M136" i="4"/>
  <c r="M132" i="4"/>
  <c r="K143" i="4"/>
  <c r="K187" i="4" s="1"/>
  <c r="F157" i="4"/>
  <c r="G155" i="4"/>
  <c r="K160" i="4"/>
  <c r="L156" i="4"/>
  <c r="E153" i="4"/>
  <c r="F161" i="4"/>
  <c r="C151" i="4"/>
  <c r="F158" i="4"/>
  <c r="D68" i="64"/>
  <c r="D77" i="64" s="1"/>
  <c r="K24" i="64"/>
  <c r="C127" i="48" s="1"/>
  <c r="E127" i="48" s="1"/>
  <c r="L24" i="64"/>
  <c r="C128" i="48" s="1"/>
  <c r="E128" i="48" s="1"/>
  <c r="F183" i="4"/>
  <c r="F191" i="4" s="1"/>
  <c r="P33" i="48"/>
  <c r="P27" i="48"/>
  <c r="F26" i="56"/>
  <c r="C28" i="56"/>
  <c r="F57" i="4"/>
  <c r="F130" i="53"/>
  <c r="L115" i="53"/>
  <c r="L125" i="53"/>
  <c r="K127" i="53"/>
  <c r="L127" i="53" s="1"/>
  <c r="J130" i="53"/>
  <c r="K120" i="53"/>
  <c r="L119" i="53"/>
  <c r="J28" i="53"/>
  <c r="K117" i="53"/>
  <c r="I20" i="57"/>
  <c r="C27" i="57" s="1"/>
  <c r="C28" i="57" s="1"/>
  <c r="C16" i="57"/>
  <c r="C18" i="57" s="1"/>
  <c r="H20" i="57"/>
  <c r="D26" i="57" s="1"/>
  <c r="E12" i="57"/>
  <c r="F83" i="46"/>
  <c r="I83" i="46" s="1"/>
  <c r="G98" i="61"/>
  <c r="G159" i="61" s="1"/>
  <c r="M243" i="61"/>
  <c r="G231" i="61"/>
  <c r="J231" i="61"/>
  <c r="G13" i="2"/>
  <c r="G14" i="2" s="1"/>
  <c r="J52" i="46"/>
  <c r="C115" i="46" s="1"/>
  <c r="C58" i="46"/>
  <c r="L58" i="46"/>
  <c r="K23" i="46"/>
  <c r="C86" i="46" s="1"/>
  <c r="K22" i="46"/>
  <c r="C85" i="46" s="1"/>
  <c r="K19" i="46"/>
  <c r="C82" i="46" s="1"/>
  <c r="K37" i="46"/>
  <c r="C100" i="46" s="1"/>
  <c r="K13" i="46"/>
  <c r="C76" i="46" s="1"/>
  <c r="C43" i="46"/>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E106" i="11"/>
  <c r="G106" i="11" s="1"/>
  <c r="E95" i="11"/>
  <c r="G95" i="11" s="1"/>
  <c r="E102" i="11"/>
  <c r="G102" i="11" s="1"/>
  <c r="E98" i="11"/>
  <c r="G98" i="11" s="1"/>
  <c r="H86" i="11"/>
  <c r="G61" i="11" s="1"/>
  <c r="E81" i="11"/>
  <c r="E99" i="11"/>
  <c r="G99" i="11" s="1"/>
  <c r="E96" i="11"/>
  <c r="G96" i="11" s="1"/>
  <c r="E79" i="11"/>
  <c r="E107" i="11"/>
  <c r="G107" i="11" s="1"/>
  <c r="F49" i="22"/>
  <c r="E65" i="49"/>
  <c r="J386" i="49"/>
  <c r="J387" i="49" s="1"/>
  <c r="I72" i="49"/>
  <c r="G62" i="48" s="1"/>
  <c r="G30" i="48" s="1"/>
  <c r="J188" i="49"/>
  <c r="J189" i="49" s="1"/>
  <c r="I62" i="49"/>
  <c r="G52" i="48" s="1"/>
  <c r="G20" i="48" s="1"/>
  <c r="I78" i="49"/>
  <c r="G68" i="48" s="1"/>
  <c r="G36" i="48" s="1"/>
  <c r="E73" i="49"/>
  <c r="I57" i="49"/>
  <c r="G47" i="48" s="1"/>
  <c r="G15" i="48" s="1"/>
  <c r="I65" i="49"/>
  <c r="G55" i="48" s="1"/>
  <c r="G23" i="48" s="1"/>
  <c r="E58" i="49"/>
  <c r="F107" i="49"/>
  <c r="F73" i="49" s="1"/>
  <c r="E69" i="49"/>
  <c r="F31" i="11"/>
  <c r="E38" i="11"/>
  <c r="K28" i="1" s="1"/>
  <c r="M26" i="84"/>
  <c r="M19" i="84"/>
  <c r="L19" i="84"/>
  <c r="K17" i="84"/>
  <c r="L22" i="84"/>
  <c r="M22" i="84"/>
  <c r="I24" i="83"/>
  <c r="K21" i="84" s="1"/>
  <c r="G28" i="84"/>
  <c r="G48" i="84" s="1"/>
  <c r="H31" i="83"/>
  <c r="H51" i="83" s="1"/>
  <c r="L11" i="84"/>
  <c r="M11" i="84"/>
  <c r="L12" i="84"/>
  <c r="M12" i="84"/>
  <c r="L10" i="84"/>
  <c r="M10" i="84"/>
  <c r="I12" i="83"/>
  <c r="G128" i="15"/>
  <c r="D128" i="15"/>
  <c r="F128" i="15"/>
  <c r="F130" i="15" s="1"/>
  <c r="D66" i="15"/>
  <c r="N106" i="21"/>
  <c r="H105" i="4"/>
  <c r="H24" i="64"/>
  <c r="C124" i="48" s="1"/>
  <c r="E124" i="48" s="1"/>
  <c r="I143" i="4"/>
  <c r="I187" i="4" s="1"/>
  <c r="I191" i="4" s="1"/>
  <c r="F150" i="4"/>
  <c r="J155" i="4"/>
  <c r="K152" i="4"/>
  <c r="K155" i="4"/>
  <c r="E143" i="4"/>
  <c r="E187" i="4" s="1"/>
  <c r="E191" i="4" s="1"/>
  <c r="C152" i="4"/>
  <c r="D156" i="4"/>
  <c r="G157" i="4"/>
  <c r="M131" i="4"/>
  <c r="D143" i="4"/>
  <c r="D187" i="4" s="1"/>
  <c r="L143" i="4"/>
  <c r="L187" i="4" s="1"/>
  <c r="D158" i="4"/>
  <c r="J154" i="4"/>
  <c r="M142" i="4"/>
  <c r="G143" i="4"/>
  <c r="G187" i="4" s="1"/>
  <c r="G191" i="4" s="1"/>
  <c r="F154" i="4"/>
  <c r="G158" i="4"/>
  <c r="I153" i="4"/>
  <c r="K157" i="4"/>
  <c r="L153" i="4"/>
  <c r="E159" i="4"/>
  <c r="M140" i="4"/>
  <c r="M139" i="4"/>
  <c r="M138" i="4"/>
  <c r="J143" i="4"/>
  <c r="J187" i="4" s="1"/>
  <c r="M135" i="4"/>
  <c r="F143" i="4"/>
  <c r="F187" i="4" s="1"/>
  <c r="M141" i="4"/>
  <c r="M104" i="4"/>
  <c r="M101" i="4"/>
  <c r="H157" i="4"/>
  <c r="M96" i="4"/>
  <c r="J150" i="4"/>
  <c r="I156" i="4"/>
  <c r="J161" i="4"/>
  <c r="M100" i="4"/>
  <c r="I105" i="4"/>
  <c r="I157" i="4"/>
  <c r="M102" i="4"/>
  <c r="M99" i="4"/>
  <c r="D105" i="4"/>
  <c r="M95" i="4"/>
  <c r="M93" i="4"/>
  <c r="M98" i="4"/>
  <c r="I89" i="65"/>
  <c r="A25" i="65"/>
  <c r="B8" i="65"/>
  <c r="E71" i="8"/>
  <c r="E145" i="71"/>
  <c r="A15" i="1"/>
  <c r="K44" i="1"/>
  <c r="J58" i="8"/>
  <c r="J52" i="8"/>
  <c r="K104" i="1"/>
  <c r="J57" i="8"/>
  <c r="G21" i="45"/>
  <c r="J9" i="8" s="1"/>
  <c r="N76" i="61"/>
  <c r="I60" i="46"/>
  <c r="C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9"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24" i="53"/>
  <c r="L120" i="53"/>
  <c r="L121" i="53"/>
  <c r="L128" i="53"/>
  <c r="L116" i="53"/>
  <c r="N63" i="61"/>
  <c r="I62" i="61"/>
  <c r="I86" i="61" s="1"/>
  <c r="G63" i="61"/>
  <c r="N77" i="61"/>
  <c r="I97" i="61"/>
  <c r="I159" i="61" s="1"/>
  <c r="I240" i="61"/>
  <c r="I243" i="61" s="1"/>
  <c r="J243" i="61"/>
  <c r="I231" i="61"/>
  <c r="M231" i="61"/>
  <c r="H188" i="61"/>
  <c r="I168" i="61"/>
  <c r="I188" i="61" s="1"/>
  <c r="N188" i="61"/>
  <c r="M188" i="61"/>
  <c r="G188" i="61"/>
  <c r="J188" i="61"/>
  <c r="L255" i="61"/>
  <c r="E258" i="61" s="1"/>
  <c r="E259" i="61" s="1"/>
  <c r="M248" i="61"/>
  <c r="M250" i="61" s="1"/>
  <c r="I44" i="61"/>
  <c r="I49" i="61" s="1"/>
  <c r="E250" i="61"/>
  <c r="E255" i="61" s="1"/>
  <c r="E261" i="61"/>
  <c r="E262" i="61" s="1"/>
  <c r="G250" i="61"/>
  <c r="N159" i="61"/>
  <c r="M159" i="61"/>
  <c r="J159" i="61"/>
  <c r="H159" i="61"/>
  <c r="N61" i="61"/>
  <c r="N86" i="61" s="1"/>
  <c r="E263" i="61"/>
  <c r="E264" i="61" s="1"/>
  <c r="M49" i="61"/>
  <c r="J49" i="61"/>
  <c r="I41" i="61"/>
  <c r="J41" i="61"/>
  <c r="N41" i="61"/>
  <c r="M41" i="61"/>
  <c r="G41"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J82" i="48"/>
  <c r="J19" i="48" s="1"/>
  <c r="I76" i="48"/>
  <c r="H13" i="48"/>
  <c r="H24" i="48"/>
  <c r="I87" i="48"/>
  <c r="I81" i="48"/>
  <c r="H18" i="48"/>
  <c r="J92" i="48"/>
  <c r="J29" i="48" s="1"/>
  <c r="I29" i="48"/>
  <c r="I36" i="48"/>
  <c r="I78" i="48"/>
  <c r="H93" i="48"/>
  <c r="H30" i="48" s="1"/>
  <c r="H25" i="48"/>
  <c r="H89" i="48"/>
  <c r="H26" i="48" s="1"/>
  <c r="H29" i="48"/>
  <c r="H98" i="48"/>
  <c r="H35" i="48" s="1"/>
  <c r="H84" i="48"/>
  <c r="H21" i="48" s="1"/>
  <c r="E100" i="11"/>
  <c r="G100" i="11" s="1"/>
  <c r="E105" i="11"/>
  <c r="G105" i="11" s="1"/>
  <c r="E97" i="11"/>
  <c r="G97" i="11" s="1"/>
  <c r="E101" i="11"/>
  <c r="G101" i="11" s="1"/>
  <c r="E104" i="11"/>
  <c r="G104" i="11" s="1"/>
  <c r="G86" i="11"/>
  <c r="G63" i="11" s="1"/>
  <c r="E70" i="12" s="1"/>
  <c r="E82" i="11"/>
  <c r="E73" i="11"/>
  <c r="E77" i="11"/>
  <c r="E74" i="11"/>
  <c r="E61" i="11"/>
  <c r="E54" i="12" s="1"/>
  <c r="E68" i="12"/>
  <c r="E80" i="11"/>
  <c r="E84" i="11"/>
  <c r="E78" i="11"/>
  <c r="E75" i="11"/>
  <c r="E103" i="11"/>
  <c r="G103" i="11" s="1"/>
  <c r="E76" i="11"/>
  <c r="E83" i="11"/>
  <c r="G48" i="11"/>
  <c r="E48" i="11" s="1"/>
  <c r="E40" i="12" s="1"/>
  <c r="E85" i="11"/>
  <c r="F86" i="11"/>
  <c r="G62" i="11" s="1"/>
  <c r="E69" i="12" s="1"/>
  <c r="J419" i="49"/>
  <c r="K419" i="49" s="1"/>
  <c r="E78" i="49"/>
  <c r="E68" i="49"/>
  <c r="E63" i="49"/>
  <c r="E56" i="49"/>
  <c r="E76" i="49"/>
  <c r="I73" i="49"/>
  <c r="G63" i="48" s="1"/>
  <c r="G31" i="48" s="1"/>
  <c r="I59" i="49"/>
  <c r="G49" i="48" s="1"/>
  <c r="G17" i="48" s="1"/>
  <c r="I67" i="49"/>
  <c r="G57" i="48" s="1"/>
  <c r="G25" i="48" s="1"/>
  <c r="I68" i="49"/>
  <c r="G58" i="48" s="1"/>
  <c r="G26" i="48" s="1"/>
  <c r="K353" i="49"/>
  <c r="E59" i="49"/>
  <c r="F60" i="49"/>
  <c r="I75" i="49"/>
  <c r="G65" i="48" s="1"/>
  <c r="G33" i="48" s="1"/>
  <c r="I71" i="49"/>
  <c r="G61" i="48" s="1"/>
  <c r="G29" i="48" s="1"/>
  <c r="I64" i="49"/>
  <c r="G54" i="48" s="1"/>
  <c r="G22" i="48" s="1"/>
  <c r="J320" i="49"/>
  <c r="J321" i="49" s="1"/>
  <c r="K321" i="49" s="1"/>
  <c r="E77" i="49"/>
  <c r="E60" i="49"/>
  <c r="E66" i="49"/>
  <c r="E72" i="49"/>
  <c r="J287" i="49"/>
  <c r="J288" i="49" s="1"/>
  <c r="F290" i="49"/>
  <c r="F58" i="49" s="1"/>
  <c r="E74" i="49"/>
  <c r="F56" i="49"/>
  <c r="I69" i="49"/>
  <c r="G59" i="48" s="1"/>
  <c r="G27" i="48" s="1"/>
  <c r="I76" i="49"/>
  <c r="G66" i="48" s="1"/>
  <c r="G34" i="48" s="1"/>
  <c r="J254" i="49"/>
  <c r="K254" i="49" s="1"/>
  <c r="I74" i="49"/>
  <c r="G64" i="48" s="1"/>
  <c r="G32" i="48" s="1"/>
  <c r="I66" i="49"/>
  <c r="G56" i="48" s="1"/>
  <c r="G24" i="48" s="1"/>
  <c r="I58" i="49"/>
  <c r="G48" i="48" s="1"/>
  <c r="G16" i="48" s="1"/>
  <c r="E75" i="49"/>
  <c r="E55" i="49"/>
  <c r="J221" i="49"/>
  <c r="J222" i="49" s="1"/>
  <c r="F229" i="49"/>
  <c r="E61" i="49"/>
  <c r="E70" i="49"/>
  <c r="F234" i="49"/>
  <c r="F68" i="49" s="1"/>
  <c r="F57" i="49"/>
  <c r="F61" i="49"/>
  <c r="I56" i="49"/>
  <c r="G46" i="48" s="1"/>
  <c r="G14" i="48" s="1"/>
  <c r="E71" i="49"/>
  <c r="E57" i="49"/>
  <c r="F59" i="49"/>
  <c r="F62" i="49"/>
  <c r="E67" i="49"/>
  <c r="I61" i="49"/>
  <c r="G51" i="48" s="1"/>
  <c r="G19" i="48" s="1"/>
  <c r="I55" i="49"/>
  <c r="G45" i="48" s="1"/>
  <c r="K45" i="48" s="1"/>
  <c r="I63" i="49"/>
  <c r="G53" i="48" s="1"/>
  <c r="G21" i="48" s="1"/>
  <c r="I77" i="49"/>
  <c r="G67" i="48" s="1"/>
  <c r="G35" i="48" s="1"/>
  <c r="J156" i="49"/>
  <c r="K156" i="49" s="1"/>
  <c r="F67" i="49"/>
  <c r="F63" i="49"/>
  <c r="F75" i="49"/>
  <c r="F171" i="49"/>
  <c r="F71" i="49" s="1"/>
  <c r="F77" i="49"/>
  <c r="F65" i="49"/>
  <c r="I60" i="49"/>
  <c r="G50" i="48" s="1"/>
  <c r="G18" i="48" s="1"/>
  <c r="J122" i="49"/>
  <c r="J123" i="49" s="1"/>
  <c r="K123" i="49" s="1"/>
  <c r="I70" i="49"/>
  <c r="G60" i="48" s="1"/>
  <c r="G28" i="48" s="1"/>
  <c r="E62" i="49"/>
  <c r="F74" i="49"/>
  <c r="F136" i="49"/>
  <c r="F69" i="49" s="1"/>
  <c r="F76" i="49"/>
  <c r="F64" i="49"/>
  <c r="F72" i="49"/>
  <c r="F55" i="49"/>
  <c r="F70" i="49"/>
  <c r="F78" i="49"/>
  <c r="F100" i="49"/>
  <c r="F66" i="49" s="1"/>
  <c r="E64" i="49"/>
  <c r="J89" i="49"/>
  <c r="E19" i="71"/>
  <c r="E21" i="71" s="1"/>
  <c r="E25" i="71" s="1"/>
  <c r="D26" i="49"/>
  <c r="K221" i="49"/>
  <c r="K155" i="49"/>
  <c r="F49" i="11"/>
  <c r="E49" i="11" s="1"/>
  <c r="E41" i="12" s="1"/>
  <c r="L35" i="82"/>
  <c r="K69" i="1" s="1"/>
  <c r="L45" i="82"/>
  <c r="K73" i="1" s="1"/>
  <c r="L29" i="82"/>
  <c r="K68" i="1" s="1"/>
  <c r="L12" i="82"/>
  <c r="L23" i="82" s="1"/>
  <c r="K65" i="1" s="1"/>
  <c r="C155" i="4"/>
  <c r="D191" i="4"/>
  <c r="D159" i="4"/>
  <c r="E160" i="4"/>
  <c r="I161" i="4"/>
  <c r="C143" i="4"/>
  <c r="C187" i="4" s="1"/>
  <c r="C191" i="4" s="1"/>
  <c r="E157" i="4"/>
  <c r="E150" i="4"/>
  <c r="D160" i="4"/>
  <c r="G160" i="4"/>
  <c r="L191" i="4"/>
  <c r="I152" i="4"/>
  <c r="L150" i="4"/>
  <c r="E154" i="4"/>
  <c r="F160" i="4"/>
  <c r="L151" i="4"/>
  <c r="L158" i="4"/>
  <c r="D154" i="4"/>
  <c r="J151" i="4"/>
  <c r="J159" i="4"/>
  <c r="K156" i="4"/>
  <c r="H151" i="4"/>
  <c r="H156" i="4"/>
  <c r="J152" i="4"/>
  <c r="K191" i="4"/>
  <c r="C161" i="4"/>
  <c r="F152" i="4"/>
  <c r="G156" i="4"/>
  <c r="H159" i="4"/>
  <c r="K158" i="4"/>
  <c r="J105" i="4"/>
  <c r="C150" i="4"/>
  <c r="L105" i="4"/>
  <c r="F105" i="4"/>
  <c r="E161" i="4"/>
  <c r="K105" i="4"/>
  <c r="M103" i="4"/>
  <c r="G105" i="4"/>
  <c r="E105" i="4"/>
  <c r="C159" i="4"/>
  <c r="I155" i="4"/>
  <c r="D152" i="4"/>
  <c r="C157" i="4"/>
  <c r="M94" i="4"/>
  <c r="D151" i="4"/>
  <c r="G77" i="64"/>
  <c r="F92" i="64" s="1"/>
  <c r="F70" i="21"/>
  <c r="N70" i="21" s="1"/>
  <c r="M48" i="64"/>
  <c r="D18" i="57"/>
  <c r="D20" i="57" s="1"/>
  <c r="G20" i="57"/>
  <c r="C26" i="57" s="1"/>
  <c r="E26" i="57" s="1"/>
  <c r="E20" i="57"/>
  <c r="G21" i="2"/>
  <c r="F42" i="56"/>
  <c r="J24" i="64"/>
  <c r="C126" i="48" s="1"/>
  <c r="E126" i="48" s="1"/>
  <c r="J183" i="4"/>
  <c r="M24" i="4"/>
  <c r="E121" i="48"/>
  <c r="F17" i="56"/>
  <c r="E28" i="56"/>
  <c r="C9" i="9" l="1"/>
  <c r="K110" i="1"/>
  <c r="A19" i="8"/>
  <c r="A20" i="8" s="1"/>
  <c r="A21" i="8" s="1"/>
  <c r="H21" i="8"/>
  <c r="H15" i="8"/>
  <c r="I32" i="48"/>
  <c r="I28" i="48"/>
  <c r="J96" i="48"/>
  <c r="J33" i="48" s="1"/>
  <c r="I14" i="48"/>
  <c r="K386" i="49"/>
  <c r="K188" i="49"/>
  <c r="M153" i="4"/>
  <c r="A35" i="4"/>
  <c r="G162" i="4"/>
  <c r="G174" i="4" s="1"/>
  <c r="H96" i="21" s="1"/>
  <c r="J191" i="4"/>
  <c r="M143" i="4"/>
  <c r="D25" i="71"/>
  <c r="I22" i="48"/>
  <c r="I84" i="48"/>
  <c r="I21" i="48" s="1"/>
  <c r="J124" i="49"/>
  <c r="J125" i="49" s="1"/>
  <c r="M43" i="46"/>
  <c r="L60" i="46" s="1"/>
  <c r="E106" i="46"/>
  <c r="G75" i="46"/>
  <c r="G86" i="61"/>
  <c r="N255" i="61"/>
  <c r="C20" i="57"/>
  <c r="D28" i="57"/>
  <c r="E28" i="57" s="1"/>
  <c r="C29" i="57" s="1"/>
  <c r="C33" i="57" s="1"/>
  <c r="C40" i="57" s="1"/>
  <c r="E27" i="57"/>
  <c r="L46" i="84"/>
  <c r="A15" i="15"/>
  <c r="A16" i="15" s="1"/>
  <c r="A17" i="15" s="1"/>
  <c r="A18" i="15" s="1"/>
  <c r="A19" i="15" s="1"/>
  <c r="A20" i="15" s="1"/>
  <c r="A21" i="15" s="1"/>
  <c r="A22" i="15" s="1"/>
  <c r="A23" i="15" s="1"/>
  <c r="A24" i="15" s="1"/>
  <c r="H23" i="8" s="1"/>
  <c r="E19" i="15"/>
  <c r="I26" i="1"/>
  <c r="A71" i="15"/>
  <c r="E10" i="15"/>
  <c r="E62" i="11"/>
  <c r="E55" i="12" s="1"/>
  <c r="K130" i="53"/>
  <c r="K162" i="4"/>
  <c r="K178" i="4" s="1"/>
  <c r="M158" i="4"/>
  <c r="M160" i="4"/>
  <c r="M156"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L24" i="84" s="1"/>
  <c r="I27" i="83"/>
  <c r="K9" i="84"/>
  <c r="I17" i="83"/>
  <c r="M154" i="4"/>
  <c r="G171" i="4"/>
  <c r="H93" i="21" s="1"/>
  <c r="H162" i="4"/>
  <c r="H176" i="4" s="1"/>
  <c r="I98" i="21" s="1"/>
  <c r="G173" i="4"/>
  <c r="H95" i="21" s="1"/>
  <c r="G168" i="4"/>
  <c r="G175" i="4"/>
  <c r="H97" i="21" s="1"/>
  <c r="L162" i="4"/>
  <c r="L172" i="4" s="1"/>
  <c r="M105" i="4"/>
  <c r="F162" i="4"/>
  <c r="F172" i="4" s="1"/>
  <c r="J162" i="4"/>
  <c r="J167" i="4" s="1"/>
  <c r="A26" i="65"/>
  <c r="A27" i="65" s="1"/>
  <c r="A28" i="65" s="1"/>
  <c r="A29" i="65" s="1"/>
  <c r="A30" i="65" s="1"/>
  <c r="A31" i="65" s="1"/>
  <c r="A32" i="65" s="1"/>
  <c r="A33" i="65" s="1"/>
  <c r="A34" i="65" s="1"/>
  <c r="A35" i="65" s="1"/>
  <c r="A36" i="65" s="1"/>
  <c r="B98" i="65" s="1"/>
  <c r="B103" i="65"/>
  <c r="H255" i="61"/>
  <c r="K52" i="1"/>
  <c r="L51" i="84"/>
  <c r="D23" i="7"/>
  <c r="J43" i="8"/>
  <c r="E34" i="71"/>
  <c r="D34" i="71"/>
  <c r="H56" i="44"/>
  <c r="H57" i="44" s="1"/>
  <c r="G16" i="12"/>
  <c r="M51" i="84"/>
  <c r="A16" i="1"/>
  <c r="A17" i="1" s="1"/>
  <c r="C144" i="46"/>
  <c r="H42" i="46" s="1"/>
  <c r="L42" i="46" s="1"/>
  <c r="E121" i="46"/>
  <c r="E124" i="46" s="1"/>
  <c r="G82" i="46"/>
  <c r="H58" i="46"/>
  <c r="G57" i="46"/>
  <c r="G58" i="46" s="1"/>
  <c r="J57" i="46"/>
  <c r="K58" i="46"/>
  <c r="D120" i="46"/>
  <c r="E265" i="61"/>
  <c r="E267" i="61" s="1"/>
  <c r="E268" i="61" s="1"/>
  <c r="I255" i="61"/>
  <c r="G255" i="61"/>
  <c r="J255" i="61"/>
  <c r="M255" i="61"/>
  <c r="H116" i="46"/>
  <c r="I116" i="46"/>
  <c r="I117" i="46"/>
  <c r="H117" i="46"/>
  <c r="G117" i="46" s="1"/>
  <c r="I115" i="46"/>
  <c r="H115" i="46"/>
  <c r="I118" i="46"/>
  <c r="H118" i="46"/>
  <c r="H93" i="46"/>
  <c r="I93" i="46"/>
  <c r="H95" i="46"/>
  <c r="I95" i="46"/>
  <c r="I97" i="46"/>
  <c r="H97" i="46"/>
  <c r="G97" i="46" s="1"/>
  <c r="I76" i="46"/>
  <c r="H76" i="46"/>
  <c r="I87" i="46"/>
  <c r="H87" i="46"/>
  <c r="I74" i="46"/>
  <c r="H74" i="46"/>
  <c r="H103" i="46"/>
  <c r="I103" i="46"/>
  <c r="H79" i="46"/>
  <c r="I79" i="46"/>
  <c r="I90" i="46"/>
  <c r="H90" i="46"/>
  <c r="I99" i="46"/>
  <c r="H99" i="46"/>
  <c r="J76" i="48"/>
  <c r="J13" i="48" s="1"/>
  <c r="I13" i="48"/>
  <c r="I18" i="48"/>
  <c r="J81" i="48"/>
  <c r="J18" i="48" s="1"/>
  <c r="J84" i="48"/>
  <c r="J21" i="48" s="1"/>
  <c r="I34" i="48"/>
  <c r="J97" i="48"/>
  <c r="J34" i="48" s="1"/>
  <c r="I98" i="48"/>
  <c r="I89" i="48"/>
  <c r="I15" i="48"/>
  <c r="J78" i="48"/>
  <c r="J15" i="48" s="1"/>
  <c r="I93" i="48"/>
  <c r="I31" i="48"/>
  <c r="J94" i="48"/>
  <c r="J31" i="48" s="1"/>
  <c r="J90" i="48"/>
  <c r="J27" i="48" s="1"/>
  <c r="I27" i="48"/>
  <c r="J87" i="48"/>
  <c r="J24" i="48" s="1"/>
  <c r="I24" i="48"/>
  <c r="G108" i="11"/>
  <c r="E63" i="11"/>
  <c r="E56" i="12" s="1"/>
  <c r="E86" i="11"/>
  <c r="E108" i="11"/>
  <c r="J420" i="49"/>
  <c r="J421" i="49" s="1"/>
  <c r="K387" i="49"/>
  <c r="J388" i="49"/>
  <c r="K354" i="49"/>
  <c r="J355" i="49"/>
  <c r="K287" i="49"/>
  <c r="J55" i="49"/>
  <c r="G13" i="48"/>
  <c r="J157" i="49"/>
  <c r="J158" i="49" s="1"/>
  <c r="K46" i="48"/>
  <c r="K47" i="48" s="1"/>
  <c r="N45" i="48"/>
  <c r="K89" i="49"/>
  <c r="J90" i="49"/>
  <c r="J91" i="49" s="1"/>
  <c r="E32" i="71"/>
  <c r="J289" i="49"/>
  <c r="K288" i="49"/>
  <c r="K189" i="49"/>
  <c r="J190" i="49"/>
  <c r="K222" i="49"/>
  <c r="J223" i="49"/>
  <c r="E52" i="11"/>
  <c r="K124" i="49"/>
  <c r="L37" i="82"/>
  <c r="K70" i="1" s="1"/>
  <c r="K63" i="1"/>
  <c r="K85" i="1"/>
  <c r="G177" i="4"/>
  <c r="G176" i="4"/>
  <c r="H169" i="4"/>
  <c r="M157" i="4"/>
  <c r="G205" i="4"/>
  <c r="M152" i="4"/>
  <c r="C162" i="4"/>
  <c r="M150" i="4"/>
  <c r="M159" i="4"/>
  <c r="I162" i="4"/>
  <c r="I172" i="4" s="1"/>
  <c r="J175" i="4"/>
  <c r="K97" i="21" s="1"/>
  <c r="J178" i="4"/>
  <c r="K100" i="21" s="1"/>
  <c r="J171" i="4"/>
  <c r="K93" i="21" s="1"/>
  <c r="D162" i="4"/>
  <c r="D169" i="4" s="1"/>
  <c r="M151" i="4"/>
  <c r="M161" i="4"/>
  <c r="E162" i="4"/>
  <c r="H174" i="4"/>
  <c r="H170" i="4"/>
  <c r="H175" i="4"/>
  <c r="H177" i="4"/>
  <c r="H171" i="4"/>
  <c r="H178" i="4"/>
  <c r="H167" i="4"/>
  <c r="H172" i="4"/>
  <c r="M155" i="4"/>
  <c r="G170" i="4"/>
  <c r="G178" i="4"/>
  <c r="G172" i="4"/>
  <c r="G167" i="4"/>
  <c r="G169" i="4"/>
  <c r="J176" i="4"/>
  <c r="K98" i="21" s="1"/>
  <c r="J174" i="4"/>
  <c r="K96" i="21" s="1"/>
  <c r="M183" i="4"/>
  <c r="D36" i="7"/>
  <c r="D40" i="7" s="1"/>
  <c r="D44" i="4"/>
  <c r="K9" i="1" s="1"/>
  <c r="M24" i="64"/>
  <c r="E130" i="48"/>
  <c r="E131" i="48"/>
  <c r="F28" i="56"/>
  <c r="G20" i="2"/>
  <c r="I18" i="1" l="1"/>
  <c r="J44" i="8"/>
  <c r="A23" i="8"/>
  <c r="H29" i="8"/>
  <c r="K177" i="4"/>
  <c r="B223" i="4"/>
  <c r="A36" i="4"/>
  <c r="K172" i="4"/>
  <c r="J172" i="4"/>
  <c r="K94" i="21" s="1"/>
  <c r="K168" i="4"/>
  <c r="K199" i="4" s="1"/>
  <c r="J173" i="4"/>
  <c r="K95" i="21" s="1"/>
  <c r="K174" i="4"/>
  <c r="K176" i="4"/>
  <c r="K175" i="4"/>
  <c r="K206" i="4" s="1"/>
  <c r="K173" i="4"/>
  <c r="L95" i="21" s="1"/>
  <c r="K167" i="4"/>
  <c r="F173" i="4"/>
  <c r="K170" i="4"/>
  <c r="L92" i="21" s="1"/>
  <c r="K169" i="4"/>
  <c r="L91" i="21" s="1"/>
  <c r="F177" i="4"/>
  <c r="K171" i="4"/>
  <c r="F168" i="4"/>
  <c r="F199" i="4" s="1"/>
  <c r="J168" i="4"/>
  <c r="K90" i="21" s="1"/>
  <c r="G202" i="4"/>
  <c r="M187" i="4"/>
  <c r="M191" i="4" s="1"/>
  <c r="J323" i="49"/>
  <c r="K323" i="49" s="1"/>
  <c r="J256" i="49"/>
  <c r="J257" i="49" s="1"/>
  <c r="K90" i="49"/>
  <c r="K56" i="49" s="1"/>
  <c r="G99" i="46"/>
  <c r="M24" i="84"/>
  <c r="I31" i="83"/>
  <c r="I51" i="83" s="1"/>
  <c r="J170" i="4"/>
  <c r="K92" i="21" s="1"/>
  <c r="L175" i="4"/>
  <c r="L174" i="4"/>
  <c r="M96" i="21" s="1"/>
  <c r="L169" i="4"/>
  <c r="L178" i="4"/>
  <c r="M100" i="21" s="1"/>
  <c r="L171" i="4"/>
  <c r="M93" i="21" s="1"/>
  <c r="L176" i="4"/>
  <c r="M98" i="21" s="1"/>
  <c r="H207" i="4"/>
  <c r="H168" i="4"/>
  <c r="G204" i="4"/>
  <c r="F170" i="4"/>
  <c r="G92" i="21" s="1"/>
  <c r="F171" i="4"/>
  <c r="G93" i="21" s="1"/>
  <c r="F178" i="4"/>
  <c r="F209" i="4" s="1"/>
  <c r="M118" i="53"/>
  <c r="C16" i="53" s="1"/>
  <c r="M127" i="53"/>
  <c r="C25" i="53" s="1"/>
  <c r="M128" i="53"/>
  <c r="C26" i="53" s="1"/>
  <c r="M116" i="53"/>
  <c r="C13" i="53" s="1"/>
  <c r="M117" i="53"/>
  <c r="C15" i="53" s="1"/>
  <c r="M124" i="53"/>
  <c r="C22" i="53" s="1"/>
  <c r="E271" i="61"/>
  <c r="K132" i="1" s="1"/>
  <c r="J56" i="49"/>
  <c r="K420" i="49"/>
  <c r="K14" i="84"/>
  <c r="K28" i="84" s="1"/>
  <c r="K48" i="84" s="1"/>
  <c r="M9" i="84"/>
  <c r="M14" i="84" s="1"/>
  <c r="M28" i="84" s="1"/>
  <c r="M48" i="84" s="1"/>
  <c r="L9" i="84"/>
  <c r="L14" i="84" s="1"/>
  <c r="L28" i="84" s="1"/>
  <c r="L48" i="84" s="1"/>
  <c r="L52" i="84" s="1"/>
  <c r="J207" i="4"/>
  <c r="J169" i="4"/>
  <c r="K89" i="21"/>
  <c r="J198" i="4"/>
  <c r="J13" i="4" s="1"/>
  <c r="F174" i="4"/>
  <c r="F205" i="4" s="1"/>
  <c r="F169" i="4"/>
  <c r="G91" i="21" s="1"/>
  <c r="F176" i="4"/>
  <c r="F207" i="4" s="1"/>
  <c r="F167" i="4"/>
  <c r="G89" i="21" s="1"/>
  <c r="J177" i="4"/>
  <c r="H173" i="4"/>
  <c r="F202" i="4"/>
  <c r="F175" i="4"/>
  <c r="G97" i="21" s="1"/>
  <c r="L168" i="4"/>
  <c r="M90" i="21" s="1"/>
  <c r="J206" i="4"/>
  <c r="G206" i="4"/>
  <c r="L170" i="4"/>
  <c r="M92" i="21" s="1"/>
  <c r="H90" i="21"/>
  <c r="G199" i="4"/>
  <c r="L177" i="4"/>
  <c r="M99" i="21" s="1"/>
  <c r="L167" i="4"/>
  <c r="M89" i="21" s="1"/>
  <c r="J203" i="4"/>
  <c r="L173" i="4"/>
  <c r="J209" i="4"/>
  <c r="B116" i="65"/>
  <c r="A38" i="65"/>
  <c r="A39" i="65" s="1"/>
  <c r="A40" i="65" s="1"/>
  <c r="F40" i="65"/>
  <c r="B9" i="65"/>
  <c r="B7" i="65"/>
  <c r="B94" i="65"/>
  <c r="G76" i="46"/>
  <c r="K75" i="1"/>
  <c r="K86" i="1"/>
  <c r="A18" i="1"/>
  <c r="H14" i="8"/>
  <c r="F20" i="17"/>
  <c r="F22" i="17" s="1"/>
  <c r="H65" i="44"/>
  <c r="H66" i="44" s="1"/>
  <c r="H79" i="44" s="1"/>
  <c r="H59" i="44"/>
  <c r="H78" i="44"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E66" i="11"/>
  <c r="K388" i="49"/>
  <c r="J389" i="49"/>
  <c r="J356" i="49"/>
  <c r="K355" i="49"/>
  <c r="K55" i="49"/>
  <c r="K157" i="49"/>
  <c r="K48" i="48"/>
  <c r="K421" i="49"/>
  <c r="J422" i="49"/>
  <c r="J290" i="49"/>
  <c r="K289" i="49"/>
  <c r="J191" i="49"/>
  <c r="K190" i="49"/>
  <c r="K125" i="49"/>
  <c r="J126" i="49"/>
  <c r="K91" i="49"/>
  <c r="J57" i="49"/>
  <c r="J92" i="49"/>
  <c r="K223" i="49"/>
  <c r="J224" i="49"/>
  <c r="K158" i="49"/>
  <c r="J159" i="49"/>
  <c r="H99" i="21"/>
  <c r="G208" i="4"/>
  <c r="J205" i="4"/>
  <c r="I91" i="21"/>
  <c r="H200" i="4"/>
  <c r="M97" i="21"/>
  <c r="L206" i="4"/>
  <c r="L201" i="4"/>
  <c r="J201" i="4"/>
  <c r="H98" i="21"/>
  <c r="G207" i="4"/>
  <c r="E91" i="21"/>
  <c r="D200" i="4"/>
  <c r="L97" i="21"/>
  <c r="M94" i="21"/>
  <c r="L203" i="4"/>
  <c r="I100" i="21"/>
  <c r="H209" i="4"/>
  <c r="L99" i="21"/>
  <c r="K208" i="4"/>
  <c r="C169" i="4"/>
  <c r="C177" i="4"/>
  <c r="C171" i="4"/>
  <c r="C170" i="4"/>
  <c r="C178" i="4"/>
  <c r="C175" i="4"/>
  <c r="C168" i="4"/>
  <c r="C173" i="4"/>
  <c r="C172" i="4"/>
  <c r="G200" i="4"/>
  <c r="H91" i="21"/>
  <c r="M91" i="21"/>
  <c r="L200" i="4"/>
  <c r="I93" i="21"/>
  <c r="H202" i="4"/>
  <c r="D168" i="4"/>
  <c r="K201" i="4"/>
  <c r="I176" i="4"/>
  <c r="I168" i="4"/>
  <c r="I174" i="4"/>
  <c r="I175" i="4"/>
  <c r="I171" i="4"/>
  <c r="I178" i="4"/>
  <c r="I173" i="4"/>
  <c r="I170" i="4"/>
  <c r="I167" i="4"/>
  <c r="I169" i="4"/>
  <c r="I177" i="4"/>
  <c r="F203" i="4"/>
  <c r="G94" i="21"/>
  <c r="H89" i="21"/>
  <c r="G198" i="4"/>
  <c r="L93" i="21"/>
  <c r="K202" i="4"/>
  <c r="I97" i="21"/>
  <c r="H206" i="4"/>
  <c r="G99" i="21"/>
  <c r="F208" i="4"/>
  <c r="H201" i="4"/>
  <c r="I92" i="21"/>
  <c r="L90" i="21"/>
  <c r="F201" i="4"/>
  <c r="C176" i="4"/>
  <c r="L96" i="21"/>
  <c r="K205" i="4"/>
  <c r="C174" i="4"/>
  <c r="J202" i="4"/>
  <c r="H92" i="21"/>
  <c r="G201" i="4"/>
  <c r="I96" i="21"/>
  <c r="H205" i="4"/>
  <c r="E168" i="4"/>
  <c r="E169" i="4"/>
  <c r="E174" i="4"/>
  <c r="E172" i="4"/>
  <c r="E167" i="4"/>
  <c r="E175" i="4"/>
  <c r="E171" i="4"/>
  <c r="E170" i="4"/>
  <c r="E176" i="4"/>
  <c r="E177" i="4"/>
  <c r="E173" i="4"/>
  <c r="L98" i="21"/>
  <c r="K207" i="4"/>
  <c r="C167" i="4"/>
  <c r="I99" i="21"/>
  <c r="H208" i="4"/>
  <c r="L100" i="21"/>
  <c r="K209" i="4"/>
  <c r="J94" i="21"/>
  <c r="I203" i="4"/>
  <c r="H94" i="21"/>
  <c r="G203" i="4"/>
  <c r="D172" i="4"/>
  <c r="D170" i="4"/>
  <c r="D178" i="4"/>
  <c r="D174" i="4"/>
  <c r="D173" i="4"/>
  <c r="D171" i="4"/>
  <c r="D175" i="4"/>
  <c r="D167" i="4"/>
  <c r="D176" i="4"/>
  <c r="D177" i="4"/>
  <c r="L94" i="21"/>
  <c r="K203" i="4"/>
  <c r="G95" i="21"/>
  <c r="F204" i="4"/>
  <c r="H100" i="21"/>
  <c r="G209" i="4"/>
  <c r="I94" i="21"/>
  <c r="H203" i="4"/>
  <c r="M95" i="21"/>
  <c r="L204" i="4"/>
  <c r="I89" i="21"/>
  <c r="H198" i="4"/>
  <c r="E178" i="4"/>
  <c r="L89" i="21"/>
  <c r="K198" i="4"/>
  <c r="M162" i="4"/>
  <c r="E33" i="57"/>
  <c r="E40" i="57" s="1"/>
  <c r="D29" i="57"/>
  <c r="D31" i="57" s="1"/>
  <c r="D33" i="57" s="1"/>
  <c r="D40" i="57" s="1"/>
  <c r="D43" i="57" s="1"/>
  <c r="E133" i="48"/>
  <c r="K81" i="1" l="1"/>
  <c r="J54" i="8"/>
  <c r="A24" i="8"/>
  <c r="K256" i="49"/>
  <c r="J324" i="49"/>
  <c r="K324" i="49" s="1"/>
  <c r="B224" i="4"/>
  <c r="E37" i="7"/>
  <c r="A37" i="4"/>
  <c r="E44" i="4"/>
  <c r="L209" i="4"/>
  <c r="G100" i="21"/>
  <c r="J204" i="4"/>
  <c r="K200" i="4"/>
  <c r="J199" i="4"/>
  <c r="J14" i="4" s="1"/>
  <c r="J14" i="64" s="1"/>
  <c r="J50" i="64" s="1"/>
  <c r="K72" i="21" s="1"/>
  <c r="K204" i="4"/>
  <c r="L207" i="4"/>
  <c r="G90" i="21"/>
  <c r="L199" i="4"/>
  <c r="L202" i="4"/>
  <c r="F206" i="4"/>
  <c r="G96" i="21"/>
  <c r="L205" i="4"/>
  <c r="G98" i="21"/>
  <c r="L198" i="4"/>
  <c r="L13" i="4" s="1"/>
  <c r="L13" i="64" s="1"/>
  <c r="L49" i="64" s="1"/>
  <c r="M71" i="21" s="1"/>
  <c r="I90" i="21"/>
  <c r="H199" i="4"/>
  <c r="F200" i="4"/>
  <c r="M49" i="84"/>
  <c r="D13" i="15" s="1"/>
  <c r="M52" i="84"/>
  <c r="K91" i="21"/>
  <c r="J200" i="4"/>
  <c r="F198" i="4"/>
  <c r="K99" i="21"/>
  <c r="J208" i="4"/>
  <c r="I95" i="21"/>
  <c r="H204" i="4"/>
  <c r="L208" i="4"/>
  <c r="A41" i="65"/>
  <c r="A21" i="1"/>
  <c r="F23" i="17"/>
  <c r="K53" i="1"/>
  <c r="K82" i="1"/>
  <c r="I124" i="46"/>
  <c r="D124" i="46"/>
  <c r="K43" i="46"/>
  <c r="J60" i="46" s="1"/>
  <c r="C105" i="46"/>
  <c r="C106" i="46" s="1"/>
  <c r="C124" i="46" s="1"/>
  <c r="H105" i="46"/>
  <c r="G105" i="46" s="1"/>
  <c r="G106" i="46" s="1"/>
  <c r="H121" i="46"/>
  <c r="M130" i="53"/>
  <c r="C12" i="53"/>
  <c r="C28" i="53" s="1"/>
  <c r="G121" i="46"/>
  <c r="K77" i="48"/>
  <c r="L78" i="48" s="1"/>
  <c r="N76" i="48"/>
  <c r="N13" i="48" s="1"/>
  <c r="K13" i="48"/>
  <c r="K389" i="49"/>
  <c r="J390" i="49"/>
  <c r="J357" i="49"/>
  <c r="K356" i="49"/>
  <c r="K49" i="48"/>
  <c r="L50" i="48" s="1"/>
  <c r="K290" i="49"/>
  <c r="J291" i="49"/>
  <c r="K57" i="49"/>
  <c r="J423" i="49"/>
  <c r="K422" i="49"/>
  <c r="K257" i="49"/>
  <c r="J258" i="49"/>
  <c r="K126" i="49"/>
  <c r="J127" i="49"/>
  <c r="J225" i="49"/>
  <c r="K224" i="49"/>
  <c r="J192" i="49"/>
  <c r="K191" i="49"/>
  <c r="K159" i="49"/>
  <c r="J160" i="49"/>
  <c r="K92" i="49"/>
  <c r="J93" i="49"/>
  <c r="J58" i="49"/>
  <c r="K91" i="1"/>
  <c r="E89" i="21"/>
  <c r="D198" i="4"/>
  <c r="D89" i="21"/>
  <c r="C198" i="4"/>
  <c r="F92" i="21"/>
  <c r="E201" i="4"/>
  <c r="J92" i="21"/>
  <c r="I201" i="4"/>
  <c r="D92" i="21"/>
  <c r="C201" i="4"/>
  <c r="E95" i="21"/>
  <c r="D204" i="4"/>
  <c r="E198" i="4"/>
  <c r="F89" i="21"/>
  <c r="D96" i="21"/>
  <c r="C205" i="4"/>
  <c r="J93" i="21"/>
  <c r="I202" i="4"/>
  <c r="D94" i="21"/>
  <c r="C203" i="4"/>
  <c r="D91" i="21"/>
  <c r="C200" i="4"/>
  <c r="F100" i="21"/>
  <c r="E209" i="4"/>
  <c r="D93" i="21"/>
  <c r="C202" i="4"/>
  <c r="H13" i="4"/>
  <c r="J100" i="21"/>
  <c r="I209" i="4"/>
  <c r="E96" i="21"/>
  <c r="D205" i="4"/>
  <c r="F94" i="21"/>
  <c r="E203" i="4"/>
  <c r="J97" i="21"/>
  <c r="I206" i="4"/>
  <c r="E90" i="21"/>
  <c r="D199" i="4"/>
  <c r="D95" i="21"/>
  <c r="C204" i="4"/>
  <c r="E97" i="21"/>
  <c r="D206" i="4"/>
  <c r="J95" i="21"/>
  <c r="I204" i="4"/>
  <c r="E93" i="21"/>
  <c r="D202" i="4"/>
  <c r="D98" i="21"/>
  <c r="C207" i="4"/>
  <c r="D99" i="21"/>
  <c r="C208"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F93" i="21"/>
  <c r="E202" i="4"/>
  <c r="G210" i="4"/>
  <c r="G13" i="4"/>
  <c r="K210" i="4"/>
  <c r="K13" i="4"/>
  <c r="E98" i="21"/>
  <c r="D207" i="4"/>
  <c r="E94" i="21"/>
  <c r="D203" i="4"/>
  <c r="F98" i="21"/>
  <c r="E207" i="4"/>
  <c r="F90" i="21"/>
  <c r="E199" i="4"/>
  <c r="J89" i="21"/>
  <c r="I198" i="4"/>
  <c r="J98" i="21"/>
  <c r="I207" i="4"/>
  <c r="D100" i="21"/>
  <c r="C209" i="4"/>
  <c r="L77" i="48"/>
  <c r="M77" i="48" s="1"/>
  <c r="L47" i="48"/>
  <c r="L49" i="48"/>
  <c r="L48" i="48"/>
  <c r="L46" i="48"/>
  <c r="J13" i="64"/>
  <c r="J49" i="64" s="1"/>
  <c r="E97" i="8" l="1"/>
  <c r="G91" i="12"/>
  <c r="A25" i="8"/>
  <c r="J325" i="49"/>
  <c r="A43" i="4"/>
  <c r="E43" i="4"/>
  <c r="J15" i="4"/>
  <c r="H210" i="4"/>
  <c r="M209" i="4"/>
  <c r="L14" i="4"/>
  <c r="L14" i="64" s="1"/>
  <c r="L50" i="64" s="1"/>
  <c r="M72" i="21" s="1"/>
  <c r="L210" i="4"/>
  <c r="F210" i="4"/>
  <c r="J210" i="4"/>
  <c r="F13" i="4"/>
  <c r="F13" i="64" s="1"/>
  <c r="F49" i="64" s="1"/>
  <c r="G71" i="21" s="1"/>
  <c r="M206" i="4"/>
  <c r="B95" i="65"/>
  <c r="A42" i="65"/>
  <c r="F42" i="65"/>
  <c r="G15" i="12"/>
  <c r="G17" i="12" s="1"/>
  <c r="F93" i="12"/>
  <c r="E98" i="8"/>
  <c r="E104" i="8" s="1"/>
  <c r="J42" i="8" s="1"/>
  <c r="K92" i="1"/>
  <c r="K54" i="1"/>
  <c r="K80" i="1"/>
  <c r="A22" i="1"/>
  <c r="A23" i="1" s="1"/>
  <c r="A24" i="1" s="1"/>
  <c r="G124" i="46"/>
  <c r="K126" i="1" s="1"/>
  <c r="H106" i="46"/>
  <c r="H124" i="46" s="1"/>
  <c r="K78" i="48"/>
  <c r="K14" i="48"/>
  <c r="K390" i="49"/>
  <c r="J391" i="49"/>
  <c r="K357" i="49"/>
  <c r="J358" i="49"/>
  <c r="K50" i="48"/>
  <c r="J292" i="49"/>
  <c r="K291" i="49"/>
  <c r="K423" i="49"/>
  <c r="J424" i="49"/>
  <c r="J326" i="49"/>
  <c r="K325" i="49"/>
  <c r="K258" i="49"/>
  <c r="J259" i="49"/>
  <c r="J94" i="49"/>
  <c r="J59" i="49"/>
  <c r="K93" i="49"/>
  <c r="J226" i="49"/>
  <c r="K225" i="49"/>
  <c r="J193" i="49"/>
  <c r="K192" i="49"/>
  <c r="K58"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M203" i="4"/>
  <c r="C210" i="4"/>
  <c r="C13" i="4"/>
  <c r="M198" i="4"/>
  <c r="M200" i="4"/>
  <c r="H14" i="4"/>
  <c r="H15" i="4" s="1"/>
  <c r="H13" i="64"/>
  <c r="H49" i="64" s="1"/>
  <c r="I71" i="21" s="1"/>
  <c r="M208" i="4"/>
  <c r="M202" i="4"/>
  <c r="M201" i="4"/>
  <c r="D13" i="4"/>
  <c r="D14" i="4" s="1"/>
  <c r="D210" i="4"/>
  <c r="L15" i="48"/>
  <c r="J15" i="64"/>
  <c r="J51" i="64" s="1"/>
  <c r="K73" i="21" s="1"/>
  <c r="J16" i="4"/>
  <c r="K71" i="21"/>
  <c r="N77" i="48"/>
  <c r="M78" i="48"/>
  <c r="M46" i="48"/>
  <c r="L14" i="48"/>
  <c r="I24" i="1" l="1"/>
  <c r="A26" i="8"/>
  <c r="A27" i="8" s="1"/>
  <c r="A29" i="8" s="1"/>
  <c r="L15" i="4"/>
  <c r="L16" i="4" s="1"/>
  <c r="H6" i="8"/>
  <c r="A44" i="4"/>
  <c r="F14" i="4"/>
  <c r="L15" i="64"/>
  <c r="L51" i="64" s="1"/>
  <c r="M73" i="21" s="1"/>
  <c r="E14" i="4"/>
  <c r="E14" i="64" s="1"/>
  <c r="E50" i="64" s="1"/>
  <c r="F72" i="21" s="1"/>
  <c r="A43" i="65"/>
  <c r="A44" i="65" s="1"/>
  <c r="F43" i="65"/>
  <c r="G7" i="2"/>
  <c r="G15" i="2" s="1"/>
  <c r="G23" i="2" s="1"/>
  <c r="K95" i="1"/>
  <c r="J48" i="8"/>
  <c r="A26" i="1"/>
  <c r="I34" i="1"/>
  <c r="E83" i="12"/>
  <c r="F83" i="12" s="1"/>
  <c r="G39" i="12"/>
  <c r="G54" i="12"/>
  <c r="E82" i="12"/>
  <c r="F82" i="12" s="1"/>
  <c r="G56" i="12"/>
  <c r="D42" i="71"/>
  <c r="D51" i="7"/>
  <c r="G40" i="12"/>
  <c r="E81" i="12"/>
  <c r="F81" i="12" s="1"/>
  <c r="G41" i="12"/>
  <c r="G55" i="12"/>
  <c r="K90" i="1"/>
  <c r="K83" i="1"/>
  <c r="K79" i="48"/>
  <c r="K15" i="48"/>
  <c r="L79" i="48"/>
  <c r="L16" i="48" s="1"/>
  <c r="K391" i="49"/>
  <c r="J392" i="49"/>
  <c r="K358" i="49"/>
  <c r="J359" i="49"/>
  <c r="K51" i="48"/>
  <c r="L51" i="48"/>
  <c r="J293" i="49"/>
  <c r="K292" i="49"/>
  <c r="K59" i="49"/>
  <c r="K259" i="49"/>
  <c r="J260" i="49"/>
  <c r="K424" i="49"/>
  <c r="J425" i="49"/>
  <c r="J327" i="49"/>
  <c r="K326" i="49"/>
  <c r="J129" i="49"/>
  <c r="K128" i="49"/>
  <c r="J60" i="49"/>
  <c r="J95" i="49"/>
  <c r="K94" i="49"/>
  <c r="K193" i="49"/>
  <c r="J194" i="49"/>
  <c r="K161" i="49"/>
  <c r="J162" i="49"/>
  <c r="K226" i="49"/>
  <c r="J227" i="49"/>
  <c r="M210" i="4"/>
  <c r="L16" i="64"/>
  <c r="L52" i="64" s="1"/>
  <c r="M74" i="21" s="1"/>
  <c r="L17" i="4"/>
  <c r="I14" i="4"/>
  <c r="K14" i="64"/>
  <c r="K50" i="64" s="1"/>
  <c r="L72" i="21" s="1"/>
  <c r="K15" i="4"/>
  <c r="D14" i="64"/>
  <c r="D50" i="64" s="1"/>
  <c r="E72" i="21" s="1"/>
  <c r="D15" i="4"/>
  <c r="D13" i="64"/>
  <c r="D49" i="64" s="1"/>
  <c r="H14" i="64"/>
  <c r="H50" i="64" s="1"/>
  <c r="I72" i="21" s="1"/>
  <c r="F14" i="64"/>
  <c r="F50" i="64" s="1"/>
  <c r="G72" i="21" s="1"/>
  <c r="F15" i="4"/>
  <c r="G15" i="4"/>
  <c r="G14" i="64"/>
  <c r="G50" i="64" s="1"/>
  <c r="H72" i="21" s="1"/>
  <c r="M13" i="4"/>
  <c r="C13" i="64"/>
  <c r="C49" i="64" s="1"/>
  <c r="C14" i="4"/>
  <c r="J16" i="64"/>
  <c r="J52" i="64" s="1"/>
  <c r="K74" i="21" s="1"/>
  <c r="J17" i="4"/>
  <c r="N78" i="48"/>
  <c r="M14" i="48"/>
  <c r="M47" i="48"/>
  <c r="N46" i="48"/>
  <c r="N14" i="48" s="1"/>
  <c r="H30" i="8" l="1"/>
  <c r="H41" i="8"/>
  <c r="A33" i="8"/>
  <c r="A34" i="8" s="1"/>
  <c r="G90" i="12"/>
  <c r="E15" i="4"/>
  <c r="E15" i="64" s="1"/>
  <c r="E51" i="64" s="1"/>
  <c r="F73" i="21" s="1"/>
  <c r="A53" i="4"/>
  <c r="I9" i="1"/>
  <c r="F24" i="22"/>
  <c r="D29" i="54"/>
  <c r="D30" i="54" s="1"/>
  <c r="D39" i="54" s="1"/>
  <c r="E29" i="54"/>
  <c r="E30" i="54" s="1"/>
  <c r="E39" i="54" s="1"/>
  <c r="K11" i="1" s="1"/>
  <c r="G31" i="79"/>
  <c r="G32" i="79" s="1"/>
  <c r="G18" i="79" s="1"/>
  <c r="H73" i="44"/>
  <c r="H74" i="44" s="1"/>
  <c r="H81" i="44" s="1"/>
  <c r="H83" i="44" s="1"/>
  <c r="H88" i="44" s="1"/>
  <c r="I26" i="79"/>
  <c r="I27" i="79" s="1"/>
  <c r="I17" i="79" s="1"/>
  <c r="F54" i="22"/>
  <c r="F55" i="22" s="1"/>
  <c r="K16" i="1" s="1"/>
  <c r="I38" i="79"/>
  <c r="I39" i="79" s="1"/>
  <c r="I19" i="79" s="1"/>
  <c r="H86" i="15"/>
  <c r="H87" i="15" s="1"/>
  <c r="H85" i="64"/>
  <c r="H86" i="64" s="1"/>
  <c r="F93" i="64" s="1"/>
  <c r="F58" i="4"/>
  <c r="F59" i="4" s="1"/>
  <c r="J7" i="8" s="1"/>
  <c r="F50" i="22"/>
  <c r="F51" i="22" s="1"/>
  <c r="J13" i="8" s="1"/>
  <c r="G38" i="79"/>
  <c r="G39" i="79" s="1"/>
  <c r="G19" i="79" s="1"/>
  <c r="H129" i="15"/>
  <c r="H130" i="15" s="1"/>
  <c r="K55" i="1"/>
  <c r="I31" i="79"/>
  <c r="I32" i="79" s="1"/>
  <c r="I18" i="79" s="1"/>
  <c r="F26" i="26"/>
  <c r="F27" i="26" s="1"/>
  <c r="G25" i="2"/>
  <c r="G28" i="2" s="1"/>
  <c r="F59" i="21"/>
  <c r="F60" i="21" s="1"/>
  <c r="K23" i="1" s="1"/>
  <c r="M79" i="48"/>
  <c r="N79" i="48" s="1"/>
  <c r="E16" i="4"/>
  <c r="E16" i="64" s="1"/>
  <c r="E52" i="64" s="1"/>
  <c r="F74" i="21" s="1"/>
  <c r="G44" i="12"/>
  <c r="K137" i="1" s="1"/>
  <c r="F86" i="12"/>
  <c r="F44" i="65"/>
  <c r="A45" i="65"/>
  <c r="A46" i="65" s="1"/>
  <c r="A47" i="65" s="1"/>
  <c r="A48" i="65" s="1"/>
  <c r="A49" i="65" s="1"/>
  <c r="A50" i="65" s="1"/>
  <c r="A51" i="65" s="1"/>
  <c r="A52" i="65" s="1"/>
  <c r="A53" i="65" s="1"/>
  <c r="A54" i="65" s="1"/>
  <c r="F41" i="65"/>
  <c r="I151" i="1"/>
  <c r="G26" i="79"/>
  <c r="G27" i="79" s="1"/>
  <c r="G17" i="79" s="1"/>
  <c r="F63" i="4"/>
  <c r="F64" i="4" s="1"/>
  <c r="K10" i="1" s="1"/>
  <c r="H67" i="15"/>
  <c r="H68" i="15" s="1"/>
  <c r="F52" i="21"/>
  <c r="F53" i="21" s="1"/>
  <c r="J20" i="8" s="1"/>
  <c r="D59" i="7"/>
  <c r="D55" i="7"/>
  <c r="A28" i="1"/>
  <c r="A30" i="1" s="1"/>
  <c r="A31" i="1" s="1"/>
  <c r="A32" i="1" s="1"/>
  <c r="A34" i="1" s="1"/>
  <c r="D56" i="71"/>
  <c r="E56" i="71"/>
  <c r="D49" i="71"/>
  <c r="E49" i="71"/>
  <c r="E96" i="8"/>
  <c r="E99" i="8" s="1"/>
  <c r="J33" i="8" s="1"/>
  <c r="D21" i="7"/>
  <c r="K93" i="1"/>
  <c r="D33" i="71"/>
  <c r="D35" i="71" s="1"/>
  <c r="E33" i="71"/>
  <c r="E35" i="71" s="1"/>
  <c r="D22" i="7"/>
  <c r="G59" i="12"/>
  <c r="J61" i="8" s="1"/>
  <c r="J62" i="8" s="1"/>
  <c r="F26" i="22"/>
  <c r="K15" i="1" s="1"/>
  <c r="F27" i="22"/>
  <c r="J12" i="8" s="1"/>
  <c r="K80" i="48"/>
  <c r="L80" i="48"/>
  <c r="L17" i="48" s="1"/>
  <c r="K16" i="48"/>
  <c r="J393" i="49"/>
  <c r="K392" i="49"/>
  <c r="K359" i="49"/>
  <c r="J360" i="49"/>
  <c r="K52" i="48"/>
  <c r="L52" i="48"/>
  <c r="K327" i="49"/>
  <c r="J328" i="49"/>
  <c r="J426" i="49"/>
  <c r="K425" i="49"/>
  <c r="K293" i="49"/>
  <c r="J294" i="49"/>
  <c r="J261" i="49"/>
  <c r="K260" i="49"/>
  <c r="K194" i="49"/>
  <c r="J195" i="49"/>
  <c r="K60" i="49"/>
  <c r="K95" i="49"/>
  <c r="J61" i="49"/>
  <c r="J96" i="49"/>
  <c r="J163" i="49"/>
  <c r="K162" i="49"/>
  <c r="K227" i="49"/>
  <c r="J228" i="49"/>
  <c r="K129" i="49"/>
  <c r="J130" i="49"/>
  <c r="E17" i="4"/>
  <c r="G16" i="4"/>
  <c r="G15" i="64"/>
  <c r="G51" i="64" s="1"/>
  <c r="H73" i="21" s="1"/>
  <c r="D16" i="4"/>
  <c r="D15" i="64"/>
  <c r="D51" i="64" s="1"/>
  <c r="E73" i="21" s="1"/>
  <c r="F15" i="64"/>
  <c r="F51" i="64" s="1"/>
  <c r="G73" i="21" s="1"/>
  <c r="F16" i="4"/>
  <c r="K15" i="64"/>
  <c r="K51" i="64" s="1"/>
  <c r="L73" i="21" s="1"/>
  <c r="K16" i="4"/>
  <c r="C14" i="64"/>
  <c r="C50" i="64" s="1"/>
  <c r="M14" i="4"/>
  <c r="C15" i="4"/>
  <c r="H15" i="64"/>
  <c r="H51" i="64" s="1"/>
  <c r="I73" i="21" s="1"/>
  <c r="H16" i="4"/>
  <c r="I14" i="64"/>
  <c r="I50" i="64" s="1"/>
  <c r="J72" i="21" s="1"/>
  <c r="I15" i="4"/>
  <c r="D71" i="21"/>
  <c r="M49" i="64"/>
  <c r="L18" i="4"/>
  <c r="L17" i="64"/>
  <c r="L53" i="64" s="1"/>
  <c r="M75" i="21" s="1"/>
  <c r="M13" i="64"/>
  <c r="E71" i="21"/>
  <c r="J18" i="4"/>
  <c r="J17" i="64"/>
  <c r="J53" i="64" s="1"/>
  <c r="K75" i="21" s="1"/>
  <c r="M48" i="48"/>
  <c r="N47" i="48"/>
  <c r="N15" i="48" s="1"/>
  <c r="M15" i="48"/>
  <c r="K56" i="1" l="1"/>
  <c r="K138" i="1"/>
  <c r="K24" i="1"/>
  <c r="H34" i="8"/>
  <c r="H55" i="8"/>
  <c r="A38" i="8"/>
  <c r="M80" i="48"/>
  <c r="A54" i="4"/>
  <c r="G57" i="4"/>
  <c r="M14" i="64"/>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79" i="71"/>
  <c r="D68" i="71"/>
  <c r="E68" i="71"/>
  <c r="F97" i="71"/>
  <c r="A39" i="1"/>
  <c r="I117" i="1"/>
  <c r="E101" i="71"/>
  <c r="E103" i="71"/>
  <c r="E66" i="71"/>
  <c r="E102" i="71"/>
  <c r="E99" i="71"/>
  <c r="E105" i="71"/>
  <c r="E104" i="71"/>
  <c r="E106" i="71"/>
  <c r="E100" i="71"/>
  <c r="E97" i="71"/>
  <c r="E96" i="71"/>
  <c r="E98" i="71"/>
  <c r="E79" i="71"/>
  <c r="E80" i="71"/>
  <c r="E88" i="71"/>
  <c r="E84" i="71"/>
  <c r="E86" i="71"/>
  <c r="E81" i="71"/>
  <c r="E85" i="71"/>
  <c r="E87" i="71"/>
  <c r="D66" i="71"/>
  <c r="E83" i="71"/>
  <c r="E78" i="71"/>
  <c r="E82" i="71"/>
  <c r="E67" i="71"/>
  <c r="F96" i="71"/>
  <c r="D26" i="71"/>
  <c r="D27" i="71" s="1"/>
  <c r="E26" i="71"/>
  <c r="E27" i="71" s="1"/>
  <c r="F78" i="71"/>
  <c r="D67" i="71"/>
  <c r="K17" i="79"/>
  <c r="G20" i="79"/>
  <c r="G86" i="15"/>
  <c r="G87" i="15" s="1"/>
  <c r="D87" i="15" s="1"/>
  <c r="D11" i="15" s="1"/>
  <c r="G129" i="15"/>
  <c r="G130" i="15" s="1"/>
  <c r="D130" i="15" s="1"/>
  <c r="D12" i="15" s="1"/>
  <c r="F28" i="26"/>
  <c r="F29" i="26" s="1"/>
  <c r="F30" i="26" s="1"/>
  <c r="K127" i="1" s="1"/>
  <c r="G67" i="15"/>
  <c r="G68" i="15" s="1"/>
  <c r="D68" i="15" s="1"/>
  <c r="D10" i="15" s="1"/>
  <c r="K40" i="1"/>
  <c r="K81" i="48"/>
  <c r="L81" i="48"/>
  <c r="L18" i="48" s="1"/>
  <c r="K17" i="48"/>
  <c r="J394" i="49"/>
  <c r="K393" i="49"/>
  <c r="J361" i="49"/>
  <c r="K360" i="49"/>
  <c r="K53" i="48"/>
  <c r="L53" i="48"/>
  <c r="K328" i="49"/>
  <c r="J329" i="49"/>
  <c r="J427" i="49"/>
  <c r="K426" i="49"/>
  <c r="J262" i="49"/>
  <c r="K261" i="49"/>
  <c r="J295" i="49"/>
  <c r="K294" i="49"/>
  <c r="J131" i="49"/>
  <c r="K130" i="49"/>
  <c r="K61" i="49"/>
  <c r="J62" i="49"/>
  <c r="K96" i="49"/>
  <c r="J97" i="49"/>
  <c r="K228" i="49"/>
  <c r="J229" i="49"/>
  <c r="K195" i="49"/>
  <c r="J196" i="49"/>
  <c r="J164" i="49"/>
  <c r="K163" i="49"/>
  <c r="F16" i="64"/>
  <c r="F52" i="64" s="1"/>
  <c r="G74" i="21" s="1"/>
  <c r="F17" i="4"/>
  <c r="I15" i="64"/>
  <c r="I51" i="64" s="1"/>
  <c r="J73" i="21" s="1"/>
  <c r="I16" i="4"/>
  <c r="E17" i="64"/>
  <c r="E53" i="64" s="1"/>
  <c r="F75" i="21" s="1"/>
  <c r="E18"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N80" i="48"/>
  <c r="H56" i="8" l="1"/>
  <c r="A41" i="8"/>
  <c r="A42" i="8" s="1"/>
  <c r="A43" i="8" s="1"/>
  <c r="A44" i="8" s="1"/>
  <c r="A45" i="8" s="1"/>
  <c r="A48" i="8" s="1"/>
  <c r="E22" i="2"/>
  <c r="G62" i="4"/>
  <c r="A57" i="4"/>
  <c r="E24" i="2"/>
  <c r="K20" i="79"/>
  <c r="K10" i="79" s="1"/>
  <c r="J26" i="8" s="1"/>
  <c r="E115" i="71"/>
  <c r="D47" i="7"/>
  <c r="D48" i="7" s="1"/>
  <c r="D63" i="7" s="1"/>
  <c r="D69" i="7" s="1"/>
  <c r="F108" i="71"/>
  <c r="H41" i="44"/>
  <c r="H44" i="44" s="1"/>
  <c r="H87" i="44" s="1"/>
  <c r="H92" i="44" s="1"/>
  <c r="F90" i="71"/>
  <c r="B115" i="65"/>
  <c r="A78" i="65"/>
  <c r="A79" i="65" s="1"/>
  <c r="A80" i="65" s="1"/>
  <c r="A81" i="65" s="1"/>
  <c r="A82" i="65" s="1"/>
  <c r="A83" i="65" s="1"/>
  <c r="A84" i="65" s="1"/>
  <c r="A85" i="65" s="1"/>
  <c r="A86" i="65" s="1"/>
  <c r="A87" i="65" s="1"/>
  <c r="A88" i="65" s="1"/>
  <c r="A89" i="65" s="1"/>
  <c r="A90" i="65" s="1"/>
  <c r="A91" i="65" s="1"/>
  <c r="B109" i="65" s="1"/>
  <c r="D14" i="15"/>
  <c r="K26" i="1" s="1"/>
  <c r="K41" i="1"/>
  <c r="D98" i="71"/>
  <c r="G98" i="71" s="1"/>
  <c r="H98" i="71" s="1"/>
  <c r="D102" i="71"/>
  <c r="E65" i="71"/>
  <c r="E69" i="71" s="1"/>
  <c r="E70" i="71" s="1"/>
  <c r="D103" i="71"/>
  <c r="G103" i="71" s="1"/>
  <c r="H103" i="71" s="1"/>
  <c r="D97" i="71"/>
  <c r="G97" i="71" s="1"/>
  <c r="H97" i="71" s="1"/>
  <c r="D106" i="71"/>
  <c r="G106" i="71" s="1"/>
  <c r="H106" i="71" s="1"/>
  <c r="D99" i="71"/>
  <c r="D101" i="71"/>
  <c r="G101" i="71" s="1"/>
  <c r="H101" i="71" s="1"/>
  <c r="D104" i="71"/>
  <c r="G104" i="71" s="1"/>
  <c r="H104" i="71" s="1"/>
  <c r="D96" i="71"/>
  <c r="D100" i="71"/>
  <c r="G100" i="71" s="1"/>
  <c r="H100" i="71" s="1"/>
  <c r="D105" i="71"/>
  <c r="G105" i="71" s="1"/>
  <c r="H105" i="71" s="1"/>
  <c r="D65" i="71"/>
  <c r="D82" i="71"/>
  <c r="D88" i="71"/>
  <c r="D87" i="71"/>
  <c r="D86" i="71"/>
  <c r="D81" i="71"/>
  <c r="D78" i="71"/>
  <c r="D83" i="71"/>
  <c r="D84" i="71"/>
  <c r="D79" i="71"/>
  <c r="D80" i="71"/>
  <c r="D85" i="71"/>
  <c r="A40" i="1"/>
  <c r="A41" i="1" s="1"/>
  <c r="E108" i="71"/>
  <c r="E90" i="71"/>
  <c r="D72" i="7"/>
  <c r="J49" i="8"/>
  <c r="K17" i="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J63" i="49"/>
  <c r="K62" i="49"/>
  <c r="K196" i="49"/>
  <c r="J197" i="49"/>
  <c r="G17" i="64"/>
  <c r="G53" i="64" s="1"/>
  <c r="H75" i="21" s="1"/>
  <c r="G18" i="4"/>
  <c r="D18" i="4"/>
  <c r="D17" i="64"/>
  <c r="D53" i="64" s="1"/>
  <c r="H18" i="4"/>
  <c r="H17" i="64"/>
  <c r="H53" i="64" s="1"/>
  <c r="I75" i="21" s="1"/>
  <c r="E19" i="4"/>
  <c r="E18" i="64"/>
  <c r="E54" i="64" s="1"/>
  <c r="F76" i="21" s="1"/>
  <c r="M15" i="64"/>
  <c r="K17" i="64"/>
  <c r="K53" i="64" s="1"/>
  <c r="L75" i="21" s="1"/>
  <c r="K18" i="4"/>
  <c r="D73" i="21"/>
  <c r="M51" i="64"/>
  <c r="I16" i="64"/>
  <c r="I52" i="64" s="1"/>
  <c r="J74" i="21" s="1"/>
  <c r="I17" i="4"/>
  <c r="M16" i="4"/>
  <c r="C16" i="64"/>
  <c r="C52" i="64" s="1"/>
  <c r="C17" i="4"/>
  <c r="L19" i="64"/>
  <c r="L55" i="64" s="1"/>
  <c r="M77" i="21" s="1"/>
  <c r="L20" i="4"/>
  <c r="F17" i="64"/>
  <c r="F53" i="64" s="1"/>
  <c r="G75" i="21" s="1"/>
  <c r="F18" i="4"/>
  <c r="J20" i="4"/>
  <c r="J19" i="64"/>
  <c r="J55" i="64" s="1"/>
  <c r="K77" i="21" s="1"/>
  <c r="N49" i="48"/>
  <c r="N17" i="48" s="1"/>
  <c r="M50" i="48"/>
  <c r="M17" i="48"/>
  <c r="K18" i="1" l="1"/>
  <c r="A49" i="8"/>
  <c r="A50" i="8" s="1"/>
  <c r="A51" i="8" s="1"/>
  <c r="A52" i="8" s="1"/>
  <c r="A53" i="8" s="1"/>
  <c r="A54" i="8" s="1"/>
  <c r="A55" i="8" s="1"/>
  <c r="A56" i="8" s="1"/>
  <c r="A57" i="8" s="1"/>
  <c r="A58" i="8" s="1"/>
  <c r="A59" i="8" s="1"/>
  <c r="D64" i="7"/>
  <c r="D65" i="7" s="1"/>
  <c r="A58" i="4"/>
  <c r="A59" i="4" s="1"/>
  <c r="M16" i="64"/>
  <c r="M82" i="48"/>
  <c r="N82" i="48" s="1"/>
  <c r="B108" i="65"/>
  <c r="B119" i="65"/>
  <c r="D24" i="15"/>
  <c r="J23" i="8" s="1"/>
  <c r="D69" i="71"/>
  <c r="D70" i="71" s="1"/>
  <c r="E141" i="71"/>
  <c r="D159" i="71"/>
  <c r="D178" i="71"/>
  <c r="G82" i="71"/>
  <c r="H82" i="71" s="1"/>
  <c r="D179" i="71"/>
  <c r="D160" i="71"/>
  <c r="G83" i="71"/>
  <c r="H83" i="71" s="1"/>
  <c r="D161" i="71"/>
  <c r="D180" i="71"/>
  <c r="G84" i="71"/>
  <c r="H84" i="71" s="1"/>
  <c r="I41" i="1"/>
  <c r="G81" i="71"/>
  <c r="H81" i="71" s="1"/>
  <c r="D177" i="71"/>
  <c r="D158" i="71"/>
  <c r="G96" i="71"/>
  <c r="D108" i="71"/>
  <c r="G102" i="71"/>
  <c r="H102" i="71" s="1"/>
  <c r="D175" i="71"/>
  <c r="G79" i="71"/>
  <c r="H79" i="71" s="1"/>
  <c r="D156" i="71"/>
  <c r="D90" i="71"/>
  <c r="D174" i="71"/>
  <c r="D155" i="71"/>
  <c r="G78" i="71"/>
  <c r="H78" i="71" s="1"/>
  <c r="A43" i="1"/>
  <c r="A44" i="1" s="1"/>
  <c r="G86" i="71"/>
  <c r="H86" i="71" s="1"/>
  <c r="D163" i="71"/>
  <c r="D182" i="71"/>
  <c r="D181" i="71"/>
  <c r="D162" i="71"/>
  <c r="G85" i="71"/>
  <c r="H85" i="71" s="1"/>
  <c r="D183" i="71"/>
  <c r="D164" i="71"/>
  <c r="G87" i="71"/>
  <c r="H87" i="71" s="1"/>
  <c r="D157" i="71"/>
  <c r="D176" i="71"/>
  <c r="G80" i="71"/>
  <c r="H80" i="71" s="1"/>
  <c r="D184" i="71"/>
  <c r="D165" i="71"/>
  <c r="G88" i="71"/>
  <c r="H88" i="71" s="1"/>
  <c r="G99" i="71"/>
  <c r="H99" i="71" s="1"/>
  <c r="K58" i="1"/>
  <c r="J14" i="8"/>
  <c r="J15" i="8" s="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J64" i="49"/>
  <c r="K98" i="49"/>
  <c r="K230" i="49"/>
  <c r="J231" i="49"/>
  <c r="K63"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E19" i="64"/>
  <c r="E55" i="64" s="1"/>
  <c r="F77" i="21" s="1"/>
  <c r="E20" i="4"/>
  <c r="L20" i="64"/>
  <c r="L56" i="64" s="1"/>
  <c r="M78" i="21" s="1"/>
  <c r="L21" i="4"/>
  <c r="J20" i="64"/>
  <c r="J56" i="64" s="1"/>
  <c r="K78" i="21" s="1"/>
  <c r="J21" i="4"/>
  <c r="M51" i="48"/>
  <c r="M18" i="48"/>
  <c r="N50" i="48"/>
  <c r="N18" i="48" s="1"/>
  <c r="H59" i="8" l="1"/>
  <c r="H64" i="8"/>
  <c r="A61" i="8"/>
  <c r="A64" i="8" s="1"/>
  <c r="H7" i="8"/>
  <c r="A62" i="4"/>
  <c r="G59" i="4"/>
  <c r="D186" i="71"/>
  <c r="H90" i="71"/>
  <c r="G108" i="71"/>
  <c r="H96" i="71"/>
  <c r="H108" i="71" s="1"/>
  <c r="A45" i="1"/>
  <c r="G90" i="71"/>
  <c r="K131" i="1"/>
  <c r="K34" i="1"/>
  <c r="D167" i="71"/>
  <c r="K84" i="48"/>
  <c r="L84" i="48"/>
  <c r="L21" i="48" s="1"/>
  <c r="K20" i="48"/>
  <c r="M83" i="48"/>
  <c r="J397" i="49"/>
  <c r="K396" i="49"/>
  <c r="J364" i="49"/>
  <c r="K363" i="49"/>
  <c r="K56" i="48"/>
  <c r="L56" i="48"/>
  <c r="K264" i="49"/>
  <c r="J265" i="49"/>
  <c r="J298" i="49"/>
  <c r="K297" i="49"/>
  <c r="J430" i="49"/>
  <c r="K429" i="49"/>
  <c r="J332" i="49"/>
  <c r="K331" i="49"/>
  <c r="K231" i="49"/>
  <c r="J232" i="49"/>
  <c r="J134" i="49"/>
  <c r="K133" i="49"/>
  <c r="K99" i="49"/>
  <c r="J100" i="49"/>
  <c r="J65" i="49"/>
  <c r="J167" i="49"/>
  <c r="K166" i="49"/>
  <c r="K64"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C19" i="4"/>
  <c r="E21" i="4"/>
  <c r="E20" i="64"/>
  <c r="E56" i="64" s="1"/>
  <c r="F78" i="21" s="1"/>
  <c r="G19" i="64"/>
  <c r="G55" i="64" s="1"/>
  <c r="H77" i="21" s="1"/>
  <c r="G20" i="4"/>
  <c r="J22" i="4"/>
  <c r="J21" i="64"/>
  <c r="J57" i="64" s="1"/>
  <c r="K79" i="21" s="1"/>
  <c r="M52" i="48"/>
  <c r="M19" i="48"/>
  <c r="N51" i="48"/>
  <c r="N19" i="48" s="1"/>
  <c r="G68" i="8" l="1"/>
  <c r="A68" i="8"/>
  <c r="M84" i="48"/>
  <c r="G64" i="4"/>
  <c r="A63" i="4"/>
  <c r="A64" i="4" s="1"/>
  <c r="M18" i="64"/>
  <c r="N83" i="48"/>
  <c r="K112" i="1"/>
  <c r="K97" i="1"/>
  <c r="J53" i="8"/>
  <c r="A46" i="1"/>
  <c r="A47" i="1" s="1"/>
  <c r="A48" i="1" s="1"/>
  <c r="K85" i="48"/>
  <c r="L85" i="48"/>
  <c r="L22" i="48" s="1"/>
  <c r="K21" i="48"/>
  <c r="K397" i="49"/>
  <c r="J398" i="49"/>
  <c r="J365" i="49"/>
  <c r="K364" i="49"/>
  <c r="K57" i="48"/>
  <c r="L57" i="48"/>
  <c r="J266" i="49"/>
  <c r="K265" i="49"/>
  <c r="J333" i="49"/>
  <c r="K332" i="49"/>
  <c r="J299" i="49"/>
  <c r="K298" i="49"/>
  <c r="K65" i="49"/>
  <c r="K430" i="49"/>
  <c r="J431" i="49"/>
  <c r="K167" i="49"/>
  <c r="J168" i="49"/>
  <c r="K100" i="49"/>
  <c r="J66" i="49"/>
  <c r="J101" i="49"/>
  <c r="K134" i="49"/>
  <c r="J135" i="49"/>
  <c r="K199" i="49"/>
  <c r="J200" i="49"/>
  <c r="J233" i="49"/>
  <c r="K232" i="49"/>
  <c r="D20" i="64"/>
  <c r="D56" i="64" s="1"/>
  <c r="E78" i="21" s="1"/>
  <c r="D21" i="4"/>
  <c r="G21" i="4"/>
  <c r="G20" i="64"/>
  <c r="G56" i="64" s="1"/>
  <c r="H78" i="21" s="1"/>
  <c r="E21" i="64"/>
  <c r="E57" i="64" s="1"/>
  <c r="F79" i="21" s="1"/>
  <c r="E22" i="4"/>
  <c r="C19" i="64"/>
  <c r="C55" i="64" s="1"/>
  <c r="C20" i="4"/>
  <c r="M19" i="4"/>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N84" i="48"/>
  <c r="M20" i="48"/>
  <c r="M53" i="48"/>
  <c r="N52" i="48"/>
  <c r="I44" i="1" l="1"/>
  <c r="A69" i="8"/>
  <c r="A70" i="8" s="1"/>
  <c r="A71" i="8" s="1"/>
  <c r="A72" i="8" s="1"/>
  <c r="A74" i="8" s="1"/>
  <c r="H14" i="65" s="1"/>
  <c r="G70" i="8"/>
  <c r="G74" i="8"/>
  <c r="K133" i="1"/>
  <c r="K134" i="1"/>
  <c r="N20" i="48"/>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M19" i="64"/>
  <c r="A49" i="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67" i="49"/>
  <c r="K66" i="49"/>
  <c r="J234" i="49"/>
  <c r="K233" i="49"/>
  <c r="K200" i="49"/>
  <c r="J201" i="49"/>
  <c r="J169" i="49"/>
  <c r="K168" i="49"/>
  <c r="K135" i="49"/>
  <c r="J136" i="49"/>
  <c r="E23" i="4"/>
  <c r="E22" i="64"/>
  <c r="E58" i="64" s="1"/>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21" i="48"/>
  <c r="M54" i="48"/>
  <c r="N53" i="48"/>
  <c r="N21" i="48" s="1"/>
  <c r="G72" i="8" l="1"/>
  <c r="M86" i="48"/>
  <c r="A150" i="4"/>
  <c r="B232" i="4"/>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K67" i="49"/>
  <c r="J137" i="49"/>
  <c r="K136" i="49"/>
  <c r="J103" i="49"/>
  <c r="J68" i="49"/>
  <c r="K102" i="49"/>
  <c r="C22" i="4"/>
  <c r="M21" i="4"/>
  <c r="C21" i="64"/>
  <c r="C57" i="64" s="1"/>
  <c r="H22" i="64"/>
  <c r="H58" i="64" s="1"/>
  <c r="H23" i="4"/>
  <c r="H23" i="64" s="1"/>
  <c r="H59" i="64" s="1"/>
  <c r="I81" i="21" s="1"/>
  <c r="D78" i="21"/>
  <c r="M56" i="64"/>
  <c r="G22" i="64"/>
  <c r="G58" i="64" s="1"/>
  <c r="H80" i="21" s="1"/>
  <c r="G23" i="4"/>
  <c r="G23" i="64" s="1"/>
  <c r="G59" i="64" s="1"/>
  <c r="H81" i="21" s="1"/>
  <c r="D22" i="64"/>
  <c r="D58" i="64" s="1"/>
  <c r="E80" i="21" s="1"/>
  <c r="D23" i="4"/>
  <c r="I21" i="64"/>
  <c r="I57" i="64" s="1"/>
  <c r="J79" i="21" s="1"/>
  <c r="I22" i="4"/>
  <c r="K23" i="4"/>
  <c r="K22" i="64"/>
  <c r="K58" i="64" s="1"/>
  <c r="L80" i="21" s="1"/>
  <c r="J78" i="21"/>
  <c r="F22" i="64"/>
  <c r="F58" i="64" s="1"/>
  <c r="G80" i="21" s="1"/>
  <c r="F23" i="4"/>
  <c r="G25" i="4"/>
  <c r="L60" i="64"/>
  <c r="M81" i="21"/>
  <c r="M82" i="21" s="1"/>
  <c r="M109" i="21" s="1"/>
  <c r="M112" i="21" s="1"/>
  <c r="F80" i="21"/>
  <c r="M20" i="64"/>
  <c r="E23" i="64"/>
  <c r="E59" i="64" s="1"/>
  <c r="F81" i="21" s="1"/>
  <c r="E25" i="4"/>
  <c r="J60" i="64"/>
  <c r="K130" i="21"/>
  <c r="K119" i="21"/>
  <c r="K121" i="21"/>
  <c r="K126" i="21"/>
  <c r="K123" i="21"/>
  <c r="K128" i="21"/>
  <c r="K120" i="21"/>
  <c r="K122" i="21"/>
  <c r="K129" i="21"/>
  <c r="K127" i="21"/>
  <c r="K125" i="21"/>
  <c r="K124" i="21"/>
  <c r="N86" i="48"/>
  <c r="M55" i="48"/>
  <c r="N54" i="48"/>
  <c r="N22" i="48" s="1"/>
  <c r="M22" i="48"/>
  <c r="I54" i="1" l="1"/>
  <c r="A151" i="4"/>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N78" i="21"/>
  <c r="H82" i="21"/>
  <c r="H109" i="21" s="1"/>
  <c r="H112" i="21" s="1"/>
  <c r="M21" i="64"/>
  <c r="H25" i="4"/>
  <c r="G60" i="64"/>
  <c r="A55" i="1"/>
  <c r="A56" i="1" s="1"/>
  <c r="K88" i="48"/>
  <c r="L88" i="48"/>
  <c r="L25" i="48" s="1"/>
  <c r="K24" i="48"/>
  <c r="M87" i="48"/>
  <c r="J401" i="49"/>
  <c r="K400" i="49"/>
  <c r="K367" i="49"/>
  <c r="J368" i="49"/>
  <c r="K60" i="48"/>
  <c r="L60" i="48"/>
  <c r="K268" i="49"/>
  <c r="J269" i="49"/>
  <c r="K301" i="49"/>
  <c r="J302" i="49"/>
  <c r="K433" i="49"/>
  <c r="J434" i="49"/>
  <c r="J336" i="49"/>
  <c r="K335" i="49"/>
  <c r="K103" i="49"/>
  <c r="J104" i="49"/>
  <c r="J69" i="49"/>
  <c r="K202" i="49"/>
  <c r="J203" i="49"/>
  <c r="K235" i="49"/>
  <c r="J236" i="49"/>
  <c r="K137" i="49"/>
  <c r="J138" i="49"/>
  <c r="J171" i="49"/>
  <c r="K170" i="49"/>
  <c r="K68" i="49"/>
  <c r="F82" i="21"/>
  <c r="F109" i="21" s="1"/>
  <c r="F112" i="21" s="1"/>
  <c r="F123" i="21" s="1"/>
  <c r="M121" i="21"/>
  <c r="M120" i="21"/>
  <c r="M122" i="21"/>
  <c r="M130" i="21"/>
  <c r="M128" i="21"/>
  <c r="M125" i="21"/>
  <c r="M119" i="21"/>
  <c r="M126" i="21"/>
  <c r="M123" i="21"/>
  <c r="M129" i="21"/>
  <c r="M124" i="21"/>
  <c r="M127" i="21"/>
  <c r="K23" i="64"/>
  <c r="K59" i="64" s="1"/>
  <c r="L81" i="21" s="1"/>
  <c r="L82" i="21" s="1"/>
  <c r="L109" i="21" s="1"/>
  <c r="L112" i="21" s="1"/>
  <c r="L121" i="21" s="1"/>
  <c r="K25" i="4"/>
  <c r="D23" i="64"/>
  <c r="D59" i="64" s="1"/>
  <c r="D25" i="4"/>
  <c r="I80" i="21"/>
  <c r="I82" i="21" s="1"/>
  <c r="I109" i="21" s="1"/>
  <c r="I112" i="21" s="1"/>
  <c r="H60" i="64"/>
  <c r="F25" i="4"/>
  <c r="F23" i="64"/>
  <c r="F59" i="64" s="1"/>
  <c r="G81" i="21" s="1"/>
  <c r="G82" i="21" s="1"/>
  <c r="G109" i="21" s="1"/>
  <c r="G112" i="21" s="1"/>
  <c r="G122" i="21" s="1"/>
  <c r="D79" i="21"/>
  <c r="N79" i="21" s="1"/>
  <c r="M57" i="64"/>
  <c r="I22" i="64"/>
  <c r="I58" i="64" s="1"/>
  <c r="J80" i="21" s="1"/>
  <c r="I23" i="4"/>
  <c r="I23" i="64" s="1"/>
  <c r="I59" i="64" s="1"/>
  <c r="J81" i="21" s="1"/>
  <c r="E60" i="64"/>
  <c r="C22" i="64"/>
  <c r="C58" i="64" s="1"/>
  <c r="C23" i="4"/>
  <c r="M22" i="4"/>
  <c r="K13" i="21"/>
  <c r="K131" i="21"/>
  <c r="M23" i="48"/>
  <c r="M56" i="48"/>
  <c r="N55" i="48"/>
  <c r="N23" i="48" s="1"/>
  <c r="H129" i="21"/>
  <c r="H125" i="21"/>
  <c r="H123" i="21"/>
  <c r="H126" i="21"/>
  <c r="H120" i="21"/>
  <c r="H127" i="21"/>
  <c r="H124" i="21"/>
  <c r="H130" i="21"/>
  <c r="H121" i="21"/>
  <c r="H122" i="21"/>
  <c r="H119" i="21"/>
  <c r="H128" i="21"/>
  <c r="M88" i="48" l="1"/>
  <c r="A187" i="4"/>
  <c r="A191" i="4" s="1"/>
  <c r="B233" i="4"/>
  <c r="M22" i="64"/>
  <c r="I60" i="64"/>
  <c r="J82" i="21"/>
  <c r="J109" i="21" s="1"/>
  <c r="J112" i="21" s="1"/>
  <c r="J128" i="21" s="1"/>
  <c r="L123" i="21"/>
  <c r="F127" i="21"/>
  <c r="F124" i="21"/>
  <c r="F130" i="21"/>
  <c r="F121" i="21"/>
  <c r="G121" i="21"/>
  <c r="F119" i="21"/>
  <c r="F13" i="21" s="1"/>
  <c r="G120" i="21"/>
  <c r="F129" i="21"/>
  <c r="F126" i="21"/>
  <c r="F125" i="21"/>
  <c r="F120" i="21"/>
  <c r="F128" i="21"/>
  <c r="F122"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70" i="49"/>
  <c r="J105" i="49"/>
  <c r="K69" i="49"/>
  <c r="J237" i="49"/>
  <c r="K236" i="49"/>
  <c r="L119" i="21"/>
  <c r="L13" i="21" s="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L124" i="21"/>
  <c r="K14" i="21"/>
  <c r="K15" i="21" s="1"/>
  <c r="K16" i="21" s="1"/>
  <c r="K17" i="21" s="1"/>
  <c r="K18" i="21" s="1"/>
  <c r="K19" i="21" s="1"/>
  <c r="K20" i="21" s="1"/>
  <c r="K21" i="21" s="1"/>
  <c r="K22" i="21" s="1"/>
  <c r="K23" i="21" s="1"/>
  <c r="H131" i="21"/>
  <c r="H13" i="21"/>
  <c r="N88" i="48"/>
  <c r="N56" i="48"/>
  <c r="M24" i="48"/>
  <c r="M57" i="48"/>
  <c r="J123" i="21" l="1"/>
  <c r="J127" i="21"/>
  <c r="B234" i="4"/>
  <c r="A198" i="4"/>
  <c r="J125" i="21"/>
  <c r="J124" i="21"/>
  <c r="M89" i="48"/>
  <c r="J121" i="21"/>
  <c r="J130" i="21"/>
  <c r="J129" i="21"/>
  <c r="J126" i="21"/>
  <c r="J119" i="21"/>
  <c r="J13" i="21" s="1"/>
  <c r="J120" i="21"/>
  <c r="J122" i="21"/>
  <c r="N24" i="48"/>
  <c r="F14" i="21"/>
  <c r="F15" i="21" s="1"/>
  <c r="F16" i="21" s="1"/>
  <c r="F17" i="21" s="1"/>
  <c r="F18" i="21" s="1"/>
  <c r="F19" i="21" s="1"/>
  <c r="F20" i="21" s="1"/>
  <c r="F21" i="21" s="1"/>
  <c r="F22" i="21" s="1"/>
  <c r="F23" i="21" s="1"/>
  <c r="G14" i="21"/>
  <c r="F131" i="21"/>
  <c r="L131" i="21"/>
  <c r="G131" i="21"/>
  <c r="G15" i="21"/>
  <c r="G16" i="21" s="1"/>
  <c r="G17" i="21" s="1"/>
  <c r="G18" i="21" s="1"/>
  <c r="G19" i="21" s="1"/>
  <c r="G20" i="21" s="1"/>
  <c r="G21" i="21" s="1"/>
  <c r="G22" i="21" s="1"/>
  <c r="G23" i="21" s="1"/>
  <c r="A63" i="1"/>
  <c r="I131" i="1"/>
  <c r="K90" i="48"/>
  <c r="L90" i="48"/>
  <c r="L27" i="48" s="1"/>
  <c r="K26" i="48"/>
  <c r="K402" i="49"/>
  <c r="J403" i="49"/>
  <c r="J370" i="49"/>
  <c r="K369" i="49"/>
  <c r="K62" i="48"/>
  <c r="L62" i="48"/>
  <c r="K337" i="49"/>
  <c r="J338" i="49"/>
  <c r="K435" i="49"/>
  <c r="J436" i="49"/>
  <c r="K70" i="49"/>
  <c r="J271" i="49"/>
  <c r="K270" i="49"/>
  <c r="K303" i="49"/>
  <c r="J304" i="49"/>
  <c r="K139" i="49"/>
  <c r="J140" i="49"/>
  <c r="J238" i="49"/>
  <c r="K237" i="49"/>
  <c r="K172" i="49"/>
  <c r="J173" i="49"/>
  <c r="K105" i="49"/>
  <c r="J106" i="49"/>
  <c r="J71" i="49"/>
  <c r="J205" i="49"/>
  <c r="K204" i="49"/>
  <c r="M25" i="21"/>
  <c r="C60" i="64"/>
  <c r="M59" i="64"/>
  <c r="M61" i="64" s="1"/>
  <c r="F91" i="64" s="1"/>
  <c r="F94" i="64" s="1"/>
  <c r="K129" i="1" s="1"/>
  <c r="D81" i="21"/>
  <c r="E130" i="21"/>
  <c r="E127" i="21"/>
  <c r="E125" i="21"/>
  <c r="E129" i="21"/>
  <c r="E128" i="21"/>
  <c r="E119" i="21"/>
  <c r="E120" i="21"/>
  <c r="E123" i="21"/>
  <c r="E124" i="21"/>
  <c r="E122" i="21"/>
  <c r="E121" i="21"/>
  <c r="E126" i="21"/>
  <c r="M23" i="64"/>
  <c r="M25" i="4"/>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N89" i="48"/>
  <c r="A199" i="4" l="1"/>
  <c r="A200" i="4" s="1"/>
  <c r="A201" i="4" s="1"/>
  <c r="A202" i="4" s="1"/>
  <c r="A203" i="4" s="1"/>
  <c r="A204" i="4" s="1"/>
  <c r="A205" i="4" s="1"/>
  <c r="A206" i="4" s="1"/>
  <c r="A207" i="4" s="1"/>
  <c r="A208" i="4" s="1"/>
  <c r="A209" i="4" s="1"/>
  <c r="A210" i="4" s="1"/>
  <c r="B236" i="4"/>
  <c r="D43" i="4"/>
  <c r="J6" i="8" s="1"/>
  <c r="M90" i="48"/>
  <c r="J131" i="21"/>
  <c r="F25" i="21"/>
  <c r="G25" i="21"/>
  <c r="A64" i="1"/>
  <c r="A65" i="1" s="1"/>
  <c r="J51" i="8"/>
  <c r="K139" i="1"/>
  <c r="K91" i="48"/>
  <c r="L91" i="48"/>
  <c r="L28" i="48" s="1"/>
  <c r="K27" i="48"/>
  <c r="K403" i="49"/>
  <c r="J404" i="49"/>
  <c r="K370" i="49"/>
  <c r="J371" i="49"/>
  <c r="K63" i="48"/>
  <c r="L63" i="48"/>
  <c r="J437" i="49"/>
  <c r="K436" i="49"/>
  <c r="K304" i="49"/>
  <c r="J305" i="49"/>
  <c r="J272" i="49"/>
  <c r="K271" i="49"/>
  <c r="K338" i="49"/>
  <c r="J339" i="49"/>
  <c r="K71" i="49"/>
  <c r="K173" i="49"/>
  <c r="J174" i="49"/>
  <c r="J239" i="49"/>
  <c r="K238" i="49"/>
  <c r="J206" i="49"/>
  <c r="K205" i="49"/>
  <c r="J141" i="49"/>
  <c r="K140" i="49"/>
  <c r="J107" i="49"/>
  <c r="J72"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N90" i="48"/>
  <c r="L25" i="21"/>
  <c r="H25" i="21"/>
  <c r="M59" i="48"/>
  <c r="M26" i="48"/>
  <c r="N58" i="48"/>
  <c r="N26" i="48" s="1"/>
  <c r="M91" i="48" l="1"/>
  <c r="A68" i="1"/>
  <c r="I85" i="1"/>
  <c r="D70" i="7"/>
  <c r="D71" i="7" s="1"/>
  <c r="D73" i="7" s="1"/>
  <c r="D79" i="7" s="1"/>
  <c r="K141" i="1"/>
  <c r="K142"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K72" i="49"/>
  <c r="J108" i="49"/>
  <c r="J73" i="49"/>
  <c r="K107" i="49"/>
  <c r="J175" i="49"/>
  <c r="K174" i="49"/>
  <c r="J25" i="21"/>
  <c r="D109" i="21"/>
  <c r="N82" i="21"/>
  <c r="E14" i="21"/>
  <c r="E15" i="21" s="1"/>
  <c r="E16" i="21" s="1"/>
  <c r="E17" i="21" s="1"/>
  <c r="E18" i="21" s="1"/>
  <c r="E19" i="21" s="1"/>
  <c r="E20" i="21" s="1"/>
  <c r="E21" i="21" s="1"/>
  <c r="E22" i="21" s="1"/>
  <c r="E23" i="21" s="1"/>
  <c r="I25" i="21"/>
  <c r="N91" i="48"/>
  <c r="N59" i="48"/>
  <c r="N27" i="48" s="1"/>
  <c r="M60" i="48"/>
  <c r="M27" i="48"/>
  <c r="M92" i="48" l="1"/>
  <c r="N92" i="48" s="1"/>
  <c r="H89" i="44"/>
  <c r="A69" i="1"/>
  <c r="A70" i="1" s="1"/>
  <c r="K144" i="1"/>
  <c r="K93" i="48"/>
  <c r="L93" i="48"/>
  <c r="L30" i="48" s="1"/>
  <c r="K29" i="48"/>
  <c r="K405" i="49"/>
  <c r="J406" i="49"/>
  <c r="J373" i="49"/>
  <c r="K372" i="49"/>
  <c r="K65" i="48"/>
  <c r="L65" i="48"/>
  <c r="K306" i="49"/>
  <c r="J307" i="49"/>
  <c r="K273" i="49"/>
  <c r="J274" i="49"/>
  <c r="J439" i="49"/>
  <c r="K438" i="49"/>
  <c r="K73" i="49"/>
  <c r="K340" i="49"/>
  <c r="J341" i="49"/>
  <c r="J176" i="49"/>
  <c r="K175" i="49"/>
  <c r="K142" i="49"/>
  <c r="J143" i="49"/>
  <c r="J74" i="49"/>
  <c r="J109" i="49"/>
  <c r="K108" i="49"/>
  <c r="K207" i="49"/>
  <c r="J208" i="49"/>
  <c r="K240" i="49"/>
  <c r="J241" i="49"/>
  <c r="E25" i="21"/>
  <c r="N109" i="21"/>
  <c r="D112" i="21"/>
  <c r="M28" i="48"/>
  <c r="M61" i="48"/>
  <c r="N60" i="48"/>
  <c r="N28" i="48" s="1"/>
  <c r="M93" i="48" l="1"/>
  <c r="A73" i="1"/>
  <c r="I86" i="1"/>
  <c r="K149" i="1"/>
  <c r="C6" i="9"/>
  <c r="K94" i="48"/>
  <c r="L94" i="48"/>
  <c r="L31" i="48" s="1"/>
  <c r="K30" i="48"/>
  <c r="K406" i="49"/>
  <c r="J407" i="49"/>
  <c r="J374" i="49"/>
  <c r="K373" i="49"/>
  <c r="K66" i="48"/>
  <c r="L66" i="48"/>
  <c r="K341" i="49"/>
  <c r="J342" i="49"/>
  <c r="J440" i="49"/>
  <c r="K439" i="49"/>
  <c r="J275" i="49"/>
  <c r="K274" i="49"/>
  <c r="J308" i="49"/>
  <c r="K307" i="49"/>
  <c r="K74" i="49"/>
  <c r="J75"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93" i="48"/>
  <c r="N61" i="48"/>
  <c r="N29" i="48" s="1"/>
  <c r="M62" i="48"/>
  <c r="M29" i="48"/>
  <c r="M94" i="48" l="1"/>
  <c r="N94" i="48" s="1"/>
  <c r="A75" i="1"/>
  <c r="I82" i="1"/>
  <c r="I75" i="1"/>
  <c r="K95" i="48"/>
  <c r="L95" i="48"/>
  <c r="L32" i="48" s="1"/>
  <c r="K31" i="48"/>
  <c r="J408" i="49"/>
  <c r="K407" i="49"/>
  <c r="K374" i="49"/>
  <c r="J375" i="49"/>
  <c r="K67" i="48"/>
  <c r="L67" i="48"/>
  <c r="K308" i="49"/>
  <c r="J309" i="49"/>
  <c r="K275" i="49"/>
  <c r="J276" i="49"/>
  <c r="J441" i="49"/>
  <c r="K440" i="49"/>
  <c r="J343" i="49"/>
  <c r="K343" i="49" s="1"/>
  <c r="K344" i="49" s="1"/>
  <c r="K342" i="49"/>
  <c r="K144" i="49"/>
  <c r="J145" i="49"/>
  <c r="K145" i="49" s="1"/>
  <c r="K146" i="49" s="1"/>
  <c r="J178" i="49"/>
  <c r="K178" i="49" s="1"/>
  <c r="K179" i="49" s="1"/>
  <c r="K177" i="49"/>
  <c r="K110" i="49"/>
  <c r="J76" i="49"/>
  <c r="J111" i="49"/>
  <c r="K75" i="49"/>
  <c r="K209" i="49"/>
  <c r="J210" i="49"/>
  <c r="K242" i="49"/>
  <c r="J243" i="49"/>
  <c r="D13" i="21"/>
  <c r="N119" i="21"/>
  <c r="N131" i="21" s="1"/>
  <c r="D131" i="21"/>
  <c r="N62" i="48"/>
  <c r="N30" i="48" s="1"/>
  <c r="M30" i="48"/>
  <c r="M63" i="48"/>
  <c r="M95" i="48" l="1"/>
  <c r="A80" i="1"/>
  <c r="I81" i="1"/>
  <c r="K96" i="48"/>
  <c r="L96" i="48"/>
  <c r="L33" i="48" s="1"/>
  <c r="K32" i="48"/>
  <c r="K408" i="49"/>
  <c r="J409" i="49"/>
  <c r="K409" i="49" s="1"/>
  <c r="K410" i="49" s="1"/>
  <c r="K375" i="49"/>
  <c r="J376" i="49"/>
  <c r="K376" i="49" s="1"/>
  <c r="K68" i="48"/>
  <c r="L68" i="48"/>
  <c r="F16" i="71"/>
  <c r="G33" i="11"/>
  <c r="K309" i="49"/>
  <c r="J310" i="49"/>
  <c r="K310" i="49" s="1"/>
  <c r="K311" i="49" s="1"/>
  <c r="K76" i="49"/>
  <c r="K276" i="49"/>
  <c r="J277" i="49"/>
  <c r="K277" i="49" s="1"/>
  <c r="J442" i="49"/>
  <c r="K442" i="49" s="1"/>
  <c r="K443" i="49" s="1"/>
  <c r="K441" i="49"/>
  <c r="J112" i="49"/>
  <c r="J77" i="49"/>
  <c r="K111" i="49"/>
  <c r="K210" i="49"/>
  <c r="J211" i="49"/>
  <c r="K211" i="49" s="1"/>
  <c r="K243" i="49"/>
  <c r="J244" i="49"/>
  <c r="K244" i="49" s="1"/>
  <c r="K245" i="49" s="1"/>
  <c r="G27" i="11"/>
  <c r="F10" i="71"/>
  <c r="F11" i="71"/>
  <c r="G28" i="11"/>
  <c r="D14" i="21"/>
  <c r="N13" i="21"/>
  <c r="N95" i="48"/>
  <c r="M64" i="48"/>
  <c r="M31" i="48"/>
  <c r="N63" i="48"/>
  <c r="N31" i="48" s="1"/>
  <c r="K377" i="49" l="1"/>
  <c r="F17" i="71" s="1"/>
  <c r="K212" i="49"/>
  <c r="G29" i="11" s="1"/>
  <c r="M96" i="48"/>
  <c r="N96" i="48" s="1"/>
  <c r="A81" i="1"/>
  <c r="I90" i="1"/>
  <c r="K97" i="48"/>
  <c r="L97" i="48"/>
  <c r="L34" i="48" s="1"/>
  <c r="K33" i="48"/>
  <c r="G35" i="11"/>
  <c r="F18" i="71"/>
  <c r="K278" i="49"/>
  <c r="G31" i="11" s="1"/>
  <c r="F19" i="71"/>
  <c r="G36" i="11"/>
  <c r="G32" i="11"/>
  <c r="F15" i="71"/>
  <c r="F13" i="71"/>
  <c r="G30" i="11"/>
  <c r="K112" i="49"/>
  <c r="J78" i="49"/>
  <c r="K77" i="49"/>
  <c r="D15" i="21"/>
  <c r="N14" i="21"/>
  <c r="N64" i="48"/>
  <c r="N32" i="48" s="1"/>
  <c r="M32" i="48"/>
  <c r="M65" i="48"/>
  <c r="G34" i="11" l="1"/>
  <c r="F12" i="71"/>
  <c r="F14" i="71"/>
  <c r="M97" i="48"/>
  <c r="A82" i="1"/>
  <c r="I80" i="1" s="1"/>
  <c r="I91" i="1"/>
  <c r="K98" i="48"/>
  <c r="L98" i="48"/>
  <c r="L35" i="48" s="1"/>
  <c r="K34" i="48"/>
  <c r="K78" i="49"/>
  <c r="K79" i="49" s="1"/>
  <c r="K113" i="49"/>
  <c r="D16" i="21"/>
  <c r="N15" i="21"/>
  <c r="M66" i="48"/>
  <c r="M33" i="48"/>
  <c r="N65" i="48"/>
  <c r="N33" i="48" s="1"/>
  <c r="M98" i="48" l="1"/>
  <c r="N97" i="48"/>
  <c r="G93" i="12"/>
  <c r="I15" i="12"/>
  <c r="F98" i="8"/>
  <c r="A85" i="1"/>
  <c r="A86" i="1" s="1"/>
  <c r="A87" i="1" s="1"/>
  <c r="I83" i="1"/>
  <c r="K99" i="48"/>
  <c r="K36" i="48" s="1"/>
  <c r="L99" i="48"/>
  <c r="L36" i="48" s="1"/>
  <c r="K35" i="48"/>
  <c r="F9" i="71"/>
  <c r="F21" i="71" s="1"/>
  <c r="E114" i="71" s="1"/>
  <c r="E116" i="71" s="1"/>
  <c r="G26" i="11"/>
  <c r="G38" i="11" s="1"/>
  <c r="D82" i="7"/>
  <c r="D84" i="7" s="1"/>
  <c r="C42" i="57"/>
  <c r="D17" i="21"/>
  <c r="N16" i="21"/>
  <c r="N98" i="48"/>
  <c r="N66" i="48"/>
  <c r="M67" i="48"/>
  <c r="M34" i="48"/>
  <c r="N34" i="48" l="1"/>
  <c r="K37" i="48"/>
  <c r="C41" i="57" s="1"/>
  <c r="E41" i="57" s="1"/>
  <c r="M99" i="48"/>
  <c r="N99" i="48" s="1"/>
  <c r="A90" i="1"/>
  <c r="G100" i="12"/>
  <c r="I92" i="1"/>
  <c r="E42" i="57"/>
  <c r="D132" i="71"/>
  <c r="E142" i="71"/>
  <c r="E143" i="71" s="1"/>
  <c r="D124" i="71"/>
  <c r="D129" i="71"/>
  <c r="D126" i="71"/>
  <c r="D131" i="71"/>
  <c r="D125" i="71"/>
  <c r="D130" i="71"/>
  <c r="D123" i="71"/>
  <c r="E117" i="71"/>
  <c r="E118" i="71" s="1"/>
  <c r="D127" i="71"/>
  <c r="D128" i="71"/>
  <c r="D133" i="71"/>
  <c r="D18" i="21"/>
  <c r="N17" i="21"/>
  <c r="N67" i="48"/>
  <c r="N35" i="48" s="1"/>
  <c r="M68" i="48"/>
  <c r="M35" i="48"/>
  <c r="C43" i="57" l="1"/>
  <c r="E43" i="57"/>
  <c r="C45" i="57" s="1"/>
  <c r="B9" i="31" s="1"/>
  <c r="E21" i="7"/>
  <c r="F96" i="8"/>
  <c r="A91" i="1"/>
  <c r="E184" i="71"/>
  <c r="E165" i="71"/>
  <c r="E159" i="71"/>
  <c r="E178" i="71"/>
  <c r="E164" i="71"/>
  <c r="E183" i="71"/>
  <c r="E182" i="71"/>
  <c r="E163" i="71"/>
  <c r="E158" i="71"/>
  <c r="E177" i="71"/>
  <c r="E180" i="71"/>
  <c r="E161" i="71"/>
  <c r="E156" i="71"/>
  <c r="E175" i="71"/>
  <c r="E146" i="71"/>
  <c r="E149" i="71" s="1"/>
  <c r="E147" i="71"/>
  <c r="E181" i="71"/>
  <c r="E162" i="71"/>
  <c r="E179" i="71"/>
  <c r="E160" i="71"/>
  <c r="E126" i="71"/>
  <c r="E129" i="71"/>
  <c r="E128" i="71"/>
  <c r="E133" i="71"/>
  <c r="E124" i="71"/>
  <c r="E132" i="71"/>
  <c r="E125" i="71"/>
  <c r="E123" i="71"/>
  <c r="E131" i="71"/>
  <c r="E130" i="71"/>
  <c r="E127" i="71"/>
  <c r="D135" i="71"/>
  <c r="E155" i="71"/>
  <c r="E174" i="71"/>
  <c r="E176" i="71"/>
  <c r="E157" i="71"/>
  <c r="N18" i="21"/>
  <c r="D19" i="21"/>
  <c r="M36" i="48"/>
  <c r="N68" i="48"/>
  <c r="N36" i="48" s="1"/>
  <c r="N37" i="48" s="1"/>
  <c r="D78" i="7" s="1"/>
  <c r="D80" i="7" s="1"/>
  <c r="D86" i="7" s="1"/>
  <c r="D45" i="57" l="1"/>
  <c r="B10" i="31" s="1"/>
  <c r="F97" i="8"/>
  <c r="A92" i="1"/>
  <c r="A93" i="1" s="1"/>
  <c r="I95" i="1"/>
  <c r="I93" i="1"/>
  <c r="E135" i="71"/>
  <c r="F164" i="71"/>
  <c r="G164" i="71" s="1"/>
  <c r="F183" i="71"/>
  <c r="G183" i="71" s="1"/>
  <c r="F180" i="71"/>
  <c r="G180" i="71" s="1"/>
  <c r="F159" i="71"/>
  <c r="G159" i="71" s="1"/>
  <c r="F182" i="71"/>
  <c r="G182" i="71" s="1"/>
  <c r="F156" i="71"/>
  <c r="G156" i="71" s="1"/>
  <c r="F176" i="71"/>
  <c r="G176" i="71" s="1"/>
  <c r="F179" i="71"/>
  <c r="G179" i="71" s="1"/>
  <c r="F161" i="71"/>
  <c r="G161" i="71" s="1"/>
  <c r="F178" i="71"/>
  <c r="G178" i="71" s="1"/>
  <c r="E186" i="71"/>
  <c r="F174" i="71"/>
  <c r="G174" i="71" s="1"/>
  <c r="F162" i="71"/>
  <c r="G162" i="71" s="1"/>
  <c r="E167" i="71"/>
  <c r="F155" i="71"/>
  <c r="F181" i="71"/>
  <c r="G181" i="71" s="1"/>
  <c r="F177" i="71"/>
  <c r="G177" i="71" s="1"/>
  <c r="F165" i="71"/>
  <c r="G165" i="71" s="1"/>
  <c r="F163" i="71"/>
  <c r="G163" i="71" s="1"/>
  <c r="E19" i="31"/>
  <c r="D19" i="31"/>
  <c r="F175" i="71"/>
  <c r="G175" i="71" s="1"/>
  <c r="F157" i="71"/>
  <c r="G157" i="71" s="1"/>
  <c r="F160" i="71"/>
  <c r="G160" i="71" s="1"/>
  <c r="E148" i="71"/>
  <c r="F158" i="71"/>
  <c r="G158" i="71" s="1"/>
  <c r="F184" i="71"/>
  <c r="G184" i="71" s="1"/>
  <c r="D20" i="21"/>
  <c r="N19" i="21"/>
  <c r="D88" i="7"/>
  <c r="D89" i="7"/>
  <c r="H90" i="44" s="1"/>
  <c r="H91" i="44" s="1"/>
  <c r="H93" i="44" s="1"/>
  <c r="K159" i="1" s="1"/>
  <c r="A95" i="1" l="1"/>
  <c r="F26" i="71"/>
  <c r="I97" i="1"/>
  <c r="G186" i="71"/>
  <c r="F186" i="71"/>
  <c r="F167" i="71"/>
  <c r="G155" i="71"/>
  <c r="G167" i="71" s="1"/>
  <c r="D21" i="21"/>
  <c r="N20" i="21"/>
  <c r="D91" i="7"/>
  <c r="K150" i="1" s="1"/>
  <c r="F33" i="71" l="1"/>
  <c r="A97" i="1"/>
  <c r="E22" i="7"/>
  <c r="I118" i="1"/>
  <c r="C7" i="9"/>
  <c r="N21" i="21"/>
  <c r="D22" i="21"/>
  <c r="A102" i="1" l="1"/>
  <c r="I133" i="1"/>
  <c r="D23" i="21"/>
  <c r="N22" i="21"/>
  <c r="A103" i="1" l="1"/>
  <c r="A104" i="1" s="1"/>
  <c r="N23" i="21"/>
  <c r="D25" i="21"/>
  <c r="N25" i="21" s="1"/>
  <c r="J18" i="8" s="1"/>
  <c r="J21" i="8" s="1"/>
  <c r="J29" i="8" s="1"/>
  <c r="I104" i="1" l="1"/>
  <c r="G56" i="44"/>
  <c r="H43" i="8"/>
  <c r="A107" i="1"/>
  <c r="F34" i="71"/>
  <c r="I16" i="12"/>
  <c r="E23" i="7"/>
  <c r="I119" i="1"/>
  <c r="J34" i="8"/>
  <c r="J55" i="8" s="1"/>
  <c r="J38" i="8"/>
  <c r="J56" i="8" s="1"/>
  <c r="J41" i="8"/>
  <c r="F90" i="12"/>
  <c r="F92" i="12" s="1"/>
  <c r="F94" i="12" s="1"/>
  <c r="F98" i="12" s="1"/>
  <c r="F101" i="12" s="1"/>
  <c r="A108" i="1" l="1"/>
  <c r="A109" i="1" s="1"/>
  <c r="A110" i="1" s="1"/>
  <c r="J59" i="8"/>
  <c r="J64" i="8" s="1"/>
  <c r="E68" i="8" s="1"/>
  <c r="E72" i="8" s="1"/>
  <c r="I120" i="1" l="1"/>
  <c r="H44" i="8"/>
  <c r="A112" i="1"/>
  <c r="I110" i="1"/>
  <c r="E70" i="8"/>
  <c r="E74" i="8" s="1"/>
  <c r="E14" i="65" l="1"/>
  <c r="E28" i="65" s="1"/>
  <c r="H28" i="65" s="1"/>
  <c r="A114" i="1"/>
  <c r="I134" i="1"/>
  <c r="E25" i="65" l="1"/>
  <c r="H25" i="65" s="1"/>
  <c r="J25" i="65" s="1"/>
  <c r="K25" i="65" s="1"/>
  <c r="L25" i="65" s="1"/>
  <c r="E30" i="65"/>
  <c r="H30" i="65" s="1"/>
  <c r="E34" i="65"/>
  <c r="H34" i="65" s="1"/>
  <c r="E31" i="65"/>
  <c r="H31" i="65" s="1"/>
  <c r="E33" i="65"/>
  <c r="H33" i="65" s="1"/>
  <c r="E27" i="65"/>
  <c r="H27" i="65" s="1"/>
  <c r="E26" i="65"/>
  <c r="H26" i="65" s="1"/>
  <c r="E35" i="65"/>
  <c r="H35" i="65" s="1"/>
  <c r="E29" i="65"/>
  <c r="H29" i="65" s="1"/>
  <c r="E32" i="65"/>
  <c r="H32" i="65" s="1"/>
  <c r="E36" i="65"/>
  <c r="H36" i="65" s="1"/>
  <c r="H45" i="8"/>
  <c r="I112" i="1"/>
  <c r="A126" i="1"/>
  <c r="J26" i="65" l="1"/>
  <c r="K26" i="65" s="1"/>
  <c r="L26" i="65" s="1"/>
  <c r="J27" i="65" s="1"/>
  <c r="K27" i="65" s="1"/>
  <c r="L27" i="65" s="1"/>
  <c r="J28" i="65" s="1"/>
  <c r="K28" i="65" s="1"/>
  <c r="L28" i="65" s="1"/>
  <c r="A127" i="1"/>
  <c r="I17" i="1" s="1"/>
  <c r="H48" i="8"/>
  <c r="I139" i="1"/>
  <c r="E72" i="7" l="1"/>
  <c r="H49" i="8"/>
  <c r="A128" i="1"/>
  <c r="J29" i="65"/>
  <c r="K29" i="65" s="1"/>
  <c r="L29" i="65" s="1"/>
  <c r="H50" i="8" l="1"/>
  <c r="A129" i="1"/>
  <c r="J30" i="65"/>
  <c r="K30" i="65" s="1"/>
  <c r="A130" i="1" l="1"/>
  <c r="H51" i="8"/>
  <c r="L30" i="65"/>
  <c r="A131" i="1" l="1"/>
  <c r="H52" i="8"/>
  <c r="J31" i="65"/>
  <c r="K31" i="65" s="1"/>
  <c r="A132" i="1" l="1"/>
  <c r="H53" i="8"/>
  <c r="L31" i="65"/>
  <c r="H54" i="8" l="1"/>
  <c r="A133" i="1"/>
  <c r="A134" i="1" s="1"/>
  <c r="A135" i="1" s="1"/>
  <c r="J32" i="65"/>
  <c r="K32" i="65" s="1"/>
  <c r="A136" i="1" l="1"/>
  <c r="H57" i="8"/>
  <c r="L32" i="65"/>
  <c r="A137" i="1" l="1"/>
  <c r="A139" i="1" s="1"/>
  <c r="H58" i="8"/>
  <c r="J33" i="65"/>
  <c r="K33" i="65" s="1"/>
  <c r="I141" i="1" l="1"/>
  <c r="E70" i="7"/>
  <c r="I142" i="1"/>
  <c r="A141" i="1"/>
  <c r="A142" i="1" s="1"/>
  <c r="L33" i="65"/>
  <c r="I144" i="1" l="1"/>
  <c r="G89" i="44"/>
  <c r="A144" i="1"/>
  <c r="J34" i="65"/>
  <c r="K34" i="65" s="1"/>
  <c r="L34" i="65" s="1"/>
  <c r="J35" i="65" s="1"/>
  <c r="K35" i="65" s="1"/>
  <c r="L35" i="65" s="1"/>
  <c r="I149" i="1" l="1"/>
  <c r="A149" i="1"/>
  <c r="J36" i="65"/>
  <c r="K36" i="65" s="1"/>
  <c r="A150" i="1" l="1"/>
  <c r="A151" i="1" s="1"/>
  <c r="A153" i="1" s="1"/>
  <c r="A155" i="1" s="1"/>
  <c r="L36" i="65"/>
  <c r="E40" i="65" s="1"/>
  <c r="E42" i="65" s="1"/>
  <c r="E43" i="65" s="1"/>
  <c r="E44" i="65" s="1"/>
  <c r="K151" i="1" s="1"/>
  <c r="I155" i="1" l="1"/>
  <c r="A158" i="1"/>
  <c r="I158" i="1"/>
  <c r="C8" i="9"/>
  <c r="C11" i="9" s="1"/>
  <c r="K155" i="1"/>
  <c r="A159" i="1" l="1"/>
  <c r="A160" i="1" s="1"/>
  <c r="G4" i="31" s="1"/>
  <c r="K158" i="1"/>
  <c r="D4" i="53"/>
  <c r="K160" i="1" l="1"/>
  <c r="I160" i="1"/>
  <c r="D26" i="53"/>
  <c r="D21" i="53"/>
  <c r="D16" i="53"/>
  <c r="L16" i="53" s="1"/>
  <c r="D23" i="53"/>
  <c r="D17" i="53"/>
  <c r="L17" i="53" s="1"/>
  <c r="D25" i="53"/>
  <c r="L25" i="53" s="1"/>
  <c r="D19" i="53"/>
  <c r="D18" i="53"/>
  <c r="D22" i="53"/>
  <c r="D13" i="53"/>
  <c r="D15" i="53"/>
  <c r="D12" i="53"/>
  <c r="D20" i="53"/>
  <c r="D24" i="53"/>
  <c r="L24" i="53" s="1"/>
  <c r="B4" i="31" l="1"/>
  <c r="D18" i="31" s="1"/>
  <c r="L19" i="53"/>
  <c r="H37" i="53"/>
  <c r="J37" i="53" s="1"/>
  <c r="K15" i="53"/>
  <c r="D48" i="53"/>
  <c r="H36" i="53"/>
  <c r="J36" i="53" s="1"/>
  <c r="L18" i="53"/>
  <c r="H38" i="53"/>
  <c r="J38" i="53" s="1"/>
  <c r="L20" i="53"/>
  <c r="D46" i="53"/>
  <c r="D28" i="53"/>
  <c r="K12" i="53"/>
  <c r="L23" i="53"/>
  <c r="C38" i="53"/>
  <c r="E38" i="53" s="1"/>
  <c r="I56" i="53" s="1"/>
  <c r="E56" i="53" s="1"/>
  <c r="L21" i="53"/>
  <c r="C36" i="53"/>
  <c r="E36" i="53" s="1"/>
  <c r="I54" i="53" s="1"/>
  <c r="K13" i="53"/>
  <c r="M14" i="53" s="1"/>
  <c r="C37" i="53"/>
  <c r="E37" i="53" s="1"/>
  <c r="I55" i="53" s="1"/>
  <c r="E55" i="53" s="1"/>
  <c r="L22" i="53"/>
  <c r="K26" i="53"/>
  <c r="D59" i="53"/>
  <c r="F18" i="31" l="1"/>
  <c r="F20" i="31" s="1"/>
  <c r="D20" i="31"/>
  <c r="E18" i="31"/>
  <c r="E20" i="31" s="1"/>
  <c r="H56" i="53"/>
  <c r="D56" i="53"/>
  <c r="C56" i="53" s="1"/>
  <c r="D53" i="53"/>
  <c r="D54" i="53"/>
  <c r="D51" i="53"/>
  <c r="H54" i="53"/>
  <c r="N14" i="53"/>
  <c r="L14" i="53" s="1"/>
  <c r="I47" i="53" s="1"/>
  <c r="E47" i="53" s="1"/>
  <c r="C48" i="53"/>
  <c r="G48" i="53"/>
  <c r="E54" i="53"/>
  <c r="I50" i="53"/>
  <c r="E50" i="53" s="1"/>
  <c r="D50" i="53" s="1"/>
  <c r="I58" i="53"/>
  <c r="E58" i="53" s="1"/>
  <c r="D58" i="53" s="1"/>
  <c r="I57" i="53"/>
  <c r="I49" i="53"/>
  <c r="E49" i="53" s="1"/>
  <c r="D49" i="53" s="1"/>
  <c r="D55" i="53"/>
  <c r="C55" i="53" s="1"/>
  <c r="H55" i="53"/>
  <c r="D52" i="53"/>
  <c r="C59" i="53"/>
  <c r="G59" i="53"/>
  <c r="C46" i="53"/>
  <c r="G46" i="53"/>
  <c r="C54" i="53" l="1"/>
  <c r="D47" i="53"/>
  <c r="C49" i="53"/>
  <c r="H49" i="53"/>
  <c r="M49" i="53"/>
  <c r="M50" i="53" s="1"/>
  <c r="E57" i="53"/>
  <c r="D57" i="53" s="1"/>
  <c r="K57" i="53"/>
  <c r="C51" i="53"/>
  <c r="H51" i="53"/>
  <c r="M51" i="53"/>
  <c r="H58" i="53"/>
  <c r="C58" i="53"/>
  <c r="H47" i="53"/>
  <c r="C50" i="53"/>
  <c r="H50" i="53"/>
  <c r="M53" i="53"/>
  <c r="H53" i="53"/>
  <c r="C53" i="53"/>
  <c r="M52" i="53"/>
  <c r="C52" i="53"/>
  <c r="H52" i="53"/>
  <c r="H57" i="53" l="1"/>
  <c r="J57" i="53" s="1"/>
  <c r="C57" i="53"/>
  <c r="M47" i="53"/>
  <c r="C47" i="53"/>
  <c r="G47" i="53"/>
  <c r="D61" i="53"/>
  <c r="E61" i="53"/>
  <c r="B8" i="31" s="1"/>
  <c r="C61" i="53" l="1"/>
  <c r="E24" i="31"/>
  <c r="E27" i="31" s="1"/>
  <c r="D24" i="31"/>
  <c r="D27" i="31" s="1"/>
  <c r="F24" i="31"/>
  <c r="F27" i="31" s="1"/>
  <c r="E12" i="32" s="1"/>
  <c r="E14" i="32" s="1"/>
  <c r="E20" i="32" l="1"/>
  <c r="E22" i="32" s="1"/>
  <c r="E26" i="32"/>
  <c r="E28" i="32" s="1"/>
</calcChain>
</file>

<file path=xl/sharedStrings.xml><?xml version="1.0" encoding="utf-8"?>
<sst xmlns="http://schemas.openxmlformats.org/spreadsheetml/2006/main" count="7088" uniqueCount="3083">
  <si>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</si>
  <si>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</si>
  <si>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</si>
  <si>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</si>
  <si>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</si>
  <si>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</si>
  <si>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</si>
  <si>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</si>
  <si>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</si>
  <si>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</si>
  <si>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</si>
  <si>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</si>
  <si>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</si>
  <si>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</si>
  <si>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</si>
  <si>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</si>
  <si>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</si>
  <si>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</si>
  <si>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</si>
  <si>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</si>
  <si>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</si>
  <si>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</si>
  <si>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</si>
  <si>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</si>
  <si>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</si>
  <si>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</si>
  <si>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</si>
  <si>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</si>
  <si>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</si>
  <si>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</si>
  <si>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</si>
  <si>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</si>
  <si>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</si>
  <si>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</si>
  <si>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</si>
  <si>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</si>
  <si>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</si>
  <si>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</si>
  <si>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</si>
  <si>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</si>
  <si>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</si>
  <si>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</si>
  <si>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</si>
  <si>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</si>
  <si>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</si>
  <si>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</si>
  <si>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</si>
  <si>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</si>
  <si>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</si>
  <si>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</si>
  <si>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</si>
  <si>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</si>
  <si>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</si>
  <si>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</si>
  <si>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</si>
  <si>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</si>
  <si>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</si>
  <si>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</si>
  <si>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</si>
  <si>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</si>
  <si>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</si>
  <si>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</si>
  <si>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</si>
  <si>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</si>
  <si>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</si>
  <si>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</si>
  <si>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</si>
  <si>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</si>
  <si>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</si>
  <si>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</si>
  <si>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</si>
  <si>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</si>
  <si>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</si>
  <si>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</si>
  <si>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</si>
  <si>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</si>
  <si>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</si>
  <si>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</si>
  <si>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</si>
  <si>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</si>
  <si>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</si>
  <si>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</si>
  <si>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</si>
  <si>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</si>
  <si>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</si>
  <si>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</si>
  <si>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</si>
  <si>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</si>
  <si>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</si>
  <si>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</si>
  <si>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</si>
  <si>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</si>
  <si>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</si>
  <si>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</si>
  <si>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</si>
  <si>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</si>
  <si>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</si>
  <si>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</si>
  <si>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</si>
  <si>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</si>
  <si>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</si>
  <si>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</si>
  <si>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</si>
  <si>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</si>
  <si>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</si>
  <si>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</si>
  <si>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</si>
  <si>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</si>
  <si>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</si>
  <si>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</si>
  <si>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</si>
  <si>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</si>
  <si>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</si>
  <si>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</si>
  <si>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</si>
  <si>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</si>
  <si>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</si>
  <si>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</si>
  <si>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</si>
  <si>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</si>
  <si>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</si>
  <si>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</si>
  <si>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</si>
  <si>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</si>
  <si>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</si>
  <si>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</si>
  <si>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</si>
  <si>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</si>
  <si>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</si>
  <si>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</si>
  <si>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</si>
  <si>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</si>
  <si>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</si>
  <si>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</si>
  <si>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</si>
  <si>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</si>
  <si>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</si>
  <si>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</si>
  <si>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</si>
  <si>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</si>
  <si>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</si>
  <si>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</si>
  <si>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</si>
  <si>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</si>
  <si>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</si>
  <si>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</si>
  <si>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</si>
  <si>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</si>
  <si>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</si>
  <si>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</si>
  <si>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</si>
  <si>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</si>
  <si>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</si>
  <si>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</si>
  <si>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</si>
  <si>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</si>
  <si>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</si>
  <si>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</si>
  <si>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</si>
  <si>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</si>
  <si>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</si>
  <si>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</si>
  <si>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</si>
  <si>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</si>
  <si>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</si>
  <si>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</si>
  <si>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</si>
  <si>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</si>
  <si>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</si>
  <si>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</si>
  <si>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</si>
  <si>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</si>
  <si>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</si>
  <si>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</si>
  <si>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</si>
  <si>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</si>
  <si>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</si>
  <si>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</si>
  <si>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</si>
  <si>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</si>
  <si>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</si>
  <si>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</si>
  <si>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</si>
  <si>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Investment Tax Credit Flowed Through</t>
  </si>
  <si>
    <t>Note 3</t>
  </si>
  <si>
    <t>South Georgia Income Tax Adjustment</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</si>
  <si>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</si>
  <si>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</si>
  <si>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</si>
  <si>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</si>
  <si>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</si>
  <si>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</si>
  <si>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</si>
  <si>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</si>
  <si>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</si>
  <si>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</si>
  <si>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</si>
  <si>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</si>
  <si>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</si>
  <si>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</si>
  <si>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</si>
  <si>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</si>
  <si>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</si>
  <si>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</si>
  <si>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</si>
  <si>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</si>
  <si>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</si>
  <si>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</si>
  <si>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</si>
  <si>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</si>
  <si>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</si>
  <si>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</si>
  <si>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</si>
  <si>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</si>
  <si>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</si>
  <si>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</si>
  <si>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</si>
  <si>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</si>
  <si>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</si>
  <si>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</si>
  <si>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</si>
  <si>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</si>
  <si>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</si>
  <si>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</si>
  <si>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</si>
  <si>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</si>
  <si>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</si>
  <si>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</si>
  <si>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</si>
  <si>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</si>
  <si>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</si>
  <si>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</si>
  <si>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</si>
  <si>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</si>
  <si>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</si>
  <si>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</si>
  <si>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r>
      <t>3) No change in the South Georgia Income Tax Adjustment "Credits and Other" term</t>
    </r>
    <r>
      <rPr>
        <sz val="10"/>
        <rFont val="Arial"/>
        <family val="2"/>
      </rPr>
      <t xml:space="preserve"> will be made absent </t>
    </r>
  </si>
  <si>
    <t xml:space="preserve">a filing at the Commission.  Investment Tax Credit Flowed Through amount shall be negative $520,000 through the Prior Year of 2018, </t>
  </si>
  <si>
    <t>negative $183,000 for the Prior Year of 2019, and $0 thereafter.</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</si>
  <si>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</si>
  <si>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</si>
  <si>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</si>
  <si>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</si>
  <si>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</si>
  <si>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</si>
  <si>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</si>
  <si>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</si>
  <si>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</si>
  <si>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</si>
  <si>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</si>
  <si>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</si>
  <si>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</si>
  <si>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</si>
  <si>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Schedule 35, Line 52, C 4</t>
  </si>
  <si>
    <t>Line 24:</t>
  </si>
  <si>
    <t>Schedule 35, Line 54, C 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</si>
  <si>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</si>
  <si>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</si>
  <si>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</si>
  <si>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</si>
  <si>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</si>
  <si>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</si>
  <si>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</si>
  <si>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</si>
  <si>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</si>
  <si>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</si>
  <si>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</si>
  <si>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</si>
  <si>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</si>
  <si>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</si>
  <si>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</si>
  <si>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</si>
  <si>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</si>
  <si>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</si>
  <si>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</si>
  <si>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</si>
  <si>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</si>
  <si>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</si>
  <si>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</si>
  <si>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</si>
  <si>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</si>
  <si>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</si>
  <si>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</si>
  <si>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</si>
  <si>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</si>
  <si>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</si>
  <si>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</si>
  <si>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</si>
  <si>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</si>
  <si>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</si>
  <si>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</si>
  <si>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</si>
  <si>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</si>
  <si>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</si>
  <si>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</si>
  <si>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</si>
  <si>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</si>
  <si>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</si>
  <si>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</si>
  <si>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</si>
  <si>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</si>
  <si>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</si>
  <si>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</si>
  <si>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</si>
  <si>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</si>
  <si>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</si>
  <si>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</si>
  <si>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</si>
  <si>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</si>
  <si>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</si>
  <si>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</si>
  <si>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</si>
  <si>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</si>
  <si>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</si>
  <si>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</si>
  <si>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</si>
  <si>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</si>
  <si>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</si>
  <si>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</si>
  <si>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</si>
  <si>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</si>
  <si>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</si>
  <si>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</si>
  <si>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</si>
  <si>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</si>
  <si>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</si>
  <si>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</si>
  <si>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</si>
  <si>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</si>
  <si>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</si>
  <si>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</si>
  <si>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</si>
  <si>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</si>
  <si>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</si>
  <si>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</si>
  <si>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</si>
  <si>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</si>
  <si>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</si>
  <si>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</si>
  <si>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</si>
  <si>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</si>
  <si>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</si>
  <si>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</si>
  <si>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</si>
  <si>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</si>
  <si>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</si>
  <si>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</si>
  <si>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</si>
  <si>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</si>
  <si>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</si>
  <si>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</si>
  <si>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</si>
  <si>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</si>
  <si>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</si>
  <si>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</si>
  <si>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</si>
  <si>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</si>
  <si>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</si>
  <si>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</si>
  <si>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</si>
  <si>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</si>
  <si>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</si>
  <si>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</si>
  <si>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</si>
  <si>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</si>
  <si>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</si>
  <si>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</si>
  <si>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</si>
  <si>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</si>
  <si>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</si>
  <si>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</si>
  <si>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</si>
  <si>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</si>
  <si>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</si>
  <si>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</si>
  <si>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</si>
  <si>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</si>
  <si>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</si>
  <si>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</si>
  <si>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</si>
  <si>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</si>
  <si>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</si>
  <si>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</si>
  <si>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</si>
  <si>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</si>
  <si>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</si>
  <si>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</si>
  <si>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</si>
  <si>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</si>
  <si>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</si>
  <si>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</si>
  <si>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</si>
  <si>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</si>
  <si>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</si>
  <si>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</si>
  <si>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</si>
  <si>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</si>
  <si>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</si>
  <si>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</si>
  <si>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</si>
  <si>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</si>
  <si>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</si>
  <si>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</si>
  <si>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</si>
  <si>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</si>
  <si>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</si>
  <si>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</si>
  <si>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</si>
  <si>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</si>
  <si>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</si>
  <si>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</si>
  <si>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</si>
  <si>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</si>
  <si>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</si>
  <si>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</si>
  <si>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</si>
  <si>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</si>
  <si>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</si>
  <si>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</si>
  <si>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</si>
  <si>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</si>
  <si>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</si>
  <si>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</si>
  <si>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</si>
  <si>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</si>
  <si>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</si>
  <si>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</si>
  <si>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</si>
  <si>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</si>
  <si>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</si>
  <si>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</si>
  <si>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</si>
  <si>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</si>
  <si>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</si>
  <si>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</si>
  <si>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</si>
  <si>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</si>
  <si>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</si>
  <si>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</si>
  <si>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</si>
  <si>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</si>
  <si>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</si>
  <si>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</si>
  <si>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</si>
  <si>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</si>
  <si>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</si>
  <si>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</si>
  <si>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</si>
  <si>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</si>
  <si>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</si>
  <si>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</si>
  <si>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</si>
  <si>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</si>
  <si>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</si>
  <si>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</si>
  <si>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</si>
  <si>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</si>
  <si>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</si>
  <si>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</si>
  <si>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</si>
  <si>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</si>
  <si>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</si>
  <si>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</si>
  <si>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</si>
  <si>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</si>
  <si>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</si>
  <si>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</si>
  <si>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</si>
  <si>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</si>
  <si>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</si>
  <si>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</si>
  <si>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</si>
  <si>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</si>
  <si>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</si>
  <si>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</si>
  <si>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</si>
  <si>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</si>
  <si>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</si>
  <si>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</si>
  <si>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</si>
  <si>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</si>
  <si>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</si>
  <si>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</si>
  <si>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</si>
  <si>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</si>
  <si>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</si>
  <si>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</si>
  <si>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</si>
  <si>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</si>
  <si>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</si>
  <si>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</si>
  <si>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</si>
  <si>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</si>
  <si>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</si>
  <si>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</si>
  <si>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</si>
  <si>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</si>
  <si>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</si>
  <si>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</si>
  <si>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</si>
  <si>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</si>
  <si>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</si>
  <si>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</si>
  <si>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</si>
  <si>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</si>
  <si>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</si>
  <si>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</si>
  <si>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</si>
  <si>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</si>
  <si>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</si>
  <si>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</si>
  <si>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</si>
  <si>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</si>
  <si>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</si>
  <si>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</si>
  <si>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</si>
  <si>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</si>
  <si>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</si>
  <si>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</si>
  <si>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</si>
  <si>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</si>
  <si>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</si>
  <si>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</si>
  <si>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</si>
  <si>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</si>
  <si>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</si>
  <si>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</si>
  <si>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</si>
  <si>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</si>
  <si>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</si>
  <si>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</si>
  <si>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</si>
  <si>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</si>
  <si>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</si>
  <si>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</si>
  <si>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</si>
  <si>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</si>
  <si>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</si>
  <si>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</si>
  <si>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</si>
  <si>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</si>
  <si>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</si>
  <si>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</si>
  <si>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</si>
  <si>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</si>
  <si>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</si>
  <si>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</si>
  <si>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</si>
  <si>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</si>
  <si>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</si>
  <si>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</si>
  <si>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</si>
  <si>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</si>
  <si>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</si>
  <si>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</si>
  <si>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</si>
  <si>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</si>
  <si>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</si>
  <si>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</si>
  <si>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</si>
  <si>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</si>
  <si>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</si>
  <si>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</si>
  <si>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</si>
  <si>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</si>
  <si>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</si>
  <si>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</si>
  <si>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</si>
  <si>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</si>
  <si>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</si>
  <si>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</si>
  <si>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</si>
  <si>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</si>
  <si>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</si>
  <si>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</si>
  <si>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</si>
  <si>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</si>
  <si>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</si>
  <si>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</si>
  <si>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</si>
  <si>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</si>
  <si>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</si>
  <si>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</si>
  <si>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</si>
  <si>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</si>
  <si>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</si>
  <si>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</si>
  <si>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</si>
  <si>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</si>
  <si>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</si>
  <si>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</si>
  <si>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</si>
  <si>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</si>
  <si>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</si>
  <si>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</si>
  <si>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</si>
  <si>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</si>
  <si>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</si>
  <si>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</si>
  <si>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</si>
  <si>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</si>
  <si>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</si>
  <si>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</si>
  <si>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</si>
  <si>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</si>
  <si>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</si>
  <si>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</si>
  <si>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</si>
  <si>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</si>
  <si>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</si>
  <si>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</si>
  <si>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</si>
  <si>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</si>
  <si>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</si>
  <si>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</si>
  <si>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</si>
  <si>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</si>
  <si>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</si>
  <si>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</si>
  <si>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</si>
  <si>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</si>
  <si>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</si>
  <si>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</si>
  <si>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</si>
  <si>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</si>
  <si>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</si>
  <si>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</si>
  <si>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</si>
  <si>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</si>
  <si>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</si>
  <si>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</si>
  <si>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</si>
  <si>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</si>
  <si>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</si>
  <si>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</si>
  <si>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</si>
  <si>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</si>
  <si>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</si>
  <si>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</si>
  <si>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</si>
  <si>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</si>
  <si>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</si>
  <si>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</si>
  <si>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</si>
  <si>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</si>
  <si>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</si>
  <si>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</si>
  <si>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</si>
  <si>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</si>
  <si>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</si>
  <si>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</si>
  <si>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</si>
  <si>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</si>
  <si>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</si>
  <si>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</si>
  <si>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</si>
  <si>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</si>
  <si>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</si>
  <si>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</si>
  <si>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</si>
  <si>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</si>
  <si>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</si>
  <si>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</si>
  <si>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</si>
  <si>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</si>
  <si>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</si>
  <si>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</si>
  <si>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</si>
  <si>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</si>
  <si>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</si>
  <si>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</si>
  <si>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</si>
  <si>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</si>
  <si>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</si>
  <si>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</si>
  <si>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</si>
  <si>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</si>
  <si>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</si>
  <si>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</si>
  <si>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</si>
  <si>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</si>
  <si>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</si>
  <si>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</si>
  <si>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</si>
  <si>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</si>
  <si>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</si>
  <si>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</si>
  <si>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</si>
  <si>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</si>
  <si>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</si>
  <si>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</si>
  <si>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</si>
  <si>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</si>
  <si>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</si>
  <si>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</si>
  <si>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</si>
  <si>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</si>
  <si>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</si>
  <si>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</si>
  <si>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</si>
  <si>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</si>
  <si>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</si>
  <si>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</si>
  <si>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</si>
  <si>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</si>
  <si>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</si>
  <si>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</si>
  <si>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</si>
  <si>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</si>
  <si>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</si>
  <si>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</si>
  <si>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</si>
  <si>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</si>
  <si>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</si>
  <si>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</si>
  <si>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</si>
  <si>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</si>
  <si>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</si>
  <si>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</si>
  <si>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</si>
  <si>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</si>
  <si>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</si>
  <si>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</si>
  <si>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</si>
  <si>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</si>
  <si>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</si>
  <si>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</si>
  <si>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</si>
  <si>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</si>
  <si>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</si>
  <si>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</si>
  <si>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</si>
  <si>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</si>
  <si>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</si>
  <si>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</si>
  <si>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</si>
  <si>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</si>
  <si>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</si>
  <si>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</si>
  <si>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</si>
  <si>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</si>
  <si>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</si>
  <si>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</si>
  <si>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</si>
  <si>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</si>
  <si>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</si>
  <si>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</si>
  <si>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</si>
  <si>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</si>
  <si>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</si>
  <si>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</si>
  <si>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</si>
  <si>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</si>
  <si>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</si>
  <si>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</si>
  <si>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</si>
  <si>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</si>
  <si>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</si>
  <si>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</si>
  <si>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</si>
  <si>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</si>
  <si>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</si>
  <si>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</si>
  <si>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</si>
  <si>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</si>
  <si>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</si>
  <si>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</si>
  <si>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</si>
  <si>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</si>
  <si>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</si>
  <si>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</si>
  <si>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</si>
  <si>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</si>
  <si>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</si>
  <si>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</si>
  <si>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</si>
  <si>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</si>
  <si>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</si>
  <si>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</si>
  <si>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</si>
  <si>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</si>
  <si>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</si>
  <si>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</si>
  <si>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</si>
  <si>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</si>
  <si>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</si>
  <si>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</si>
  <si>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</si>
  <si>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</si>
  <si>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</si>
  <si>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</si>
  <si>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</si>
  <si>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</si>
  <si>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</si>
  <si>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</si>
  <si>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</si>
  <si>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</si>
  <si>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</si>
  <si>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</si>
  <si>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</si>
  <si>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</si>
  <si>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</si>
  <si>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</si>
  <si>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</si>
  <si>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</si>
  <si>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</si>
  <si>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</si>
  <si>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</si>
  <si>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</si>
  <si>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</si>
  <si>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</si>
  <si>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</si>
  <si>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</si>
  <si>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</si>
  <si>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</si>
  <si>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</si>
  <si>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</si>
  <si>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</si>
  <si>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</si>
  <si>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</si>
  <si>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</si>
  <si>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</si>
  <si>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</si>
  <si>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</si>
  <si>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</si>
  <si>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</si>
  <si>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</si>
  <si>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</si>
  <si>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</si>
  <si>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</si>
  <si>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</si>
  <si>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</si>
  <si>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</si>
  <si>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</si>
  <si>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</si>
  <si>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</si>
  <si>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</si>
  <si>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</si>
  <si>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</si>
  <si>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</si>
  <si>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</si>
  <si>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</si>
  <si>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</si>
  <si>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</si>
  <si>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</si>
  <si>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</si>
  <si>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</si>
  <si>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</si>
  <si>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</si>
  <si>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</si>
  <si>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</si>
  <si>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</si>
  <si>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</si>
  <si>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</si>
  <si>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</si>
  <si>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</si>
  <si>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</si>
  <si>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</si>
  <si>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</si>
  <si>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</si>
  <si>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</si>
  <si>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</si>
  <si>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</si>
  <si>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</si>
  <si>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</si>
  <si>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</si>
  <si>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</si>
  <si>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</si>
  <si>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</si>
  <si>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</si>
  <si>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</si>
  <si>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</si>
  <si>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</si>
  <si>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</si>
  <si>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</si>
  <si>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</si>
  <si>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</si>
  <si>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</si>
  <si>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</si>
  <si>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</si>
  <si>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</si>
  <si>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</si>
  <si>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</si>
  <si>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</si>
  <si>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</si>
  <si>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</si>
  <si>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</si>
  <si>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</si>
  <si>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</si>
  <si>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</si>
  <si>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</si>
  <si>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</si>
  <si>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</si>
  <si>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</si>
  <si>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</si>
  <si>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</si>
  <si>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</si>
  <si>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</si>
  <si>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</si>
  <si>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</si>
  <si>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</si>
  <si>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</si>
  <si>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</si>
  <si>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</si>
  <si>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</si>
  <si>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</si>
  <si>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</si>
  <si>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</si>
  <si>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</si>
  <si>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</si>
  <si>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</si>
  <si>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</si>
  <si>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</si>
  <si>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</si>
  <si>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</si>
  <si>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</si>
  <si>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</si>
  <si>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</si>
  <si>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</si>
  <si>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</si>
  <si>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</si>
  <si>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</si>
  <si>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</si>
  <si>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</si>
  <si>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</si>
  <si>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</si>
  <si>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</si>
  <si>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</si>
  <si>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</si>
  <si>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</si>
  <si>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</si>
  <si>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</si>
  <si>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</si>
  <si>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</si>
  <si>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</si>
  <si>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</si>
  <si>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</si>
  <si>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</si>
  <si>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</si>
  <si>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</si>
  <si>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</si>
  <si>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</si>
  <si>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</si>
  <si>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</si>
  <si>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</si>
  <si>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</si>
  <si>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</si>
  <si>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</si>
  <si>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</si>
  <si>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</si>
  <si>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</si>
  <si>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</si>
  <si>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</si>
  <si>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</si>
  <si>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</si>
  <si>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</si>
  <si>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</si>
  <si>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</si>
  <si>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</si>
  <si>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</si>
  <si>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</si>
  <si>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</si>
  <si>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</si>
  <si>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</si>
  <si>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</si>
  <si>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</si>
  <si>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</si>
  <si>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</si>
  <si>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</si>
  <si>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</si>
  <si>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</si>
  <si>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</si>
  <si>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</si>
  <si>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</si>
  <si>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</si>
  <si>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</si>
  <si>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</si>
  <si>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</si>
  <si>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</si>
  <si>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</si>
  <si>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</si>
  <si>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</si>
  <si>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</si>
  <si>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</si>
  <si>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</si>
  <si>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</si>
  <si>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</si>
  <si>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</si>
  <si>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</si>
  <si>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</si>
  <si>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</si>
  <si>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</si>
  <si>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</si>
  <si>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</si>
  <si>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</si>
  <si>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</si>
  <si>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</si>
  <si>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</si>
  <si>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</si>
  <si>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</si>
  <si>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</si>
  <si>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</si>
  <si>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</si>
  <si>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</si>
  <si>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</si>
  <si>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</si>
  <si>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</si>
  <si>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</si>
  <si>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</si>
  <si>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</si>
  <si>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</si>
  <si>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</si>
  <si>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</si>
  <si>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</si>
  <si>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</si>
  <si>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</si>
  <si>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</si>
  <si>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</si>
  <si>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</si>
  <si>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</si>
  <si>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</si>
  <si>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</si>
  <si>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</si>
  <si>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</si>
  <si>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</si>
  <si>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</si>
  <si>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2) Sum of project specific values from lines 55-79, 81-105, 107-131, 133-157, 159-183, 185-209, 211-235, 237-261, 263-287, 289-313, 315-339, …</t>
  </si>
  <si>
    <t>1) Enter recorded amounts of CWIP during Prior Year on Lines 1-13, 15-27 (including December of year previous to Prior Year).</t>
  </si>
  <si>
    <t>2) Enter forecast project specific values on lines 55-79, 81-105, 107-131, 133-157, 159-183, 185-209, 211-235, 237-261, 263-287, 289-313, 315-339 ...</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</si>
  <si>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</si>
  <si>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</si>
  <si>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</si>
  <si>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</si>
  <si>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</si>
  <si>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</si>
  <si>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</si>
  <si>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</si>
  <si>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</si>
  <si>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</si>
  <si>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</si>
  <si>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</si>
  <si>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</si>
  <si>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</si>
  <si>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</si>
  <si>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</si>
  <si>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</si>
  <si>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</si>
  <si>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</si>
  <si>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</si>
  <si>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</si>
  <si>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</si>
  <si>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</si>
  <si>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</si>
  <si>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</si>
  <si>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</si>
  <si>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</si>
  <si>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</si>
  <si>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</si>
  <si>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</si>
  <si>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</si>
  <si>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</si>
  <si>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</si>
  <si>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</si>
  <si>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</si>
  <si>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</si>
  <si>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</si>
  <si>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</si>
  <si>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</si>
  <si>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</si>
  <si>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</si>
  <si>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</si>
  <si>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</si>
  <si>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</si>
  <si>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</si>
  <si>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</si>
  <si>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</si>
  <si>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</si>
  <si>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</si>
  <si>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</si>
  <si>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</si>
  <si>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</si>
  <si>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</si>
  <si>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</si>
  <si>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</si>
  <si>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</si>
  <si>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</si>
  <si>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</si>
  <si>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</si>
  <si>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</si>
  <si>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</si>
  <si>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</si>
  <si>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</si>
  <si>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</si>
  <si>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</si>
  <si>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</si>
  <si>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</si>
  <si>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</si>
  <si>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</si>
  <si>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</si>
  <si>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</si>
  <si>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</si>
  <si>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</si>
  <si>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</si>
  <si>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</si>
  <si>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</si>
  <si>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</si>
  <si>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</si>
  <si>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</si>
  <si>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</si>
  <si>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</si>
  <si>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</si>
  <si>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</si>
  <si>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</si>
  <si>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</si>
  <si>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</si>
  <si>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</si>
  <si>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</si>
  <si>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</si>
  <si>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</si>
  <si>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</si>
  <si>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</si>
  <si>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</si>
  <si>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</si>
  <si>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</si>
  <si>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</si>
  <si>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</si>
  <si>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</si>
  <si>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</si>
  <si>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</si>
  <si>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</si>
  <si>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</si>
  <si>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</si>
  <si>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</si>
  <si>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</si>
  <si>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</si>
  <si>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</si>
  <si>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</si>
  <si>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</si>
  <si>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</si>
  <si>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</si>
  <si>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</si>
  <si>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</si>
  <si>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</si>
  <si>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</si>
  <si>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</si>
  <si>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</si>
  <si>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</si>
  <si>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</si>
  <si>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</si>
  <si>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</si>
  <si>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</si>
  <si>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</si>
  <si>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</si>
  <si>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</si>
  <si>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</si>
  <si>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</si>
  <si>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</si>
  <si>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</si>
  <si>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</si>
  <si>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</si>
  <si>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</si>
  <si>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</si>
  <si>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</si>
  <si>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</si>
  <si>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</si>
  <si>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</si>
  <si>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</si>
  <si>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</si>
  <si>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</si>
  <si>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</si>
  <si>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</si>
  <si>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</si>
  <si>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</si>
  <si>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</si>
  <si>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</si>
  <si>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</si>
  <si>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</si>
  <si>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</si>
  <si>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</si>
  <si>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</si>
  <si>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</si>
  <si>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</si>
  <si>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</si>
  <si>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</si>
  <si>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</si>
  <si>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</si>
  <si>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</si>
  <si>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</si>
  <si>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</si>
  <si>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</si>
  <si>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</si>
  <si>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</si>
  <si>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</si>
  <si>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</si>
  <si>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</si>
  <si>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</si>
  <si>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</si>
  <si>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</si>
  <si>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</si>
  <si>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</si>
  <si>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</si>
  <si>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</si>
  <si>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</si>
  <si>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</si>
  <si>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</si>
  <si>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</si>
  <si>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</si>
  <si>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</si>
  <si>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</si>
  <si>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</si>
  <si>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</si>
  <si>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</si>
  <si>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</si>
  <si>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</si>
  <si>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</si>
  <si>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</si>
  <si>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</si>
  <si>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</si>
  <si>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</si>
  <si>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</si>
  <si>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</si>
  <si>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m)</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</si>
  <si>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</si>
  <si>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</si>
  <si>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</si>
  <si>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</si>
  <si>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</si>
  <si>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</si>
  <si>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</si>
  <si>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</si>
  <si>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</si>
  <si>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</si>
  <si>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</si>
  <si>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</si>
  <si>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</si>
  <si>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</si>
  <si>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</si>
  <si>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</si>
  <si>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</si>
  <si>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</si>
  <si>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</si>
  <si>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</si>
  <si>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</si>
  <si>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</si>
  <si>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</si>
  <si>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</si>
  <si>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</si>
  <si>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</si>
  <si>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</si>
  <si>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</si>
  <si>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</si>
  <si>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</si>
  <si>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</si>
  <si>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</si>
  <si>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</si>
  <si>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</si>
  <si>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</si>
  <si>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</si>
  <si>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</si>
  <si>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</si>
  <si>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</si>
  <si>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</si>
  <si>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</si>
  <si>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</si>
  <si>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</si>
  <si>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</si>
  <si>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</si>
  <si>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</si>
  <si>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</si>
  <si>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</si>
  <si>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</si>
  <si>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</si>
  <si>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</si>
  <si>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</si>
  <si>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</si>
  <si>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</si>
  <si>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</si>
  <si>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</si>
  <si>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</si>
  <si>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</si>
  <si>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</si>
  <si>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</si>
  <si>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</si>
  <si>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</si>
  <si>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</si>
  <si>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</si>
  <si>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</si>
  <si>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</si>
  <si>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</si>
  <si>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</si>
  <si>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</si>
  <si>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</si>
  <si>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</si>
  <si>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</si>
  <si>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</si>
  <si>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</si>
  <si>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</si>
  <si>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</si>
  <si>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</si>
  <si>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</si>
  <si>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</si>
  <si>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</si>
  <si>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</si>
  <si>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</si>
  <si>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</si>
  <si>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</si>
  <si>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</si>
  <si>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</si>
  <si>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</si>
  <si>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</si>
  <si>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</si>
  <si>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</si>
  <si>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</si>
  <si>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</si>
  <si>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</si>
  <si>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</si>
  <si>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</si>
  <si>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</si>
  <si>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</si>
  <si>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</si>
  <si>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</si>
  <si>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</si>
  <si>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</si>
  <si>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</si>
  <si>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</si>
  <si>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</si>
  <si>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</si>
  <si>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</si>
  <si>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</si>
  <si>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</si>
  <si>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</si>
  <si>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</si>
  <si>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</si>
  <si>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</si>
  <si>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</si>
  <si>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</si>
  <si>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</si>
  <si>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</si>
  <si>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</si>
  <si>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</si>
  <si>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</si>
  <si>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</si>
  <si>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</si>
  <si>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</si>
  <si>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</si>
  <si>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</si>
  <si>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</si>
  <si>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</si>
  <si>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</si>
  <si>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</si>
  <si>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</si>
  <si>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</si>
  <si>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</si>
  <si>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</si>
  <si>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</si>
  <si>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</si>
  <si>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</si>
  <si>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</si>
  <si>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</si>
  <si>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</si>
  <si>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</si>
  <si>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</si>
  <si>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</si>
  <si>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</si>
  <si>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</si>
  <si>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</si>
  <si>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</si>
  <si>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</si>
  <si>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</si>
  <si>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</si>
  <si>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</si>
  <si>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</si>
  <si>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</si>
  <si>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</si>
  <si>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</si>
  <si>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</si>
  <si>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</si>
  <si>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</si>
  <si>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</si>
  <si>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</si>
  <si>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</si>
  <si>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</si>
  <si>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</si>
  <si>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</si>
  <si>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</si>
  <si>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</si>
  <si>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</si>
  <si>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</si>
  <si>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</si>
  <si>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</si>
  <si>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</si>
  <si>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</si>
  <si>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</si>
  <si>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</si>
  <si>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</si>
  <si>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</si>
  <si>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</si>
  <si>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</si>
  <si>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</si>
  <si>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</si>
  <si>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</si>
  <si>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</si>
  <si>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</si>
  <si>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</si>
  <si>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</si>
  <si>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</si>
  <si>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</si>
  <si>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</si>
  <si>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</si>
  <si>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</si>
  <si>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</si>
  <si>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</si>
  <si>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</si>
  <si>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</si>
  <si>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</si>
  <si>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</si>
  <si>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</si>
  <si>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</si>
  <si>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</si>
  <si>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</si>
  <si>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</si>
  <si>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</si>
  <si>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</si>
  <si>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</si>
  <si>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</si>
  <si>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</si>
  <si>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</si>
  <si>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</si>
  <si>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</si>
  <si>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</si>
  <si>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</si>
  <si>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</si>
  <si>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</si>
  <si>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</si>
  <si>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</si>
  <si>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</si>
  <si>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</si>
  <si>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</si>
  <si>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</si>
  <si>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</si>
  <si>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</si>
  <si>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</si>
  <si>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</si>
  <si>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</si>
  <si>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</si>
  <si>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</si>
  <si>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</si>
  <si>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</si>
  <si>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</si>
  <si>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</si>
  <si>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</si>
  <si>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</si>
  <si>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</si>
  <si>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</si>
  <si>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</si>
  <si>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</si>
  <si>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</si>
  <si>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</si>
  <si>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</si>
  <si>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</si>
  <si>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</si>
  <si>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</si>
  <si>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</si>
  <si>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</si>
  <si>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</si>
  <si>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</si>
  <si>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</si>
  <si>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</si>
  <si>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</si>
  <si>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</si>
  <si>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</si>
  <si>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</si>
  <si>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</si>
  <si>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</si>
  <si>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</si>
  <si>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</si>
  <si>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</si>
  <si>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</si>
  <si>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</si>
  <si>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</si>
  <si>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</si>
  <si>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</si>
  <si>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</si>
  <si>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</si>
  <si>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</si>
  <si>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</si>
  <si>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</si>
  <si>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</si>
  <si>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</si>
  <si>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</si>
  <si>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</si>
  <si>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</si>
  <si>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</si>
  <si>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</si>
  <si>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</si>
  <si>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</si>
  <si>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</si>
  <si>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</si>
  <si>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</si>
  <si>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</si>
  <si>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</si>
  <si>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</si>
  <si>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</si>
  <si>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</si>
  <si>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</si>
  <si>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</si>
  <si>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</si>
  <si>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</si>
  <si>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</si>
  <si>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</si>
  <si>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</si>
  <si>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</si>
  <si>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</si>
  <si>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</si>
  <si>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</si>
  <si>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</si>
  <si>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</si>
  <si>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</si>
  <si>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</si>
  <si>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</si>
  <si>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</si>
  <si>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</si>
  <si>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</si>
  <si>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</si>
  <si>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</si>
  <si>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</si>
  <si>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</si>
  <si>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</si>
  <si>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</si>
  <si>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</si>
  <si>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</si>
  <si>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</si>
  <si>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</si>
  <si>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</si>
  <si>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</si>
  <si>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</si>
  <si>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</si>
  <si>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</si>
  <si>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</si>
  <si>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</si>
  <si>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</si>
  <si>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</si>
  <si>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</si>
  <si>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</si>
  <si>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</si>
  <si>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</si>
  <si>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</si>
  <si>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</si>
  <si>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</si>
  <si>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</si>
  <si>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</si>
  <si>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</si>
  <si>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</si>
  <si>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</si>
  <si>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</si>
  <si>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</si>
  <si>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</si>
  <si>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</si>
  <si>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</si>
  <si>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</si>
  <si>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</si>
  <si>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</si>
  <si>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</si>
  <si>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E: Exclude amount of costs transfered to account from A&amp;G Account 920 pursuant to Order 668.</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</si>
  <si>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</si>
  <si>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</si>
  <si>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</si>
  <si>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</si>
  <si>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</si>
  <si>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</si>
  <si>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</si>
  <si>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</si>
  <si>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</si>
  <si>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</si>
  <si>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</si>
  <si>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</si>
  <si>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</si>
  <si>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</si>
  <si>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</si>
  <si>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</si>
  <si>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</si>
  <si>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</si>
  <si>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</si>
  <si>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</si>
  <si>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</si>
  <si>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</si>
  <si>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</si>
  <si>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</si>
  <si>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</si>
  <si>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</si>
  <si>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</si>
  <si>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</si>
  <si>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</si>
  <si>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</si>
  <si>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</si>
  <si>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</si>
  <si>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</si>
  <si>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</si>
  <si>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</si>
  <si>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</si>
  <si>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</si>
  <si>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</si>
  <si>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</si>
  <si>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</si>
  <si>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</si>
  <si>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</si>
  <si>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</si>
  <si>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</si>
  <si>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</si>
  <si>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</si>
  <si>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</si>
  <si>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</si>
  <si>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</si>
  <si>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</si>
  <si>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</si>
  <si>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</si>
  <si>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</si>
  <si>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</si>
  <si>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</si>
  <si>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</si>
  <si>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</si>
  <si>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</si>
  <si>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</si>
  <si>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</si>
  <si>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</si>
  <si>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</si>
  <si>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WP Schedule 20</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</si>
  <si>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</si>
  <si>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</si>
  <si>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</si>
  <si>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</si>
  <si>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</si>
  <si>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</si>
  <si>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</si>
  <si>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</si>
  <si>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</si>
  <si>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</si>
  <si>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</si>
  <si>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</si>
  <si>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</si>
  <si>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</si>
  <si>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</si>
  <si>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</si>
  <si>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</si>
  <si>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</si>
  <si>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</si>
  <si>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</si>
  <si>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</si>
  <si>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</si>
  <si>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</si>
  <si>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</si>
  <si>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</si>
  <si>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</si>
  <si>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</si>
  <si>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</si>
  <si>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</si>
  <si>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</si>
  <si>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</si>
  <si>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</si>
  <si>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</si>
  <si>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</si>
  <si>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</si>
  <si>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</si>
  <si>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</si>
  <si>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</si>
  <si>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</si>
  <si>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</si>
  <si>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</si>
  <si>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</si>
  <si>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</si>
  <si>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</si>
  <si>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</si>
  <si>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</si>
  <si>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</si>
  <si>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</si>
  <si>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</si>
  <si>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</si>
  <si>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</si>
  <si>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</si>
  <si>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</si>
  <si>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</si>
  <si>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</si>
  <si>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</si>
  <si>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</si>
  <si>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</si>
  <si>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</si>
  <si>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</si>
  <si>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</si>
  <si>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</si>
  <si>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</si>
  <si>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</si>
  <si>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</si>
  <si>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</si>
  <si>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</si>
  <si>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</si>
  <si>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</si>
  <si>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</si>
  <si>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</si>
  <si>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</si>
  <si>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</si>
  <si>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</si>
  <si>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</si>
  <si>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</si>
  <si>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</si>
  <si>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</si>
  <si>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</si>
  <si>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</si>
  <si>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</si>
  <si>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</si>
  <si>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</si>
  <si>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</si>
  <si>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</si>
  <si>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</si>
  <si>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Late Payment Charge- Comm. &amp; Ind.</t>
  </si>
  <si>
    <t>1b</t>
  </si>
  <si>
    <t>4191115</t>
  </si>
  <si>
    <t>Residential Late Payment</t>
  </si>
  <si>
    <t>450 Total</t>
  </si>
  <si>
    <t>FF-1 Total for Acct 450 - Forfeited Discounts, p300.16b (Must Equal Line 2)
(Must Equal Line X)</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</si>
  <si>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</si>
  <si>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</si>
  <si>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</si>
  <si>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</si>
  <si>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</si>
  <si>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</si>
  <si>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</si>
  <si>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</si>
  <si>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</si>
  <si>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</si>
  <si>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</si>
  <si>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</si>
  <si>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</si>
  <si>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</si>
  <si>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</si>
  <si>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</si>
  <si>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</si>
  <si>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</si>
  <si>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</si>
  <si>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</si>
  <si>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</si>
  <si>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</si>
  <si>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</si>
  <si>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</si>
  <si>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</si>
  <si>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</si>
  <si>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</si>
  <si>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</si>
  <si>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</si>
  <si>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</si>
  <si>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</si>
  <si>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</si>
  <si>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</si>
  <si>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</si>
  <si>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</si>
  <si>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</si>
  <si>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</si>
  <si>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</si>
  <si>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</si>
  <si>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</si>
  <si>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</si>
  <si>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</si>
  <si>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</si>
  <si>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</si>
  <si>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4184515</t>
  </si>
  <si>
    <t>NEM 2.0</t>
  </si>
  <si>
    <t>4s</t>
  </si>
  <si>
    <t>4186927</t>
  </si>
  <si>
    <t>AR Service Guarantee</t>
  </si>
  <si>
    <t>4t</t>
  </si>
  <si>
    <t>4184533</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</si>
  <si>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</si>
  <si>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</si>
  <si>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</si>
  <si>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</si>
  <si>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</si>
  <si>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</si>
  <si>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</si>
  <si>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</si>
  <si>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</si>
  <si>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</si>
  <si>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</si>
  <si>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</si>
  <si>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</si>
  <si>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</si>
  <si>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</si>
  <si>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</si>
  <si>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</si>
  <si>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4184110</t>
  </si>
  <si>
    <t>Joint Pole - Tariffed Conduit Rental</t>
  </si>
  <si>
    <t>10b</t>
  </si>
  <si>
    <t>4184112</t>
  </si>
  <si>
    <t>Joint Pole - Tariffed Pole Rental - Cable Cos.</t>
  </si>
  <si>
    <t>10c</t>
  </si>
  <si>
    <t>4184114</t>
  </si>
  <si>
    <t>Joint Pole - Tariffed Process &amp; Eng Fees - Cable</t>
  </si>
  <si>
    <t>10d</t>
  </si>
  <si>
    <t>Joint Pole - Aud - Unauth Penalty</t>
  </si>
  <si>
    <t>10e</t>
  </si>
  <si>
    <t>4184510</t>
  </si>
  <si>
    <t>Joint Pole - Non-Tariffed Pole Rental</t>
  </si>
  <si>
    <t>10f</t>
  </si>
  <si>
    <t>4184512</t>
  </si>
  <si>
    <t>Joint Pole - Non-Tariff Process &amp; Engineering Fees</t>
  </si>
  <si>
    <t>10g</t>
  </si>
  <si>
    <t>4184514</t>
  </si>
  <si>
    <t>Joint Pole - Non-Tariff Requests for Information</t>
  </si>
  <si>
    <t>10h</t>
  </si>
  <si>
    <t>4184516</t>
  </si>
  <si>
    <t>Oil And Gas Royalties</t>
  </si>
  <si>
    <t>10i</t>
  </si>
  <si>
    <t>4184518</t>
  </si>
  <si>
    <t>Def Operating Land &amp; Facilities Rent Rev</t>
  </si>
  <si>
    <t>10j</t>
  </si>
  <si>
    <t>4184810</t>
  </si>
  <si>
    <t>Facility Cost -EIX/Nonutility</t>
  </si>
  <si>
    <t>6, 12</t>
  </si>
  <si>
    <t>10k</t>
  </si>
  <si>
    <t>4184815</t>
  </si>
  <si>
    <t>Facility Cost- Utility</t>
  </si>
  <si>
    <t>10l</t>
  </si>
  <si>
    <t>4184820</t>
  </si>
  <si>
    <t>Rent Billed to Non-Utility Affiliates</t>
  </si>
  <si>
    <t>10m</t>
  </si>
  <si>
    <t>4184825</t>
  </si>
  <si>
    <t>Rent Billed to Utility Affiliates</t>
  </si>
  <si>
    <t>10n</t>
  </si>
  <si>
    <t>4194110</t>
  </si>
  <si>
    <t>Meter Leasing Revenue</t>
  </si>
  <si>
    <t>10o</t>
  </si>
  <si>
    <t>4194115</t>
  </si>
  <si>
    <t>Company Financed Added Facilities</t>
  </si>
  <si>
    <t>10p</t>
  </si>
  <si>
    <t>4194120</t>
  </si>
  <si>
    <t>Company Financed Interconnect Facilities</t>
  </si>
  <si>
    <t>10q</t>
  </si>
  <si>
    <t>4194130</t>
  </si>
  <si>
    <t>SCE Financed Added Faclty</t>
  </si>
  <si>
    <t>10r</t>
  </si>
  <si>
    <t>4194135</t>
  </si>
  <si>
    <t>Interconnect Facility Finance Charge</t>
  </si>
  <si>
    <t>10s</t>
  </si>
  <si>
    <t>4204515</t>
  </si>
  <si>
    <t>Operating Land &amp; Facilities Rent Revenue</t>
  </si>
  <si>
    <t>10t</t>
  </si>
  <si>
    <t>4867020</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</si>
  <si>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</si>
  <si>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</si>
  <si>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</si>
  <si>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</si>
  <si>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</si>
  <si>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</si>
  <si>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</si>
  <si>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</si>
  <si>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</si>
  <si>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</si>
  <si>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</si>
  <si>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</si>
  <si>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</si>
  <si>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</si>
  <si>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</si>
  <si>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</si>
  <si>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</si>
  <si>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</si>
  <si>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</si>
  <si>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</si>
  <si>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</si>
  <si>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</si>
  <si>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</si>
  <si>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</si>
  <si>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</si>
  <si>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</si>
  <si>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4186114</t>
  </si>
  <si>
    <t>Energy Related Services</t>
  </si>
  <si>
    <t>12b</t>
  </si>
  <si>
    <t>4186118</t>
  </si>
  <si>
    <t>Distribution Miscellaneous Electric Revenues</t>
  </si>
  <si>
    <t>12c</t>
  </si>
  <si>
    <t>4186120</t>
  </si>
  <si>
    <t>Added Facilities - One Time Charge</t>
  </si>
  <si>
    <t>12d</t>
  </si>
  <si>
    <t>4186122</t>
  </si>
  <si>
    <t>Building Rental - Nev Power/Mohave Cr</t>
  </si>
  <si>
    <t>12e</t>
  </si>
  <si>
    <t>4186126</t>
  </si>
  <si>
    <t>Service Fee - Optimal Bill Prd</t>
  </si>
  <si>
    <t>12f</t>
  </si>
  <si>
    <t>4186128</t>
  </si>
  <si>
    <t>Miscellaneous Revenues</t>
  </si>
  <si>
    <t>12g</t>
  </si>
  <si>
    <t>4186130</t>
  </si>
  <si>
    <t>Tule Power Plant - Revenue</t>
  </si>
  <si>
    <t>12h</t>
  </si>
  <si>
    <t>Microwave Agreement</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</si>
  <si>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</si>
  <si>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</si>
  <si>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</si>
  <si>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</si>
  <si>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</si>
  <si>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</si>
  <si>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</si>
  <si>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</si>
  <si>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</si>
  <si>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</si>
  <si>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</si>
  <si>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</si>
  <si>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</si>
  <si>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</si>
  <si>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</si>
  <si>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</si>
  <si>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</si>
  <si>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</si>
  <si>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</si>
  <si>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</si>
  <si>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</si>
  <si>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</si>
  <si>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</si>
  <si>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</si>
  <si>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</si>
  <si>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</si>
  <si>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</si>
  <si>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</si>
  <si>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</si>
  <si>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</si>
  <si>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</si>
  <si>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</si>
  <si>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</si>
  <si>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</si>
  <si>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4186524</t>
  </si>
  <si>
    <t>Revenue From Scrap Paper - General Office</t>
  </si>
  <si>
    <t>12u</t>
  </si>
  <si>
    <t>4186528</t>
  </si>
  <si>
    <t>CTAC Revenues</t>
  </si>
  <si>
    <t>12v</t>
  </si>
  <si>
    <t>4186530</t>
  </si>
  <si>
    <t>AGTAC Revenues</t>
  </si>
  <si>
    <t>12w</t>
  </si>
  <si>
    <t>4186716</t>
  </si>
  <si>
    <t>ADT Vendor Service Revenue</t>
  </si>
  <si>
    <t>12xx</t>
  </si>
  <si>
    <t>4186718</t>
  </si>
  <si>
    <t>Read Water Meters - Irvine Ranch</t>
  </si>
  <si>
    <t>12yy</t>
  </si>
  <si>
    <t>4186720</t>
  </si>
  <si>
    <t>Read Water Meters - Rancho California</t>
  </si>
  <si>
    <t>12zz</t>
  </si>
  <si>
    <t>4186722</t>
  </si>
  <si>
    <t>Read Water Meters - Long Beach</t>
  </si>
  <si>
    <t>12aa</t>
  </si>
  <si>
    <t>4186730</t>
  </si>
  <si>
    <t>SSID Transformer Repair Services Revenue</t>
  </si>
  <si>
    <t>12bb</t>
  </si>
  <si>
    <t>4186815</t>
  </si>
  <si>
    <t>Employee Transfer/Affiliate Fee</t>
  </si>
  <si>
    <t>12cc</t>
  </si>
  <si>
    <t>4186910</t>
  </si>
  <si>
    <t>ITCC/CIAC Revenues</t>
  </si>
  <si>
    <t>12dd</t>
  </si>
  <si>
    <t>4186912</t>
  </si>
  <si>
    <t>Revenue From Decommission Trust Fund</t>
  </si>
  <si>
    <t>12ee</t>
  </si>
  <si>
    <t>4186914</t>
  </si>
  <si>
    <t>Revenue From Decommissioning Trust FAS115</t>
  </si>
  <si>
    <t>12ff</t>
  </si>
  <si>
    <t>4186916</t>
  </si>
  <si>
    <t>Offset to Revenue from NDT Earnings/Realized</t>
  </si>
  <si>
    <t>12gg</t>
  </si>
  <si>
    <t>4186918</t>
  </si>
  <si>
    <t>Offset to Revenue from FAS 115 FMV</t>
  </si>
  <si>
    <t>12hh</t>
  </si>
  <si>
    <t>4186920</t>
  </si>
  <si>
    <t>Revenue From Decommissioning Trust FAS115-1</t>
  </si>
  <si>
    <t>12ii</t>
  </si>
  <si>
    <t>4186922</t>
  </si>
  <si>
    <t>Offset to Revenue from FAS 115-1 Gains &amp; Loss</t>
  </si>
  <si>
    <t>12jj</t>
  </si>
  <si>
    <t>4188712</t>
  </si>
  <si>
    <t>Power Supply Installations - IMS</t>
  </si>
  <si>
    <t>12kk</t>
  </si>
  <si>
    <t>4188714</t>
  </si>
  <si>
    <t>Consulting Fees - IMS</t>
  </si>
  <si>
    <t>12ll</t>
  </si>
  <si>
    <t>4196105</t>
  </si>
  <si>
    <t>DA Revenue</t>
  </si>
  <si>
    <t>12mm</t>
  </si>
  <si>
    <t>4196158</t>
  </si>
  <si>
    <t>EDBL Customer Finance Added Facilities</t>
  </si>
  <si>
    <t>12nn</t>
  </si>
  <si>
    <t>4196162</t>
  </si>
  <si>
    <t>SCE Energy Manager Fee Based Services</t>
  </si>
  <si>
    <t>12oo</t>
  </si>
  <si>
    <t>4196166</t>
  </si>
  <si>
    <t>SCE Energy Manager Fee Based Services Adj</t>
  </si>
  <si>
    <t>12pp</t>
  </si>
  <si>
    <t>4196172</t>
  </si>
  <si>
    <t>Off Grid Photo Voltaic Revenues</t>
  </si>
  <si>
    <t>12qq</t>
  </si>
  <si>
    <t>4196174</t>
  </si>
  <si>
    <t>Scheduling/Dispatch Revenues</t>
  </si>
  <si>
    <t>12rr</t>
  </si>
  <si>
    <t>4196176</t>
  </si>
  <si>
    <t>Interconnect Facilities Charges-Customer Financed</t>
  </si>
  <si>
    <t>12ss</t>
  </si>
  <si>
    <t>4196178</t>
  </si>
  <si>
    <t>Interconnect Facilities Charges - SCE Financed</t>
  </si>
  <si>
    <t>12tt</t>
  </si>
  <si>
    <t>4196184</t>
  </si>
  <si>
    <t>DMS Service Fees</t>
  </si>
  <si>
    <t>12uu</t>
  </si>
  <si>
    <t>4196188</t>
  </si>
  <si>
    <t>CCA - Information Fees</t>
  </si>
  <si>
    <t>12vv</t>
  </si>
  <si>
    <t>12ww</t>
  </si>
  <si>
    <t>Grant Amortization</t>
  </si>
  <si>
    <t>GHG Allowance Revenue</t>
  </si>
  <si>
    <t>Intercon One Time</t>
  </si>
  <si>
    <t>EV Charging Revenue</t>
  </si>
  <si>
    <t>12aaa</t>
  </si>
  <si>
    <t>Energy Reltd Srv-TSP</t>
  </si>
  <si>
    <t>12bbb</t>
  </si>
  <si>
    <t>N/U Labor Mrkp-BRRBA</t>
  </si>
  <si>
    <t>12ccc</t>
  </si>
  <si>
    <t>4188720</t>
  </si>
  <si>
    <t>LCFS CR 411.8</t>
  </si>
  <si>
    <t>12ddd</t>
  </si>
  <si>
    <t>Miscellaneous Revenues - ISO</t>
  </si>
  <si>
    <t>12eee</t>
  </si>
  <si>
    <t>Power Quality C&amp;I Customer Program</t>
  </si>
  <si>
    <t>12fff</t>
  </si>
  <si>
    <t>Gas Sales - ERRA</t>
  </si>
  <si>
    <t>12ggg</t>
  </si>
  <si>
    <t>Miscellaneous Electric Revenue - ERRA</t>
  </si>
  <si>
    <t>12hhh</t>
  </si>
  <si>
    <t>4186119</t>
  </si>
  <si>
    <t>PUCRF Rate Adjustment - Electric</t>
  </si>
  <si>
    <t>12iii</t>
  </si>
  <si>
    <t>4186188</t>
  </si>
  <si>
    <t>Utility Earnings - Mono Power Co</t>
  </si>
  <si>
    <t>12jjj</t>
  </si>
  <si>
    <t>Energy Reltd Srvcs-Tehachapi Storage Project (TSP)</t>
  </si>
  <si>
    <t>456 Total</t>
  </si>
  <si>
    <t>FF-1 Total for Acct 456 - Other electric Revenues, p300.21b
(Must Equal Line 13)</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</si>
  <si>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</si>
  <si>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</si>
  <si>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</si>
  <si>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</si>
  <si>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</si>
  <si>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</si>
  <si>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</si>
  <si>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</si>
  <si>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</si>
  <si>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</si>
  <si>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</si>
  <si>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</si>
  <si>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</si>
  <si>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</si>
  <si>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</si>
  <si>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</si>
  <si>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</si>
  <si>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</si>
  <si>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</si>
  <si>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</si>
  <si>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</si>
  <si>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</si>
  <si>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</si>
  <si>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</si>
  <si>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</si>
  <si>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</si>
  <si>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</si>
  <si>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</si>
  <si>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4198116</t>
  </si>
  <si>
    <t>Radial Line Rev-Base Cost - Reliant Ormond Beach</t>
  </si>
  <si>
    <t>15k</t>
  </si>
  <si>
    <t>4198118</t>
  </si>
  <si>
    <t>Radial Line Rev-O&amp;M - AES Huntington Beach</t>
  </si>
  <si>
    <t>15l</t>
  </si>
  <si>
    <t>4198120</t>
  </si>
  <si>
    <t>Radial Line Rev-O&amp;M - Reliant Mandalay</t>
  </si>
  <si>
    <t>15m</t>
  </si>
  <si>
    <t>4198122</t>
  </si>
  <si>
    <t>Radial Line Rev-O&amp;M - Reliant Coolwater</t>
  </si>
  <si>
    <t>15n</t>
  </si>
  <si>
    <t>4198124</t>
  </si>
  <si>
    <t>Radial Line Rev-O&amp;M - Ormond Beach</t>
  </si>
  <si>
    <t>15o</t>
  </si>
  <si>
    <t>4198126</t>
  </si>
  <si>
    <t>High Desert Tie-Line Rental Rev</t>
  </si>
  <si>
    <t>15p</t>
  </si>
  <si>
    <t>4198130</t>
  </si>
  <si>
    <t>Inland Empire CRT Tie-Line EX</t>
  </si>
  <si>
    <t>15q</t>
  </si>
  <si>
    <t>4198910</t>
  </si>
  <si>
    <t>Reliability Service Revenue - Non-PTO's</t>
  </si>
  <si>
    <t>15r</t>
  </si>
  <si>
    <t>4198132</t>
  </si>
  <si>
    <t>Radial Line Agreement-Base-Mojave Solr</t>
  </si>
  <si>
    <t>15s</t>
  </si>
  <si>
    <t>4198134</t>
  </si>
  <si>
    <t>Radial Line Agreement-O&amp;M-Mojave Solr</t>
  </si>
  <si>
    <t>15t</t>
  </si>
  <si>
    <t>4188716</t>
  </si>
  <si>
    <t>ISO Non-Refundable Interconnection Deposit</t>
  </si>
  <si>
    <t>15u</t>
  </si>
  <si>
    <t>RSR - Non-PTO's - RSBA</t>
  </si>
  <si>
    <t>15v</t>
  </si>
  <si>
    <t>4171022</t>
  </si>
  <si>
    <t>Transmission Sales - ERRA</t>
  </si>
  <si>
    <t>15w</t>
  </si>
  <si>
    <t>4171032</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</si>
  <si>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</si>
  <si>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</si>
  <si>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</si>
  <si>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</si>
  <si>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</si>
  <si>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</si>
  <si>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</si>
  <si>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</si>
  <si>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</si>
  <si>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</si>
  <si>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</si>
  <si>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</si>
  <si>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</si>
  <si>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</si>
  <si>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</si>
  <si>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</si>
  <si>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</si>
  <si>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</si>
  <si>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</si>
  <si>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</si>
  <si>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</si>
  <si>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</si>
  <si>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</si>
  <si>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</si>
  <si>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</si>
  <si>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</si>
  <si>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</si>
  <si>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</si>
  <si>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</si>
  <si>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</si>
  <si>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</si>
  <si>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</si>
  <si>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</si>
  <si>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</si>
  <si>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</si>
  <si>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</si>
  <si>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</si>
  <si>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</si>
  <si>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</si>
  <si>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</si>
  <si>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</si>
  <si>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</si>
  <si>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</si>
  <si>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</si>
  <si>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</si>
  <si>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</si>
  <si>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</si>
  <si>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</si>
  <si>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</si>
  <si>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</si>
  <si>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</si>
  <si>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</si>
  <si>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</si>
  <si>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</si>
  <si>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</si>
  <si>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</si>
  <si>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</si>
  <si>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</si>
  <si>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</si>
  <si>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</si>
  <si>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</si>
  <si>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</si>
  <si>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</si>
  <si>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</si>
  <si>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</si>
  <si>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</si>
  <si>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</si>
  <si>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</si>
  <si>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</si>
  <si>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</si>
  <si>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</si>
  <si>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</si>
  <si>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</si>
  <si>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</si>
  <si>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</si>
  <si>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</si>
  <si>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</si>
  <si>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</si>
  <si>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</si>
  <si>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</si>
  <si>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</si>
  <si>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</si>
  <si>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</si>
  <si>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</si>
  <si>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</si>
  <si>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</si>
  <si>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</si>
  <si>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</si>
  <si>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</si>
  <si>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</si>
  <si>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</si>
  <si>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</si>
  <si>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</si>
  <si>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</si>
  <si>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</si>
  <si>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</si>
  <si>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</si>
  <si>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</si>
  <si>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</si>
  <si>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</si>
  <si>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</si>
  <si>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</si>
  <si>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</si>
  <si>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</si>
  <si>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</si>
  <si>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</si>
  <si>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</si>
  <si>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</si>
  <si>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</si>
  <si>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</si>
  <si>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</si>
  <si>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</si>
  <si>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</si>
  <si>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</si>
  <si>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</si>
  <si>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</si>
  <si>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</si>
  <si>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</si>
  <si>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</si>
  <si>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</si>
  <si>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</si>
  <si>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</si>
  <si>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</si>
  <si>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</si>
  <si>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</si>
  <si>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</si>
  <si>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</si>
  <si>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</si>
  <si>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</si>
  <si>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</si>
  <si>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</si>
  <si>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</si>
  <si>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</si>
  <si>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</si>
  <si>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</si>
  <si>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</si>
  <si>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</si>
  <si>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</si>
  <si>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</si>
  <si>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</si>
  <si>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</si>
  <si>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</si>
  <si>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</si>
  <si>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</si>
  <si>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</si>
  <si>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</si>
  <si>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</si>
  <si>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</si>
  <si>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</si>
  <si>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</si>
  <si>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</si>
  <si>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</si>
  <si>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</si>
  <si>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</si>
  <si>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</si>
  <si>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</si>
  <si>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</si>
  <si>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</si>
  <si>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</si>
  <si>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</si>
  <si>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</si>
  <si>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</si>
  <si>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</si>
  <si>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</si>
  <si>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</si>
  <si>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</si>
  <si>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</si>
  <si>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</si>
  <si>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</si>
  <si>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</si>
  <si>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</si>
  <si>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</si>
  <si>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</si>
  <si>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</si>
  <si>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</si>
  <si>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</si>
  <si>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</si>
  <si>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</si>
  <si>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</si>
  <si>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</si>
  <si>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</si>
  <si>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</si>
  <si>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</si>
  <si>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</si>
  <si>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</si>
  <si>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</si>
  <si>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</si>
  <si>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</si>
  <si>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</si>
  <si>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</si>
  <si>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</si>
  <si>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</si>
  <si>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</si>
  <si>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</si>
  <si>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</si>
  <si>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</si>
  <si>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</si>
  <si>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</si>
  <si>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</si>
  <si>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</si>
  <si>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</si>
  <si>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</si>
  <si>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</si>
  <si>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</si>
  <si>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</si>
  <si>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</si>
  <si>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</si>
  <si>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</si>
  <si>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</si>
  <si>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</si>
  <si>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</si>
  <si>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</si>
  <si>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</si>
  <si>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</si>
  <si>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</si>
  <si>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</si>
  <si>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</si>
  <si>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</si>
  <si>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</si>
  <si>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</si>
  <si>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</si>
  <si>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</si>
  <si>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</si>
  <si>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</si>
  <si>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</si>
  <si>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</si>
  <si>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</si>
  <si>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</si>
  <si>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</si>
  <si>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</si>
  <si>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</si>
  <si>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</si>
  <si>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</si>
  <si>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</si>
  <si>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</si>
  <si>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</si>
  <si>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</si>
  <si>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</si>
  <si>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</si>
  <si>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</si>
  <si>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</si>
  <si>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</si>
  <si>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</si>
  <si>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</si>
  <si>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</si>
  <si>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</si>
  <si>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</si>
  <si>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</si>
  <si>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</si>
  <si>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</si>
  <si>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</si>
  <si>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</si>
  <si>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</si>
  <si>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</si>
  <si>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</si>
  <si>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</si>
  <si>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</si>
  <si>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</si>
  <si>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</si>
  <si>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</si>
  <si>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</si>
  <si>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</si>
  <si>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</si>
  <si>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</si>
  <si>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</si>
  <si>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</si>
  <si>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</si>
  <si>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</si>
  <si>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</si>
  <si>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</si>
  <si>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</si>
  <si>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</si>
  <si>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</si>
  <si>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</si>
  <si>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</si>
  <si>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</si>
  <si>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</si>
  <si>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</si>
  <si>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</si>
  <si>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</si>
  <si>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</si>
  <si>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</si>
  <si>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</si>
  <si>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</si>
  <si>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</si>
  <si>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</si>
  <si>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</si>
  <si>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</si>
  <si>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</si>
  <si>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</si>
  <si>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</si>
  <si>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</si>
  <si>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</si>
  <si>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</si>
  <si>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</si>
  <si>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</si>
  <si>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</si>
  <si>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</si>
  <si>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</si>
  <si>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</si>
  <si>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</si>
  <si>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</si>
  <si>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</si>
  <si>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</si>
  <si>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</si>
  <si>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</si>
  <si>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</si>
  <si>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</si>
  <si>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</si>
  <si>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</si>
  <si>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</si>
  <si>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</si>
  <si>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</si>
  <si>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</si>
  <si>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compared to the Retail Base TRR.  This difference is attributable to differences in the following six items,</t>
  </si>
  <si>
    <r>
      <t xml:space="preserve">as approved by Commission Order 86 FERC </t>
    </r>
    <r>
      <rPr>
        <sz val="10"/>
        <color theme="1"/>
        <rFont val="Calibri"/>
        <family val="2"/>
      </rPr>
      <t>¶</t>
    </r>
    <r>
      <rPr>
        <sz val="10"/>
        <color theme="1"/>
        <rFont val="Arial"/>
        <family val="2"/>
      </rPr>
      <t xml:space="preserve"> 63,014 in Docket No. ER97-2355.</t>
    </r>
  </si>
  <si>
    <t>These six items may affect the Base TRR by affecting Rate Base, or affecting an annual expense (amortization).</t>
  </si>
  <si>
    <t>If the annual amortization affects Income Taxes, there is an additional annual Income Tax Effect.  The table</t>
  </si>
  <si>
    <t>summarizes these impacts for each item:</t>
  </si>
  <si>
    <t xml:space="preserve">Expense </t>
  </si>
  <si>
    <t>(Amortization)</t>
  </si>
  <si>
    <t>Difference</t>
  </si>
  <si>
    <t>Tax Impact</t>
  </si>
  <si>
    <t>a) Depreciation</t>
  </si>
  <si>
    <t>b) Taxes Deferred -Make Up Adjustment (South Georgia)</t>
  </si>
  <si>
    <t>c) Excess Deferred Taxes</t>
  </si>
  <si>
    <t>d) Taxes Deferred - Acct. 282 ACRS/MACRS</t>
  </si>
  <si>
    <t>e) Uncollectibles Expense</t>
  </si>
  <si>
    <t>f) EPRI and EEI Dues</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</si>
  <si>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</si>
  <si>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</si>
  <si>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t>
  </si>
  <si>
    <t>with the Initial Prior Year 2010 Rate Base differences and annual changes as follows:</t>
  </si>
  <si>
    <t>2010 Rate Base</t>
  </si>
  <si>
    <t>(Wholesale</t>
  </si>
  <si>
    <t>Change</t>
  </si>
  <si>
    <t>less Retail)</t>
  </si>
  <si>
    <t>1) Accumulated Depreciation</t>
  </si>
  <si>
    <t>Fixed values</t>
  </si>
  <si>
    <t>2) Taxes Deferred - Make Up Adjustment</t>
  </si>
  <si>
    <t>3) Excess Deferred Taxes</t>
  </si>
  <si>
    <t>4) Taxes Deferred - Acct. 282 ACRS/MACRS</t>
  </si>
  <si>
    <t>b) Quantification of the Wholesale Rate Base Adjustment</t>
  </si>
  <si>
    <t>The Wholesale Rate Base Adjustment represents the impact on the Wholesale Base TRR relative to the Retail Base TRR of</t>
  </si>
  <si>
    <t>the Wholesale Rate Base Difference for the Prior Year.</t>
  </si>
  <si>
    <t>Notes/Instructions</t>
  </si>
  <si>
    <t>Fixed Charge Rate</t>
  </si>
  <si>
    <t>Wholesale Rate Base Difference for Prior Year</t>
  </si>
  <si>
    <t>Wholesale Rate Base Adjustment</t>
  </si>
  <si>
    <t>2) Calculation of Wholesale Expense Difference</t>
  </si>
  <si>
    <t>It represents the effect on expenses (Wholesale less Retail) of amortizing the associated balances each year.</t>
  </si>
  <si>
    <t>If an annual amortization amount affects Income Taxes, the expense difference must be grossed up for income taxes.</t>
  </si>
  <si>
    <t>a) Calculation of the Wholesale South Georgia Income Tax Adjustment to the TRR</t>
  </si>
  <si>
    <t>South Georgia Amortization</t>
  </si>
  <si>
    <t>Composite Tax Rate ("CTR")</t>
  </si>
  <si>
    <t>Tax Gross Up Factor</t>
  </si>
  <si>
    <t>(1/(1-CTR))</t>
  </si>
  <si>
    <t>Wholesale South Georgia</t>
  </si>
  <si>
    <t>Income Tax Adjustment to the TRR:</t>
  </si>
  <si>
    <t>b) Calculation of "Excess Deferred Taxes" Grossed Up for Income Taxes</t>
  </si>
  <si>
    <t>Annual Amort. of "Excess Deferred Taxes":</t>
  </si>
  <si>
    <t>Excess Deferred Taxes Grossed Up for Income Taxes:</t>
  </si>
  <si>
    <t>c) Calculation of EPRI and EEI Dues Exclusion</t>
  </si>
  <si>
    <t>EPRI Dues</t>
  </si>
  <si>
    <t>EEI Dues</t>
  </si>
  <si>
    <t>Sum of EPRI and EEI Dues</t>
  </si>
  <si>
    <t>EPRI and EEI Dues Exclusion</t>
  </si>
  <si>
    <t>d) Total Expense Difference</t>
  </si>
  <si>
    <t>1) Wholesale Depreciation Difference</t>
  </si>
  <si>
    <t>5) EPRI and EEI Dues Exclusion</t>
  </si>
  <si>
    <t>6) Additional Expense Difference</t>
  </si>
  <si>
    <t>Total Expense Difference:</t>
  </si>
  <si>
    <t>3) Calculation of the Wholesale Difference to the Base TRR</t>
  </si>
  <si>
    <t>Expense Difference</t>
  </si>
  <si>
    <t>Uncollectibles Expense -- Prior Year TRR</t>
  </si>
  <si>
    <t>Uncollectibles Expense -- IFPTRR</t>
  </si>
  <si>
    <t>Subtotal:</t>
  </si>
  <si>
    <t>Franchise Fee Exclusion</t>
  </si>
  <si>
    <t>Wholesale Difference to the Base TRR:</t>
  </si>
  <si>
    <t>Notes/Instructions:</t>
  </si>
  <si>
    <t>1) Fixed Charge Rate of capital and income tax costs associated with $1 of Rate Base</t>
  </si>
  <si>
    <t>is defined elsewhere in this formula as "AFCRCWIP".</t>
  </si>
  <si>
    <t xml:space="preserve">5) Only exclude if not already excluded in Schedule 20.  </t>
  </si>
  <si>
    <t>6) If appropriate, additional expenses may be excluded from the Wholesale Base TRR</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</si>
  <si>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</si>
  <si>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</si>
  <si>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</si>
  <si>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</si>
  <si>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</si>
  <si>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</si>
  <si>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</si>
  <si>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</si>
  <si>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</si>
  <si>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</si>
  <si>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</si>
  <si>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</si>
  <si>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</si>
  <si>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</si>
  <si>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</si>
  <si>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</si>
  <si>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</si>
  <si>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</si>
  <si>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</si>
  <si>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</si>
  <si>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</si>
  <si>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</si>
  <si>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</si>
  <si>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</si>
  <si>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</si>
  <si>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</si>
  <si>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</si>
  <si>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</si>
  <si>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</si>
  <si>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</si>
  <si>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</si>
  <si>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</si>
  <si>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</si>
  <si>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</si>
  <si>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</si>
  <si>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</si>
  <si>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</si>
  <si>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</si>
  <si>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</si>
  <si>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</si>
  <si>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</si>
  <si>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</si>
  <si>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</si>
  <si>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</si>
  <si>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</si>
  <si>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</si>
  <si>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</si>
  <si>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</si>
  <si>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</si>
  <si>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</si>
  <si>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</si>
  <si>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</si>
  <si>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</si>
  <si>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</si>
  <si>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</si>
  <si>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</si>
  <si>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</si>
  <si>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</si>
  <si>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</si>
  <si>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</si>
  <si>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</si>
  <si>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</si>
  <si>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</si>
  <si>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</si>
  <si>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</si>
  <si>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</si>
  <si>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</si>
  <si>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</si>
  <si>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</si>
  <si>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</si>
  <si>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</si>
  <si>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</si>
  <si>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</si>
  <si>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</si>
  <si>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</si>
  <si>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</si>
  <si>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</si>
  <si>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</si>
  <si>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</si>
  <si>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</si>
  <si>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</si>
  <si>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</si>
  <si>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</si>
  <si>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</si>
  <si>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</si>
  <si>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</si>
  <si>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</si>
  <si>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</si>
  <si>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</si>
  <si>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</si>
  <si>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</si>
  <si>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</si>
  <si>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</si>
  <si>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</si>
  <si>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</si>
  <si>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</si>
  <si>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</si>
  <si>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</si>
  <si>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</si>
  <si>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</si>
  <si>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</si>
  <si>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</si>
  <si>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</si>
  <si>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</si>
  <si>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</si>
  <si>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</si>
  <si>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</si>
  <si>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</si>
  <si>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</si>
  <si>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</si>
  <si>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</si>
  <si>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</si>
  <si>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</si>
  <si>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</si>
  <si>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</si>
  <si>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</si>
  <si>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</si>
  <si>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</si>
  <si>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</si>
  <si>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</si>
  <si>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</si>
  <si>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</si>
  <si>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</si>
  <si>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</si>
  <si>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</si>
  <si>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</si>
  <si>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</si>
  <si>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</si>
  <si>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</si>
  <si>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</si>
  <si>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</si>
  <si>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</si>
  <si>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</si>
  <si>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</si>
  <si>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</si>
  <si>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</si>
  <si>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</si>
  <si>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</si>
  <si>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</si>
  <si>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</si>
  <si>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</si>
  <si>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</si>
  <si>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</si>
  <si>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</si>
  <si>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</si>
  <si>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</si>
  <si>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</si>
  <si>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</si>
  <si>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</si>
  <si>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</si>
  <si>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</si>
  <si>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</si>
  <si>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</si>
  <si>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</si>
  <si>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</si>
  <si>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</si>
  <si>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</si>
  <si>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</si>
  <si>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</si>
  <si>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</si>
  <si>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</si>
  <si>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</si>
  <si>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</si>
  <si>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</si>
  <si>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</si>
  <si>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</si>
  <si>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</si>
  <si>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</si>
  <si>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</si>
  <si>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</si>
  <si>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</si>
  <si>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</si>
  <si>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</si>
  <si>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</si>
  <si>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</si>
  <si>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</si>
  <si>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</si>
  <si>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</si>
  <si>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</si>
  <si>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</si>
  <si>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</si>
  <si>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</si>
  <si>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</si>
  <si>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</si>
  <si>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</si>
  <si>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</si>
  <si>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</si>
  <si>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</si>
  <si>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</si>
  <si>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</si>
  <si>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</si>
  <si>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</si>
  <si>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</si>
  <si>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</si>
  <si>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</si>
  <si>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</si>
  <si>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</si>
  <si>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</si>
  <si>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</si>
  <si>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</si>
  <si>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</si>
  <si>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</si>
  <si>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</si>
  <si>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</si>
  <si>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</si>
  <si>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</si>
  <si>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</si>
  <si>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</si>
  <si>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</si>
  <si>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</si>
  <si>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</si>
  <si>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</si>
  <si>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</si>
  <si>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</si>
  <si>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</si>
  <si>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</si>
  <si>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</si>
  <si>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</si>
  <si>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</si>
  <si>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</si>
  <si>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</si>
  <si>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</si>
  <si>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</si>
  <si>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</si>
  <si>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</si>
  <si>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</si>
  <si>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</si>
  <si>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</si>
  <si>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</si>
  <si>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</si>
  <si>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</si>
  <si>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</si>
  <si>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</si>
  <si>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</si>
  <si>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</si>
  <si>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</si>
  <si>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</si>
  <si>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</si>
  <si>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</si>
  <si>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</si>
  <si>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</si>
  <si>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</si>
  <si>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</si>
  <si>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</si>
  <si>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</si>
  <si>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</si>
  <si>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</si>
  <si>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</si>
  <si>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</si>
  <si>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</si>
  <si>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</si>
  <si>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</si>
  <si>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</si>
  <si>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</si>
  <si>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</si>
  <si>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</si>
  <si>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</si>
  <si>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</si>
  <si>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</si>
  <si>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</si>
  <si>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</si>
  <si>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</si>
  <si>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</si>
  <si>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</si>
  <si>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</si>
  <si>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</si>
  <si>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</si>
  <si>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</si>
  <si>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</si>
  <si>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</si>
  <si>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</si>
  <si>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</si>
  <si>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</si>
  <si>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</si>
  <si>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</si>
  <si>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</si>
  <si>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</si>
  <si>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</si>
  <si>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</si>
  <si>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</si>
  <si>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</si>
  <si>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</si>
  <si>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</si>
  <si>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</si>
  <si>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</si>
  <si>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</si>
  <si>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</si>
  <si>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</si>
  <si>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</si>
  <si>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</si>
  <si>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</si>
  <si>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</si>
  <si>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</si>
  <si>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</si>
  <si>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</si>
  <si>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</si>
  <si>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</si>
  <si>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</si>
  <si>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</si>
  <si>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</si>
  <si>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</si>
  <si>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</si>
  <si>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</si>
  <si>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</si>
  <si>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</si>
  <si>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</si>
  <si>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</si>
  <si>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</si>
  <si>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</si>
  <si>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</si>
  <si>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</si>
  <si>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</si>
  <si>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</si>
  <si>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</si>
  <si>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</si>
  <si>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</si>
  <si>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</si>
  <si>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</si>
  <si>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</si>
  <si>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</si>
  <si>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</si>
  <si>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</si>
  <si>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</si>
  <si>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</si>
  <si>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</si>
  <si>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</si>
  <si>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</si>
  <si>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</si>
  <si>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</si>
  <si>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</si>
  <si>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</si>
  <si>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</si>
  <si>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</si>
  <si>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</si>
  <si>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</si>
  <si>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</si>
  <si>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</si>
  <si>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</si>
  <si>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</si>
  <si>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</si>
  <si>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</si>
  <si>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</si>
  <si>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</si>
  <si>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</si>
  <si>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</si>
  <si>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</si>
  <si>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</si>
  <si>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</si>
  <si>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</si>
  <si>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</si>
  <si>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</si>
  <si>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</si>
  <si>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</si>
  <si>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</si>
  <si>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</si>
  <si>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</si>
  <si>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</si>
  <si>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</si>
  <si>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</si>
  <si>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</si>
  <si>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</si>
  <si>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</si>
  <si>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</si>
  <si>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</si>
  <si>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</si>
  <si>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</si>
  <si>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</si>
  <si>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</si>
  <si>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</si>
  <si>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</si>
  <si>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</si>
  <si>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</si>
  <si>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</si>
  <si>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</si>
  <si>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</si>
  <si>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</si>
  <si>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</si>
  <si>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</si>
  <si>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</si>
  <si>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</si>
  <si>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</si>
  <si>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</si>
  <si>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</si>
  <si>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</si>
  <si>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</si>
  <si>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</si>
  <si>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</si>
  <si>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</si>
  <si>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</si>
  <si>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</si>
  <si>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</si>
  <si>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</si>
  <si>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</si>
  <si>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</si>
  <si>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</si>
  <si>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</si>
  <si>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</si>
  <si>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</si>
  <si>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</si>
  <si>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</si>
  <si>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</si>
  <si>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</si>
  <si>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</si>
  <si>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</si>
  <si>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</si>
  <si>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</si>
  <si>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</si>
  <si>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</si>
  <si>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</si>
  <si>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</si>
  <si>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</si>
  <si>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</si>
  <si>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</si>
  <si>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</si>
  <si>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</si>
  <si>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</si>
  <si>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</si>
  <si>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</si>
  <si>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</si>
  <si>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</si>
  <si>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</si>
  <si>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</si>
  <si>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</si>
  <si>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</si>
  <si>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</si>
  <si>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</si>
  <si>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</si>
  <si>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</si>
  <si>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</si>
  <si>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</si>
  <si>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</si>
  <si>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</si>
  <si>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</si>
  <si>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</si>
  <si>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</si>
  <si>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</si>
  <si>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Dec 2021</t>
  </si>
  <si>
    <t xml:space="preserve"> Attachment 2 to Appendix IX</t>
  </si>
  <si>
    <t>Formula Rate Spreadsheet</t>
  </si>
  <si>
    <t xml:space="preserve">(2) </t>
  </si>
  <si>
    <t xml:space="preserve">(3) </t>
  </si>
  <si>
    <t>FF1 263, Row 6, Column l</t>
  </si>
  <si>
    <t>FF1 263, Row 5, Column l</t>
  </si>
  <si>
    <t>FF1 263, Row 7, Column l</t>
  </si>
  <si>
    <t>SCE records</t>
  </si>
  <si>
    <t>Internal Revenue Code § 11.b</t>
  </si>
  <si>
    <t>California Rev. &amp; Tax. Cd. § 23151</t>
  </si>
  <si>
    <t>D21-08-036</t>
  </si>
  <si>
    <t>2021-2024</t>
  </si>
  <si>
    <t>FF1 232, Line 67</t>
  </si>
  <si>
    <t>FF1 232, Line 68</t>
  </si>
  <si>
    <t>FF1 278, Line 35</t>
  </si>
  <si>
    <t>FF1 278, Line 36</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</si>
  <si>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</si>
  <si>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</si>
  <si>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</si>
  <si>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</si>
  <si>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</si>
  <si>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</si>
  <si>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</si>
  <si>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</si>
  <si>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</si>
  <si>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</si>
  <si>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</si>
  <si>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</si>
  <si>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</si>
  <si>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</si>
  <si>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</si>
  <si>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4198915</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</si>
  <si>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</si>
  <si>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</si>
  <si>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</si>
  <si>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</si>
  <si>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</si>
  <si>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</si>
  <si>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</si>
  <si>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</si>
  <si>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</si>
  <si>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</si>
  <si>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</si>
  <si>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</si>
  <si>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</si>
  <si>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</si>
  <si>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</si>
  <si>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</si>
  <si>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</si>
  <si>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</si>
  <si>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</si>
  <si>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</si>
  <si>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</si>
  <si>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</si>
  <si>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</si>
  <si>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</si>
  <si>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</si>
  <si>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</si>
  <si>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</si>
  <si>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</si>
  <si>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</si>
  <si>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</si>
  <si>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Schedule 28 - Workpaper Line 10</t>
  </si>
  <si>
    <t>Schedule 28 - Workpaper Line 11</t>
  </si>
  <si>
    <t>TO2023, Docket No. ER19-1553</t>
  </si>
  <si>
    <t>Jan 2022</t>
  </si>
  <si>
    <t>Feb 2022</t>
  </si>
  <si>
    <t>Mar 2022</t>
  </si>
  <si>
    <t>Apr 2022</t>
  </si>
  <si>
    <t>May 2022</t>
  </si>
  <si>
    <t>Jun 2022</t>
  </si>
  <si>
    <t>Jul 2022</t>
  </si>
  <si>
    <t>Aug 2022</t>
  </si>
  <si>
    <t>Sep 2022</t>
  </si>
  <si>
    <t>Oct 2022</t>
  </si>
  <si>
    <t>Nov 2022</t>
  </si>
  <si>
    <t>Dec 2022</t>
  </si>
  <si>
    <t xml:space="preserve">FF1 263, Row 8, Column l </t>
  </si>
  <si>
    <t>FF1 263, Row 15, Column l</t>
  </si>
  <si>
    <t>FF1 263, Row 13, Column l</t>
  </si>
  <si>
    <t>FF1 263, Row 12, Column l</t>
  </si>
  <si>
    <t>FF1 263, Rows 39-47, Column l</t>
  </si>
  <si>
    <t>Docket No. ER23-1453</t>
  </si>
  <si>
    <t>Line 17, column 3</t>
  </si>
  <si>
    <t/>
  </si>
  <si>
    <t xml:space="preserve">    </t>
  </si>
  <si>
    <t>C: Relates primarily to regulated Electric property</t>
  </si>
  <si>
    <t>C: Relates to employees in all functions</t>
  </si>
  <si>
    <t>Ins - Inj/Damage Prov</t>
  </si>
  <si>
    <t>Wildfire Reserve - Pre 2019</t>
  </si>
  <si>
    <t>Wildfire Reserve - Post 2018</t>
  </si>
  <si>
    <t>Follows tax treatment</t>
  </si>
  <si>
    <t>Decommissioning</t>
  </si>
  <si>
    <t>Relates to nuclear decommissioning costs</t>
  </si>
  <si>
    <t>Property/Non-ISO</t>
  </si>
  <si>
    <t>Non-rate base property</t>
  </si>
  <si>
    <t>Regulatory Assets/Liab</t>
  </si>
  <si>
    <t xml:space="preserve">Relates to nonrecovery balancing account  </t>
  </si>
  <si>
    <t>Temp-Other/Non-ISO</t>
  </si>
  <si>
    <t>Not component of rate base</t>
  </si>
  <si>
    <t>Net Operation Loss DTA</t>
  </si>
  <si>
    <t xml:space="preserve">NOL/DTA </t>
  </si>
  <si>
    <t>Property/Non-ISO - Gas</t>
  </si>
  <si>
    <t>Property/Non-ISO - Other</t>
  </si>
  <si>
    <t>Temp-Other/Non-ISO - Other</t>
  </si>
  <si>
    <t>Other non-ISO related costs</t>
  </si>
  <si>
    <t xml:space="preserve">Fully Normalized Deferred Tax </t>
  </si>
  <si>
    <t>Property-related FERC costs</t>
  </si>
  <si>
    <t>Property-related CPUC costs</t>
  </si>
  <si>
    <t>Capitalized software</t>
  </si>
  <si>
    <t>Property-related CPUC costs - cap software</t>
  </si>
  <si>
    <t>Gas related costs</t>
  </si>
  <si>
    <t>Ad Valorem Lien Date Adj-Electric</t>
  </si>
  <si>
    <t>Relates entirely to CPUC regulated property</t>
  </si>
  <si>
    <t>Relates entirely to FERC regulated Electric property</t>
  </si>
  <si>
    <t>C: Relates to regulated Electric property</t>
  </si>
  <si>
    <t>Balancing Accounts</t>
  </si>
  <si>
    <t>Relates entirely to CPUC balancing account recovery</t>
  </si>
  <si>
    <t>Temp - Other/Non-ISO</t>
  </si>
  <si>
    <t>Balancing Accounts - Gas</t>
  </si>
  <si>
    <t>Temp - Other/Non-ISO - Gas</t>
  </si>
  <si>
    <t>Balancing Accounts - Other</t>
  </si>
  <si>
    <t>Temp - Other/Non-ISO - Other</t>
  </si>
  <si>
    <t>3) Amortization subject to pending SCE private letter ruling request and/or IRS guidance developed from IRS Notice 2019-33.</t>
  </si>
  <si>
    <t>Series E 6.250%</t>
  </si>
  <si>
    <t>Series E Issuance Costs Fully Amortized as of January 31, 2022.</t>
  </si>
  <si>
    <t>Series G 5.1%</t>
  </si>
  <si>
    <t>Series H 5.75%</t>
  </si>
  <si>
    <t>Series J 5.375%</t>
  </si>
  <si>
    <t>Series K 5.45%</t>
  </si>
  <si>
    <t>Series L 5.00%</t>
  </si>
  <si>
    <t>Series B</t>
  </si>
  <si>
    <t>Series C</t>
  </si>
  <si>
    <t>Series D</t>
  </si>
  <si>
    <t>Series F</t>
  </si>
  <si>
    <t>4.08%, 4.24%, 4.32%, and 4.78% Preferred Stock Series</t>
  </si>
  <si>
    <t>Series G - Pro Rata Issuance Costs</t>
  </si>
  <si>
    <t xml:space="preserve">Pro rata portion of unamortized issuance costs associated with redeemed portion to be amortized </t>
  </si>
  <si>
    <t>as part of Net Gain (Loss) From Purchase and Tender Offers.</t>
  </si>
  <si>
    <t>4y</t>
  </si>
  <si>
    <t>Short Circuit Duty - Arc Flash</t>
  </si>
  <si>
    <t>4z</t>
  </si>
  <si>
    <t>Electrical Capacity Assessment</t>
  </si>
  <si>
    <t>4aa</t>
  </si>
  <si>
    <t>Wiretech- NON-AMI</t>
  </si>
  <si>
    <t>4bb</t>
  </si>
  <si>
    <t>RES-BCT Set-up Fee</t>
  </si>
  <si>
    <t>7c</t>
  </si>
  <si>
    <t>Sales of Water &amp; Water Power - Headwater</t>
  </si>
  <si>
    <t>10ff</t>
  </si>
  <si>
    <t>Operating Land &amp; Facilities Rent Expense</t>
  </si>
  <si>
    <t xml:space="preserve"> ER24-243</t>
  </si>
  <si>
    <t xml:space="preserve">2024 TRBAA </t>
  </si>
  <si>
    <t xml:space="preserve">TO2024 Annual Update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</si>
</sst>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 numFmtId="209" formatCode="&quot;$&quot;#,##0;[Red]&quot;$&quot;#,##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1" fillId="0" borderId="0"/>
    <xf numFmtId="0" fontId="72"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28" applyBorder="0">
      <alignment horizontal="left"/>
    </xf>
    <xf numFmtId="184" fontId="92"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3"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3" fillId="31" borderId="0" applyNumberFormat="0" applyBorder="0" applyAlignment="0" applyProtection="0"/>
    <xf numFmtId="0" fontId="38" fillId="76"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48" borderId="0" applyNumberFormat="0" applyBorder="0" applyAlignment="0" applyProtection="0"/>
    <xf numFmtId="182" fontId="87"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3"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3" fillId="4" borderId="0" applyNumberFormat="0" applyBorder="0" applyAlignment="0" applyProtection="0"/>
    <xf numFmtId="0" fontId="38"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87" fillId="52" borderId="0" applyNumberFormat="0" applyBorder="0" applyAlignment="0" applyProtection="0"/>
    <xf numFmtId="182" fontId="87"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3"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3" fillId="15" borderId="0" applyNumberFormat="0" applyBorder="0" applyAlignment="0" applyProtection="0"/>
    <xf numFmtId="0" fontId="38" fillId="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87" fillId="56" borderId="0" applyNumberFormat="0" applyBorder="0" applyAlignment="0" applyProtection="0"/>
    <xf numFmtId="182" fontId="87"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3"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3" fillId="75" borderId="0" applyNumberFormat="0" applyBorder="0" applyAlignment="0" applyProtection="0"/>
    <xf numFmtId="0" fontId="38" fillId="77"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87" fillId="60" borderId="0" applyNumberFormat="0" applyBorder="0" applyAlignment="0" applyProtection="0"/>
    <xf numFmtId="182" fontId="87"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3"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3" fillId="31" borderId="0" applyNumberFormat="0" applyBorder="0" applyAlignment="0" applyProtection="0"/>
    <xf numFmtId="0" fontId="38" fillId="78"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64" borderId="0" applyNumberFormat="0" applyBorder="0" applyAlignment="0" applyProtection="0"/>
    <xf numFmtId="182" fontId="87"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3"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3" fillId="74" borderId="0" applyNumberFormat="0" applyBorder="0" applyAlignment="0" applyProtection="0"/>
    <xf numFmtId="0" fontId="38" fillId="7"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87" fillId="68" borderId="0" applyNumberFormat="0" applyBorder="0" applyAlignment="0" applyProtection="0"/>
    <xf numFmtId="182" fontId="87"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7" fillId="53" borderId="0" applyNumberFormat="0" applyBorder="0" applyAlignment="0" applyProtection="0"/>
    <xf numFmtId="184" fontId="87"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7" fillId="57" borderId="0" applyNumberFormat="0" applyBorder="0" applyAlignment="0" applyProtection="0"/>
    <xf numFmtId="184" fontId="87"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7" fillId="61" borderId="0" applyNumberFormat="0" applyBorder="0" applyAlignment="0" applyProtection="0"/>
    <xf numFmtId="184" fontId="87"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7" fillId="65" borderId="0" applyNumberFormat="0" applyBorder="0" applyAlignment="0" applyProtection="0"/>
    <xf numFmtId="184" fontId="87"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8"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4" fillId="2"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2" fontId="95" fillId="20" borderId="0" applyNumberFormat="0" applyBorder="0" applyAlignment="0" applyProtection="0"/>
    <xf numFmtId="0"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7" fontId="96" fillId="13" borderId="0" applyNumberFormat="0" applyBorder="0" applyAlignment="0" applyProtection="0"/>
    <xf numFmtId="184" fontId="96" fillId="13" borderId="0" applyNumberFormat="0" applyBorder="0" applyAlignment="0" applyProtection="0"/>
    <xf numFmtId="184" fontId="78" fillId="39"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5" fillId="20"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95" fillId="20" borderId="0" applyNumberFormat="0" applyBorder="0" applyAlignment="0" applyProtection="0"/>
    <xf numFmtId="184" fontId="95" fillId="20" borderId="0" applyNumberFormat="0" applyBorder="0" applyAlignment="0" applyProtection="0"/>
    <xf numFmtId="184" fontId="95" fillId="20"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7" fontId="96" fillId="13"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6" fillId="13" borderId="0" applyNumberFormat="0" applyBorder="0" applyAlignment="0" applyProtection="0"/>
    <xf numFmtId="0"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0" fontId="96" fillId="13" borderId="0" applyNumberFormat="0" applyBorder="0" applyAlignment="0" applyProtection="0"/>
    <xf numFmtId="0"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2" fontId="78" fillId="39"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7"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71" fontId="98" fillId="0" borderId="3" applyFont="0"/>
    <xf numFmtId="1" fontId="98" fillId="0" borderId="3"/>
    <xf numFmtId="9" fontId="99"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2" fillId="42" borderId="22" applyNumberFormat="0" applyAlignment="0" applyProtection="0"/>
    <xf numFmtId="0" fontId="100" fillId="75"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0" fontId="101" fillId="96" borderId="31" applyNumberFormat="0" applyAlignment="0" applyProtection="0"/>
    <xf numFmtId="184" fontId="101" fillId="96" borderId="31" applyNumberFormat="0" applyAlignment="0" applyProtection="0"/>
    <xf numFmtId="184" fontId="100" fillId="75" borderId="30" applyNumberFormat="0" applyAlignment="0" applyProtection="0"/>
    <xf numFmtId="182" fontId="101" fillId="96" borderId="31"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1" fillId="96" borderId="31"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0" fillId="75"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82" fillId="42" borderId="22" applyNumberFormat="0" applyAlignment="0" applyProtection="0"/>
    <xf numFmtId="184" fontId="82" fillId="42" borderId="22" applyNumberFormat="0" applyAlignment="0" applyProtection="0"/>
    <xf numFmtId="0" fontId="101" fillId="96" borderId="31" applyNumberFormat="0" applyAlignment="0" applyProtection="0"/>
    <xf numFmtId="184" fontId="101" fillId="96" borderId="31" applyNumberFormat="0" applyAlignment="0" applyProtection="0"/>
    <xf numFmtId="184" fontId="82" fillId="42" borderId="22" applyNumberFormat="0" applyAlignment="0" applyProtection="0"/>
    <xf numFmtId="0"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5"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90" fontId="103" fillId="0" borderId="0" applyNumberFormat="0" applyFont="0" applyFill="0" applyBorder="0" applyProtection="0">
      <alignment horizontal="centerContinuous" wrapText="1"/>
    </xf>
    <xf numFmtId="191" fontId="21" fillId="0" borderId="0"/>
    <xf numFmtId="0" fontId="104" fillId="98"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2" fontId="104" fillId="90" borderId="32" applyNumberFormat="0" applyAlignment="0" applyProtection="0"/>
    <xf numFmtId="0"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90" borderId="32" applyNumberFormat="0" applyAlignment="0" applyProtection="0"/>
    <xf numFmtId="183" fontId="104" fillId="14" borderId="32" applyNumberFormat="0" applyAlignment="0" applyProtection="0"/>
    <xf numFmtId="184" fontId="104" fillId="14" borderId="32" applyNumberFormat="0" applyAlignment="0" applyProtection="0"/>
    <xf numFmtId="183" fontId="104" fillId="90" borderId="32" applyNumberFormat="0" applyAlignment="0" applyProtection="0"/>
    <xf numFmtId="184" fontId="104" fillId="90" borderId="32" applyNumberFormat="0" applyAlignment="0" applyProtection="0"/>
    <xf numFmtId="184" fontId="104" fillId="90"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7" fontId="104" fillId="14"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14" borderId="32" applyNumberFormat="0" applyAlignment="0" applyProtection="0"/>
    <xf numFmtId="0" fontId="104" fillId="98" borderId="32" applyNumberFormat="0" applyAlignment="0" applyProtection="0"/>
    <xf numFmtId="183" fontId="104" fillId="14" borderId="32" applyNumberFormat="0" applyAlignment="0" applyProtection="0"/>
    <xf numFmtId="184" fontId="104" fillId="14"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2" fontId="84"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5" fillId="0" borderId="0" applyNumberFormat="0" applyAlignment="0">
      <alignment horizontal="left"/>
    </xf>
    <xf numFmtId="0"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7"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92" fontId="98"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6" fillId="0" borderId="0" applyFont="0" applyFill="0" applyBorder="0" applyAlignment="0" applyProtection="0"/>
    <xf numFmtId="6" fontId="107"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8" fillId="0" borderId="0">
      <protection locked="0"/>
    </xf>
    <xf numFmtId="4" fontId="109"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0" fillId="0" borderId="0" applyNumberFormat="0" applyAlignment="0">
      <alignment horizontal="left"/>
    </xf>
    <xf numFmtId="0"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7"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7" fontId="112" fillId="0" borderId="0" applyNumberForma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184" fontId="112" fillId="0" borderId="0" applyNumberFormat="0" applyFill="0" applyBorder="0" applyAlignment="0" applyProtection="0"/>
    <xf numFmtId="0" fontId="111"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9"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3" fillId="7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2" fontId="37" fillId="86" borderId="0" applyNumberFormat="0" applyBorder="0" applyAlignment="0" applyProtection="0"/>
    <xf numFmtId="0"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7" fontId="113" fillId="101" borderId="0" applyNumberFormat="0" applyBorder="0" applyAlignment="0" applyProtection="0"/>
    <xf numFmtId="184" fontId="113" fillId="101" borderId="0" applyNumberFormat="0" applyBorder="0" applyAlignment="0" applyProtection="0"/>
    <xf numFmtId="184" fontId="77" fillId="38"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37" fillId="86"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7" fontId="113" fillId="10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101" borderId="0" applyNumberFormat="0" applyBorder="0" applyAlignment="0" applyProtection="0"/>
    <xf numFmtId="0" fontId="113" fillId="7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2" fontId="77"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7"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68" fillId="0" borderId="17" applyNumberFormat="0" applyAlignment="0" applyProtection="0">
      <alignment horizontal="left" vertical="center"/>
    </xf>
    <xf numFmtId="0"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7"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0" fontId="68" fillId="0" borderId="9">
      <alignment horizontal="left" vertical="center"/>
    </xf>
    <xf numFmtId="0"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115" fillId="0" borderId="33"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2" fontId="116" fillId="0" borderId="34" applyNumberFormat="0" applyFill="0" applyAlignment="0" applyProtection="0"/>
    <xf numFmtId="0"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7" fontId="116" fillId="0" borderId="34"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6" fillId="0" borderId="34" applyNumberFormat="0" applyFill="0" applyAlignment="0" applyProtection="0"/>
    <xf numFmtId="0" fontId="115" fillId="0" borderId="33"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2" fontId="74" fillId="0" borderId="1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2" fontId="118" fillId="0" borderId="36"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6"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7" fontId="118"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8" fillId="0" borderId="35" applyNumberFormat="0" applyFill="0" applyAlignment="0" applyProtection="0"/>
    <xf numFmtId="0" fontId="117"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2" fontId="120" fillId="0" borderId="38"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8"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7" fontId="120" fillId="0" borderId="39"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20" fillId="0" borderId="39" applyNumberFormat="0" applyFill="0" applyAlignment="0" applyProtection="0"/>
    <xf numFmtId="0" fontId="119" fillId="0" borderId="37"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2" fontId="120"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7" fontId="120"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20" fillId="0" borderId="0" applyNumberFormat="0" applyFill="0" applyBorder="0" applyAlignment="0" applyProtection="0"/>
    <xf numFmtId="0" fontId="119"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2" fontId="76"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1" fillId="0" borderId="40">
      <alignment horizontal="center"/>
    </xf>
    <xf numFmtId="0" fontId="121" fillId="0" borderId="40">
      <alignment horizontal="center"/>
    </xf>
    <xf numFmtId="183"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3" fontId="121" fillId="0" borderId="40">
      <alignment horizontal="center"/>
    </xf>
    <xf numFmtId="184" fontId="121" fillId="0" borderId="40">
      <alignment horizontal="center"/>
    </xf>
    <xf numFmtId="187" fontId="121" fillId="0" borderId="40">
      <alignment horizontal="center"/>
    </xf>
    <xf numFmtId="184" fontId="121" fillId="0" borderId="40">
      <alignment horizontal="center"/>
    </xf>
    <xf numFmtId="184" fontId="121" fillId="0" borderId="40">
      <alignment horizontal="center"/>
    </xf>
    <xf numFmtId="0" fontId="121" fillId="0" borderId="0">
      <alignment horizontal="center"/>
    </xf>
    <xf numFmtId="0" fontId="121" fillId="0" borderId="0">
      <alignment horizontal="center"/>
    </xf>
    <xf numFmtId="183"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3" fontId="121" fillId="0" borderId="0">
      <alignment horizontal="center"/>
    </xf>
    <xf numFmtId="184" fontId="121" fillId="0" borderId="0">
      <alignment horizontal="center"/>
    </xf>
    <xf numFmtId="187" fontId="121" fillId="0" borderId="0">
      <alignment horizontal="center"/>
    </xf>
    <xf numFmtId="184" fontId="121" fillId="0" borderId="0">
      <alignment horizontal="center"/>
    </xf>
    <xf numFmtId="184" fontId="121" fillId="0" borderId="0">
      <alignment horizontal="center"/>
    </xf>
    <xf numFmtId="0" fontId="109" fillId="0" borderId="0" applyProtection="0">
      <alignment horizontal="right"/>
    </xf>
    <xf numFmtId="0" fontId="109" fillId="0" borderId="0" applyProtection="0">
      <alignment horizontal="right"/>
    </xf>
    <xf numFmtId="183"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3" fontId="109" fillId="0" borderId="0" applyProtection="0">
      <alignment horizontal="right"/>
    </xf>
    <xf numFmtId="184" fontId="109" fillId="0" borderId="0" applyProtection="0">
      <alignment horizontal="right"/>
    </xf>
    <xf numFmtId="187" fontId="109" fillId="0" borderId="0" applyProtection="0">
      <alignment horizontal="right"/>
    </xf>
    <xf numFmtId="184" fontId="109" fillId="0" borderId="0" applyProtection="0">
      <alignment horizontal="right"/>
    </xf>
    <xf numFmtId="184" fontId="109"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2" fillId="0" borderId="41" applyNumberFormat="0" applyFill="0" applyAlignment="0" applyProtection="0"/>
    <xf numFmtId="185" fontId="122" fillId="0" borderId="41" applyNumberFormat="0" applyFill="0" applyAlignment="0" applyProtection="0"/>
    <xf numFmtId="0"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5"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7"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3" fillId="0" borderId="0" applyFill="0" applyBorder="0" applyAlignment="0" applyProtection="0">
      <alignment horizontal="right"/>
    </xf>
    <xf numFmtId="184" fontId="123"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4" fontId="124" fillId="21" borderId="31" applyNumberFormat="0" applyAlignment="0" applyProtection="0"/>
    <xf numFmtId="184" fontId="125" fillId="74" borderId="30" applyNumberFormat="0" applyAlignment="0" applyProtection="0"/>
    <xf numFmtId="182" fontId="124" fillId="21" borderId="31"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7" fontId="80" fillId="41" borderId="22"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99" fontId="126"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7" fillId="0" borderId="42"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2" fontId="113" fillId="0" borderId="43" applyNumberFormat="0" applyFill="0" applyAlignment="0" applyProtection="0"/>
    <xf numFmtId="0"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13" fillId="0" borderId="43"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113" fillId="0" borderId="43" applyNumberFormat="0" applyFill="0" applyAlignment="0" applyProtection="0"/>
    <xf numFmtId="184" fontId="113" fillId="0" borderId="43" applyNumberFormat="0" applyFill="0" applyAlignment="0" applyProtection="0"/>
    <xf numFmtId="184" fontId="113" fillId="0" borderId="43"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7" fontId="128" fillId="0" borderId="44"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8" fillId="0" borderId="44" applyNumberFormat="0" applyFill="0" applyAlignment="0" applyProtection="0"/>
    <xf numFmtId="0" fontId="127" fillId="0" borderId="42"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2" fontId="83" fillId="0" borderId="24" applyNumberFormat="0" applyFill="0" applyAlignment="0" applyProtection="0"/>
    <xf numFmtId="183" fontId="129" fillId="103" borderId="0">
      <alignment horizontal="right"/>
    </xf>
    <xf numFmtId="184" fontId="129" fillId="103" borderId="0">
      <alignment horizontal="right"/>
    </xf>
    <xf numFmtId="17" fontId="130" fillId="0" borderId="0" applyFont="0" applyFill="0" applyBorder="0" applyAlignment="0" applyProtection="0">
      <alignment horizontal="centerContinuous"/>
      <protection locked="0"/>
    </xf>
    <xf numFmtId="0" fontId="131" fillId="25"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2" fontId="113"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7" fontId="131" fillId="21" borderId="0" applyNumberFormat="0" applyBorder="0" applyAlignment="0" applyProtection="0"/>
    <xf numFmtId="184" fontId="131" fillId="21" borderId="0" applyNumberFormat="0" applyBorder="0" applyAlignment="0" applyProtection="0"/>
    <xf numFmtId="184" fontId="79" fillId="40" borderId="0" applyNumberFormat="0" applyBorder="0" applyAlignment="0" applyProtection="0"/>
    <xf numFmtId="0"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13"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113" fillId="21" borderId="0" applyNumberFormat="0" applyBorder="0" applyAlignment="0" applyProtection="0"/>
    <xf numFmtId="184" fontId="113" fillId="21" borderId="0" applyNumberFormat="0" applyBorder="0" applyAlignment="0" applyProtection="0"/>
    <xf numFmtId="184" fontId="113" fillId="21"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7" fontId="79" fillId="40"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2" fontId="79" fillId="40" borderId="0" applyNumberFormat="0" applyBorder="0" applyAlignment="0" applyProtection="0"/>
    <xf numFmtId="37" fontId="132" fillId="0" borderId="0"/>
    <xf numFmtId="200" fontId="133"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4"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4"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0" fontId="134" fillId="0" borderId="0"/>
    <xf numFmtId="183" fontId="134" fillId="0" borderId="0"/>
    <xf numFmtId="184" fontId="134" fillId="0" borderId="0"/>
    <xf numFmtId="184" fontId="134" fillId="0" borderId="0"/>
    <xf numFmtId="184" fontId="134"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5" fillId="0" borderId="46" applyFont="0" applyFill="0" applyBorder="0" applyAlignment="0" applyProtection="0">
      <alignment horizontal="center"/>
      <protection locked="0"/>
    </xf>
    <xf numFmtId="203" fontId="135"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1" fillId="42" borderId="23" applyNumberFormat="0" applyAlignment="0" applyProtection="0"/>
    <xf numFmtId="0"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7"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75" borderId="47" applyNumberFormat="0" applyAlignment="0" applyProtection="0"/>
    <xf numFmtId="182" fontId="136" fillId="96" borderId="47" applyNumberFormat="0" applyAlignment="0" applyProtection="0"/>
    <xf numFmtId="0"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6"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81" fillId="42" borderId="23" applyNumberFormat="0" applyAlignment="0" applyProtection="0"/>
    <xf numFmtId="184" fontId="81" fillId="42" borderId="23" applyNumberFormat="0" applyAlignment="0" applyProtection="0"/>
    <xf numFmtId="0" fontId="136" fillId="96" borderId="47" applyNumberFormat="0" applyAlignment="0" applyProtection="0"/>
    <xf numFmtId="184" fontId="136" fillId="96" borderId="47" applyNumberFormat="0" applyAlignment="0" applyProtection="0"/>
    <xf numFmtId="184" fontId="81" fillId="42" borderId="23" applyNumberFormat="0" applyAlignment="0" applyProtection="0"/>
    <xf numFmtId="10" fontId="137" fillId="0" borderId="48" applyFont="0" applyFill="0" applyBorder="0" applyAlignment="0" applyProtection="0">
      <alignment horizontal="center"/>
      <protection locked="0"/>
    </xf>
    <xf numFmtId="10" fontId="137"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8" fillId="0" borderId="0" applyFont="0" applyFill="0" applyBorder="0" applyProtection="0">
      <alignment horizontal="center"/>
    </xf>
    <xf numFmtId="190" fontId="138"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0" fillId="0" borderId="0" applyNumberFormat="0" applyFill="0" applyBorder="0" applyProtection="0">
      <alignment horizontal="right"/>
    </xf>
    <xf numFmtId="9" fontId="140"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06" borderId="0" applyNumberFormat="0" applyFont="0" applyBorder="0" applyAlignment="0">
      <alignment horizontal="center"/>
    </xf>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06" borderId="0" applyNumberFormat="0" applyFont="0" applyBorder="0" applyAlignment="0">
      <alignment horizontal="center"/>
    </xf>
    <xf numFmtId="184" fontId="141" fillId="106" borderId="0" applyNumberFormat="0" applyFont="0" applyBorder="0" applyAlignment="0">
      <alignment horizontal="center"/>
    </xf>
    <xf numFmtId="205" fontId="142" fillId="0" borderId="0" applyNumberFormat="0" applyFill="0" applyBorder="0" applyAlignment="0" applyProtection="0">
      <alignment horizontal="left"/>
    </xf>
    <xf numFmtId="205" fontId="142"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3" fillId="107" borderId="31" applyNumberFormat="0" applyProtection="0">
      <alignment vertical="center"/>
    </xf>
    <xf numFmtId="184" fontId="21" fillId="0" borderId="0"/>
    <xf numFmtId="4" fontId="44" fillId="25" borderId="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0" fontId="5" fillId="0" borderId="0"/>
    <xf numFmtId="183" fontId="5" fillId="0" borderId="0"/>
    <xf numFmtId="184" fontId="5" fillId="0" borderId="0"/>
    <xf numFmtId="184" fontId="5" fillId="0" borderId="0"/>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21" fillId="0" borderId="0"/>
    <xf numFmtId="182"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5" fillId="31" borderId="52" applyBorder="0"/>
    <xf numFmtId="184" fontId="145" fillId="31" borderId="52" applyBorder="0"/>
    <xf numFmtId="182" fontId="145" fillId="31" borderId="52" applyBorder="0"/>
    <xf numFmtId="0"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5" fillId="31" borderId="52" applyBorder="0"/>
    <xf numFmtId="187"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0" fontId="21" fillId="0" borderId="0"/>
    <xf numFmtId="184" fontId="21" fillId="0" borderId="0"/>
    <xf numFmtId="0" fontId="21" fillId="0" borderId="0"/>
    <xf numFmtId="184" fontId="21" fillId="0" borderId="0"/>
    <xf numFmtId="4" fontId="137" fillId="26" borderId="1" applyNumberFormat="0" applyProtection="0">
      <alignment vertical="center"/>
    </xf>
    <xf numFmtId="184" fontId="21" fillId="0" borderId="0"/>
    <xf numFmtId="4" fontId="40"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0" fontId="5" fillId="0" borderId="0"/>
    <xf numFmtId="183" fontId="5" fillId="0" borderId="0"/>
    <xf numFmtId="184" fontId="5" fillId="0" borderId="0"/>
    <xf numFmtId="184" fontId="5" fillId="0" borderId="0"/>
    <xf numFmtId="4" fontId="137"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3" fillId="102" borderId="3" applyNumberFormat="0" applyProtection="0">
      <alignment vertical="center"/>
    </xf>
    <xf numFmtId="4" fontId="143"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7"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7"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21" fillId="0" borderId="0"/>
    <xf numFmtId="182" fontId="137"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21" fillId="0" borderId="0"/>
    <xf numFmtId="182" fontId="137"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7"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8" fillId="0" borderId="0" applyNumberFormat="0" applyFill="0" applyBorder="0" applyAlignment="0">
      <alignment horizontal="center"/>
    </xf>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8" fillId="0" borderId="0" applyNumberFormat="0" applyFill="0" applyBorder="0" applyAlignment="0">
      <alignment horizontal="center"/>
    </xf>
    <xf numFmtId="184" fontId="148" fillId="0" borderId="0" applyNumberFormat="0" applyFill="0" applyBorder="0" applyAlignment="0">
      <alignment horizontal="center"/>
    </xf>
    <xf numFmtId="183" fontId="149" fillId="0" borderId="0">
      <alignment horizontal="right"/>
    </xf>
    <xf numFmtId="183" fontId="149" fillId="0" borderId="0">
      <alignment horizontal="right"/>
    </xf>
    <xf numFmtId="184" fontId="149"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0" fillId="0" borderId="0" applyBorder="0">
      <alignment horizontal="right"/>
    </xf>
    <xf numFmtId="40" fontId="150"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1" fillId="0" borderId="0">
      <alignment horizontal="left"/>
    </xf>
    <xf numFmtId="49" fontId="151"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2" fillId="112" borderId="0" applyNumberFormat="0" applyBorder="0" applyAlignment="0" applyProtection="0">
      <protection locked="0"/>
    </xf>
    <xf numFmtId="183" fontId="152" fillId="112" borderId="0" applyNumberFormat="0" applyBorder="0" applyAlignment="0" applyProtection="0">
      <protection locked="0"/>
    </xf>
    <xf numFmtId="184" fontId="152"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112" borderId="0" applyNumberFormat="0" applyBorder="0" applyAlignment="0" applyProtection="0">
      <protection locked="0"/>
    </xf>
    <xf numFmtId="0"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3" fillId="0" borderId="0" applyNumberFormat="0" applyFill="0" applyBorder="0" applyAlignment="0" applyProtection="0"/>
    <xf numFmtId="184" fontId="153" fillId="0" borderId="0" applyNumberFormat="0" applyFill="0" applyBorder="0" applyAlignment="0" applyProtection="0"/>
    <xf numFmtId="184" fontId="48" fillId="0" borderId="0" applyNumberFormat="0" applyFill="0" applyBorder="0" applyAlignment="0" applyProtection="0"/>
    <xf numFmtId="184" fontId="15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153"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3" fillId="0" borderId="0" applyNumberFormat="0" applyFill="0" applyBorder="0" applyAlignment="0" applyProtection="0"/>
    <xf numFmtId="182" fontId="73"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4" fillId="0" borderId="41" applyProtection="0"/>
    <xf numFmtId="3" fontId="154"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182" fontId="156"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6"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9" fontId="157" fillId="110" borderId="55" applyNumberFormat="0" applyFill="0" applyBorder="0" applyAlignment="0" applyProtection="0">
      <alignment horizontal="center"/>
      <protection locked="0"/>
    </xf>
    <xf numFmtId="9" fontId="157"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8" fillId="0" borderId="0" applyNumberFormat="0" applyFont="0" applyFill="0" applyBorder="0" applyProtection="0">
      <alignment wrapText="1"/>
    </xf>
    <xf numFmtId="190" fontId="98"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53">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4" fillId="0" borderId="0" xfId="34" applyAlignment="1">
      <alignment horizontal="left" indent="2"/>
    </xf>
    <xf numFmtId="0" fontId="22" fillId="0" borderId="0" xfId="34" applyFont="1" applyAlignment="1">
      <alignment horizontal="left"/>
    </xf>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0" fontId="24" fillId="0" borderId="0" xfId="34" applyAlignment="1">
      <alignment horizontal="left"/>
    </xf>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25" fillId="36" borderId="0" xfId="0" applyNumberFormat="1" applyFont="1" applyFill="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64" fontId="0" fillId="36" borderId="0" xfId="0" applyNumberFormat="1" applyFill="1" applyAlignment="1">
      <alignment horizontal="right"/>
    </xf>
    <xf numFmtId="171" fontId="0" fillId="36" borderId="0" xfId="0" applyNumberFormat="1" applyFill="1"/>
    <xf numFmtId="167" fontId="21" fillId="0" borderId="0" xfId="28" applyNumberFormat="1" applyFont="1"/>
    <xf numFmtId="0" fontId="66"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8"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70"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0" fontId="54" fillId="0" borderId="0" xfId="0" applyFont="1" applyAlignment="1">
      <alignment horizontal="left"/>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8" fillId="0" borderId="0" xfId="126" applyFont="1" applyAlignment="1">
      <alignment horizontal="center"/>
    </xf>
    <xf numFmtId="0" fontId="22" fillId="0" borderId="4" xfId="126" applyFont="1" applyBorder="1" applyAlignment="1">
      <alignment horizontal="center"/>
    </xf>
    <xf numFmtId="0" fontId="158" fillId="0" borderId="0" xfId="126" quotePrefix="1" applyFont="1" applyAlignment="1">
      <alignment horizontal="center" wrapText="1"/>
    </xf>
    <xf numFmtId="0" fontId="160" fillId="0" borderId="0" xfId="126" quotePrefix="1" applyFont="1" applyAlignment="1">
      <alignment horizontal="center"/>
    </xf>
    <xf numFmtId="2" fontId="161" fillId="0" borderId="28" xfId="126" applyNumberFormat="1" applyFont="1" applyBorder="1" applyAlignment="1">
      <alignment horizontal="center" wrapText="1"/>
    </xf>
    <xf numFmtId="2" fontId="161" fillId="0" borderId="0" xfId="126" applyNumberFormat="1" applyFont="1" applyAlignment="1">
      <alignment horizontal="center" wrapText="1"/>
    </xf>
    <xf numFmtId="2" fontId="158" fillId="0" borderId="0" xfId="126" applyNumberFormat="1" applyFont="1"/>
    <xf numFmtId="164" fontId="158" fillId="0" borderId="0" xfId="126" applyNumberFormat="1" applyFont="1"/>
    <xf numFmtId="1" fontId="158" fillId="0" borderId="0" xfId="126" applyNumberFormat="1" applyFont="1"/>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2" fillId="0" borderId="0" xfId="0" applyFont="1" applyAlignment="1">
      <alignment horizontal="left" wrapText="1"/>
    </xf>
    <xf numFmtId="49" fontId="72" fillId="0" borderId="0" xfId="0" quotePrefix="1" applyNumberFormat="1" applyFont="1" applyAlignment="1">
      <alignment horizontal="left" indent="1"/>
    </xf>
    <xf numFmtId="0" fontId="72" fillId="0" borderId="0" xfId="0" applyFont="1"/>
    <xf numFmtId="49" fontId="72"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3" fillId="36" borderId="0" xfId="247"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97" applyNumberFormat="1" applyFont="1" applyFill="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2" fontId="21" fillId="0" borderId="3" xfId="126" applyNumberFormat="1" applyBorder="1" applyAlignment="1">
      <alignment horizontal="center" wrapText="1"/>
    </xf>
    <xf numFmtId="0" fontId="70"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70" fillId="0" borderId="0" xfId="0" applyFont="1" applyAlignment="1">
      <alignment horizontal="left" indent="2"/>
    </xf>
    <xf numFmtId="0" fontId="163" fillId="0" borderId="0" xfId="0" applyFont="1"/>
    <xf numFmtId="0" fontId="70" fillId="0" borderId="0" xfId="0" applyFont="1" applyAlignment="1">
      <alignment horizontal="left" indent="1"/>
    </xf>
    <xf numFmtId="0" fontId="26" fillId="37" borderId="0" xfId="0" applyFont="1" applyFill="1"/>
    <xf numFmtId="0" fontId="70" fillId="36" borderId="0" xfId="0" applyFont="1" applyFill="1"/>
    <xf numFmtId="0" fontId="163" fillId="0" borderId="0" xfId="0" applyFont="1" applyAlignment="1">
      <alignment horizontal="right"/>
    </xf>
    <xf numFmtId="0" fontId="64" fillId="0" borderId="0" xfId="0" applyFont="1"/>
    <xf numFmtId="0" fontId="164"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170" fontId="21" fillId="36" borderId="0" xfId="100" quotePrefix="1" applyNumberFormat="1" applyFill="1" applyAlignment="1">
      <alignment horizontal="center"/>
    </xf>
    <xf numFmtId="3" fontId="21" fillId="36" borderId="61"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2" xfId="19" applyNumberFormat="1" applyFont="1" applyBorder="1" applyAlignment="1">
      <alignment horizontal="center" vertical="center"/>
    </xf>
    <xf numFmtId="167" fontId="54" fillId="0" borderId="62" xfId="19" quotePrefix="1" applyNumberFormat="1" applyFont="1" applyBorder="1" applyAlignment="1">
      <alignment horizontal="center" vertical="center"/>
    </xf>
    <xf numFmtId="167" fontId="166"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7"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7" fillId="0" borderId="0" xfId="19" applyNumberFormat="1" applyFont="1" applyFill="1"/>
    <xf numFmtId="0" fontId="167" fillId="0" borderId="0" xfId="19" applyNumberFormat="1" applyFont="1" applyFill="1"/>
    <xf numFmtId="41" fontId="53" fillId="0" borderId="0" xfId="0" applyNumberFormat="1" applyFont="1"/>
    <xf numFmtId="167" fontId="168"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9"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7" xfId="19" applyNumberFormat="1" applyFont="1" applyBorder="1" applyAlignment="1">
      <alignment horizontal="center"/>
    </xf>
    <xf numFmtId="167" fontId="54" fillId="0" borderId="40" xfId="19" applyNumberFormat="1" applyFont="1" applyBorder="1" applyAlignment="1">
      <alignment horizontal="center"/>
    </xf>
    <xf numFmtId="167" fontId="54" fillId="0" borderId="62"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2"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3"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3"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Border="1" applyAlignment="1">
      <alignment horizontal="lef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quotePrefix="1" applyAlignment="1">
      <alignment horizontal="left" indent="1"/>
    </xf>
    <xf numFmtId="0" fontId="170"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3" fontId="21" fillId="36" borderId="56" xfId="19" applyNumberFormat="1" applyFont="1" applyFill="1" applyBorder="1" applyAlignment="1">
      <alignment horizontal="center"/>
    </xf>
    <xf numFmtId="37" fontId="21" fillId="36" borderId="56"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6"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0" fontId="162" fillId="0" borderId="0" xfId="0" applyFont="1"/>
    <xf numFmtId="37" fontId="21" fillId="36" borderId="61" xfId="19" applyNumberFormat="1" applyFont="1" applyFill="1" applyBorder="1" applyAlignment="1">
      <alignment horizontal="center"/>
    </xf>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0" fillId="0" borderId="0" xfId="19" applyNumberFormat="1" applyFont="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21" fillId="36" borderId="0" xfId="53893" applyNumberFormat="1" applyFont="1" applyFill="1"/>
    <xf numFmtId="0" fontId="25" fillId="36" borderId="0" xfId="0" quotePrefix="1" applyFont="1" applyFill="1" applyAlignment="1">
      <alignment horizontal="center"/>
    </xf>
    <xf numFmtId="0" fontId="21" fillId="36" borderId="0" xfId="0" applyFont="1" applyFill="1" applyAlignment="1">
      <alignment horizontal="right"/>
    </xf>
    <xf numFmtId="0" fontId="22" fillId="36" borderId="0" xfId="100" applyFont="1" applyFill="1" applyAlignment="1">
      <alignment horizontal="lef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3" fontId="52" fillId="36" borderId="3" xfId="22" quotePrefix="1" applyNumberFormat="1" applyFont="1" applyFill="1" applyBorder="1" applyAlignment="1">
      <alignment horizontal="center"/>
    </xf>
    <xf numFmtId="3" fontId="52" fillId="36" borderId="3" xfId="0" applyNumberFormat="1" applyFont="1" applyFill="1" applyBorder="1" applyAlignment="1">
      <alignment horizontal="center"/>
    </xf>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177" fontId="21" fillId="36" borderId="3" xfId="97" applyNumberFormat="1" applyFont="1" applyFill="1" applyBorder="1"/>
    <xf numFmtId="37" fontId="21" fillId="36" borderId="3" xfId="19" applyNumberFormat="1" applyFont="1" applyFill="1" applyBorder="1" applyAlignment="1">
      <alignment horizontal="center"/>
    </xf>
    <xf numFmtId="37" fontId="52" fillId="36" borderId="3" xfId="97" applyNumberFormat="1" applyFont="1" applyFill="1" applyBorder="1" applyAlignment="1">
      <alignment horizontal="center"/>
    </xf>
    <xf numFmtId="164" fontId="21" fillId="0" borderId="0" xfId="19" applyNumberFormat="1" applyFont="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3"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70"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1" fillId="0" borderId="0" xfId="28" applyNumberFormat="1" applyFont="1"/>
    <xf numFmtId="0" fontId="171" fillId="0" borderId="0" xfId="0" applyFont="1"/>
    <xf numFmtId="164" fontId="172" fillId="0" borderId="0" xfId="0" applyNumberFormat="1" applyFont="1"/>
    <xf numFmtId="0" fontId="172" fillId="0" borderId="0" xfId="0" applyFont="1"/>
    <xf numFmtId="0" fontId="158" fillId="0" borderId="0" xfId="0" applyFont="1"/>
    <xf numFmtId="39" fontId="171" fillId="0" borderId="0" xfId="97" applyNumberFormat="1" applyFont="1" applyBorder="1" applyAlignment="1">
      <alignment horizontal="center"/>
    </xf>
    <xf numFmtId="0" fontId="171" fillId="0" borderId="0" xfId="0" applyFont="1" applyAlignment="1">
      <alignment horizontal="center"/>
    </xf>
    <xf numFmtId="164" fontId="171"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3" fillId="0" borderId="0" xfId="100" applyFont="1"/>
    <xf numFmtId="167" fontId="163" fillId="0" borderId="0" xfId="97" applyNumberFormat="1" applyFont="1" applyFill="1" applyAlignment="1">
      <alignment horizontal="center"/>
    </xf>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4" fontId="21" fillId="0" borderId="63"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3" xfId="96" applyNumberFormat="1" applyFont="1" applyBorder="1"/>
    <xf numFmtId="164" fontId="21" fillId="0" borderId="63"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0" fontId="21" fillId="0" borderId="3" xfId="22" applyNumberFormat="1" applyFont="1" applyFill="1" applyBorder="1" applyAlignment="1">
      <alignment horizontal="left"/>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0" borderId="6" xfId="0" applyFont="1" applyBorder="1" applyAlignment="1">
      <alignment horizontal="left"/>
    </xf>
    <xf numFmtId="0" fontId="21" fillId="0" borderId="4" xfId="0" applyFont="1" applyBorder="1" applyAlignment="1">
      <alignment horizontal="left"/>
    </xf>
    <xf numFmtId="0" fontId="21" fillId="36" borderId="6" xfId="0" applyFont="1" applyFill="1" applyBorder="1"/>
    <xf numFmtId="3" fontId="21" fillId="36" borderId="3" xfId="22" applyNumberFormat="1" applyFont="1" applyFill="1" applyBorder="1" applyAlignment="1">
      <alignment horizontal="center"/>
    </xf>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3" fillId="0" borderId="0" xfId="0" applyFont="1"/>
    <xf numFmtId="164" fontId="28" fillId="0" borderId="0" xfId="0" quotePrefix="1" applyNumberFormat="1" applyFont="1"/>
    <xf numFmtId="0" fontId="22" fillId="0" borderId="62"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5"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5" fontId="21" fillId="0" borderId="9" xfId="0" quotePrefix="1" applyNumberFormat="1" applyFont="1" applyBorder="1" applyAlignment="1">
      <alignment horizontal="center"/>
    </xf>
    <xf numFmtId="0" fontId="22" fillId="0" borderId="62"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2" fillId="0" borderId="3" xfId="28" applyFont="1" applyBorder="1" applyAlignment="1">
      <alignment horizontal="center" wrapText="1"/>
    </xf>
    <xf numFmtId="164" fontId="21" fillId="0" borderId="0" xfId="28" quotePrefix="1" applyNumberFormat="1" applyFont="1" applyAlignment="1">
      <alignment horizontal="right"/>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36" borderId="0" xfId="100" applyFill="1" applyAlignment="1">
      <alignment horizontal="left" indent="1"/>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6" fillId="0" borderId="0" xfId="0" applyFont="1" applyAlignment="1">
      <alignment horizontal="left" indent="1"/>
    </xf>
    <xf numFmtId="0" fontId="176"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50" fillId="0" borderId="0" xfId="0" applyFont="1"/>
    <xf numFmtId="164" fontId="21" fillId="0" borderId="8" xfId="100" applyNumberFormat="1" applyBorder="1" applyAlignment="1">
      <alignment horizontal="right"/>
    </xf>
    <xf numFmtId="167" fontId="53" fillId="0" borderId="68" xfId="19" applyNumberFormat="1" applyFont="1" applyBorder="1" applyAlignment="1">
      <alignment horizontal="center"/>
    </xf>
    <xf numFmtId="0" fontId="21" fillId="0" borderId="6" xfId="0" quotePrefix="1" applyFont="1" applyBorder="1" applyAlignment="1">
      <alignment horizontal="left"/>
    </xf>
    <xf numFmtId="0" fontId="53" fillId="0" borderId="3" xfId="0" quotePrefix="1" applyFont="1" applyBorder="1" applyAlignment="1">
      <alignment horizontal="center"/>
    </xf>
    <xf numFmtId="37" fontId="21" fillId="0" borderId="3" xfId="97" applyNumberFormat="1" applyFont="1" applyFill="1" applyBorder="1" applyAlignment="1">
      <alignment horizontal="center"/>
    </xf>
    <xf numFmtId="164" fontId="21" fillId="0" borderId="8" xfId="108" applyNumberFormat="1" applyBorder="1" applyAlignment="1">
      <alignment horizontal="center"/>
    </xf>
    <xf numFmtId="164" fontId="21" fillId="0" borderId="0" xfId="108" applyNumberFormat="1" applyAlignment="1">
      <alignment horizontal="center"/>
    </xf>
    <xf numFmtId="167" fontId="21" fillId="36" borderId="0" xfId="19" applyNumberFormat="1" applyFont="1" applyFill="1"/>
    <xf numFmtId="166" fontId="0" fillId="36" borderId="0" xfId="0" applyNumberFormat="1" applyFill="1"/>
    <xf numFmtId="0" fontId="177" fillId="36" borderId="0" xfId="0" applyFont="1" applyFill="1" applyAlignment="1">
      <alignment horizontal="center"/>
    </xf>
    <xf numFmtId="166" fontId="21" fillId="36" borderId="0" xfId="0" applyNumberFormat="1" applyFont="1" applyFill="1"/>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5" fontId="21" fillId="36" borderId="0" xfId="97" applyNumberFormat="1" applyFont="1" applyFill="1" applyBorder="1"/>
    <xf numFmtId="5" fontId="21" fillId="36" borderId="0" xfId="97" applyNumberFormat="1" applyFont="1" applyFill="1" applyBorder="1" applyAlignment="1">
      <alignment horizontal="center"/>
    </xf>
    <xf numFmtId="0" fontId="178" fillId="0" borderId="0" xfId="0" applyFont="1" applyAlignment="1">
      <alignment horizontal="left"/>
    </xf>
    <xf numFmtId="0" fontId="178" fillId="0" borderId="0" xfId="0" applyFont="1"/>
    <xf numFmtId="0" fontId="178" fillId="0" borderId="0" xfId="0" applyFont="1" applyAlignment="1">
      <alignment horizontal="center"/>
    </xf>
    <xf numFmtId="37" fontId="22" fillId="36" borderId="3" xfId="97" applyNumberFormat="1" applyFont="1" applyFill="1" applyBorder="1" applyAlignment="1">
      <alignment horizontal="center"/>
    </xf>
    <xf numFmtId="3" fontId="22" fillId="36" borderId="3" xfId="97" applyNumberFormat="1" applyFont="1" applyFill="1" applyBorder="1" applyAlignment="1">
      <alignment horizontal="center"/>
    </xf>
    <xf numFmtId="167" fontId="21" fillId="36" borderId="0" xfId="19" applyNumberFormat="1" applyFill="1"/>
    <xf numFmtId="167" fontId="53" fillId="0" borderId="0" xfId="19" applyNumberFormat="1" applyFont="1" applyAlignment="1">
      <alignment horizontal="left"/>
    </xf>
    <xf numFmtId="164" fontId="21" fillId="34" borderId="0" xfId="19" applyNumberFormat="1" applyFont="1" applyFill="1"/>
    <xf numFmtId="164" fontId="24" fillId="0" borderId="0" xfId="34" applyNumberFormat="1"/>
    <xf numFmtId="164" fontId="58" fillId="36" borderId="0" xfId="19" applyNumberFormat="1" applyFont="1" applyFill="1" applyBorder="1"/>
    <xf numFmtId="0" fontId="21" fillId="0" borderId="6" xfId="0" applyFont="1" applyBorder="1"/>
    <xf numFmtId="3" fontId="21" fillId="36" borderId="4" xfId="97" quotePrefix="1" applyNumberFormat="1" applyFont="1" applyFill="1" applyBorder="1" applyAlignment="1">
      <alignment horizontal="center"/>
    </xf>
    <xf numFmtId="3" fontId="21" fillId="36" borderId="7" xfId="97" quotePrefix="1" applyNumberFormat="1" applyFont="1" applyFill="1" applyBorder="1" applyAlignment="1">
      <alignment horizontal="center"/>
    </xf>
    <xf numFmtId="37" fontId="53" fillId="36" borderId="5" xfId="97" quotePrefix="1" applyNumberFormat="1" applyFont="1" applyFill="1" applyBorder="1" applyAlignment="1">
      <alignment horizontal="center"/>
    </xf>
    <xf numFmtId="0" fontId="21" fillId="0" borderId="6" xfId="0" quotePrefix="1" applyFont="1" applyBorder="1"/>
    <xf numFmtId="3" fontId="21" fillId="36" borderId="5" xfId="97" quotePrefix="1" applyNumberFormat="1" applyFont="1" applyFill="1" applyBorder="1" applyAlignment="1">
      <alignment horizontal="center"/>
    </xf>
    <xf numFmtId="164" fontId="53" fillId="0" borderId="0" xfId="125" applyNumberFormat="1" applyFont="1"/>
    <xf numFmtId="165" fontId="53" fillId="34" borderId="0" xfId="0" applyNumberFormat="1" applyFont="1" applyFill="1" applyAlignment="1">
      <alignment wrapText="1"/>
    </xf>
    <xf numFmtId="0" fontId="22" fillId="0" borderId="7" xfId="126" applyFont="1" applyBorder="1" applyAlignment="1">
      <alignment horizontal="center" wrapText="1"/>
    </xf>
    <xf numFmtId="0" fontId="22" fillId="0" borderId="56" xfId="126" applyFont="1" applyBorder="1" applyAlignment="1">
      <alignment horizontal="center" wrapText="1"/>
    </xf>
    <xf numFmtId="206" fontId="21" fillId="0" borderId="0" xfId="0" applyNumberFormat="1" applyFont="1"/>
    <xf numFmtId="168" fontId="0" fillId="0" borderId="0" xfId="0" applyNumberFormat="1"/>
    <xf numFmtId="164" fontId="53" fillId="36" borderId="0" xfId="0" applyNumberFormat="1" applyFont="1" applyFill="1" applyAlignment="1">
      <alignment horizontal="right"/>
    </xf>
    <xf numFmtId="164" fontId="35" fillId="0" borderId="0" xfId="0" quotePrefix="1" applyNumberFormat="1" applyFont="1" applyAlignment="1">
      <alignment horizontal="right"/>
    </xf>
    <xf numFmtId="0" fontId="22" fillId="0" borderId="0" xfId="125" applyFont="1" applyAlignment="1">
      <alignment horizontal="center"/>
    </xf>
    <xf numFmtId="164" fontId="21" fillId="0" borderId="0" xfId="125" applyNumberFormat="1"/>
    <xf numFmtId="209" fontId="28" fillId="0" borderId="0" xfId="125" applyNumberFormat="1" applyFont="1"/>
    <xf numFmtId="165" fontId="21" fillId="0" borderId="0" xfId="0" applyNumberFormat="1" applyFont="1" applyAlignment="1">
      <alignment horizontal="center"/>
    </xf>
    <xf numFmtId="164" fontId="0" fillId="0" borderId="0" xfId="0" quotePrefix="1" applyNumberFormat="1" applyAlignment="1">
      <alignment horizontal="center"/>
    </xf>
    <xf numFmtId="165" fontId="53" fillId="34" borderId="0" xfId="0" applyNumberFormat="1" applyFont="1" applyFill="1"/>
    <xf numFmtId="164" fontId="53" fillId="34" borderId="0" xfId="0" applyNumberFormat="1" applyFont="1" applyFill="1"/>
    <xf numFmtId="173" fontId="0" fillId="0" borderId="0" xfId="0" applyNumberFormat="1"/>
    <xf numFmtId="169" fontId="0" fillId="0" borderId="0" xfId="0" applyNumberFormat="1"/>
    <xf numFmtId="168" fontId="21" fillId="0" borderId="0" xfId="39" applyNumberFormat="1" applyFont="1" applyFill="1" applyBorder="1" applyAlignment="1">
      <alignment vertical="center"/>
    </xf>
    <xf numFmtId="168" fontId="24" fillId="0" borderId="0" xfId="28" applyNumberFormat="1"/>
    <xf numFmtId="167" fontId="21" fillId="0" borderId="0" xfId="19" applyNumberFormat="1" applyFont="1" applyFill="1"/>
    <xf numFmtId="164" fontId="21" fillId="0" borderId="0" xfId="19" applyNumberFormat="1" applyFont="1" applyFill="1"/>
    <xf numFmtId="164" fontId="21" fillId="0" borderId="3" xfId="126" applyNumberFormat="1" applyBorder="1"/>
    <xf numFmtId="173" fontId="21" fillId="0" borderId="0" xfId="126" applyNumberFormat="1" applyAlignment="1">
      <alignment horizontal="center"/>
    </xf>
    <xf numFmtId="166" fontId="21" fillId="0" borderId="16" xfId="126" applyNumberFormat="1" applyBorder="1" applyAlignment="1">
      <alignment horizontal="center"/>
    </xf>
    <xf numFmtId="166" fontId="21" fillId="0" borderId="0" xfId="126" applyNumberFormat="1" applyAlignment="1">
      <alignment horizontal="center"/>
    </xf>
    <xf numFmtId="164" fontId="21" fillId="0" borderId="17" xfId="126" applyNumberFormat="1" applyBorder="1"/>
    <xf numFmtId="166" fontId="21" fillId="0" borderId="17" xfId="126" applyNumberFormat="1" applyBorder="1" applyAlignment="1">
      <alignment horizontal="center"/>
    </xf>
    <xf numFmtId="3" fontId="21" fillId="36" borderId="0" xfId="129" applyNumberFormat="1" applyFont="1" applyFill="1" applyAlignment="1">
      <alignment horizontal="right"/>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73" fontId="52" fillId="0" borderId="0" xfId="126" applyNumberFormat="1" applyFont="1" applyAlignment="1">
      <alignment horizontal="center"/>
    </xf>
    <xf numFmtId="166" fontId="21" fillId="0" borderId="0" xfId="126" quotePrefix="1" applyNumberForma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174" fontId="21" fillId="36" borderId="0" xfId="53787" applyNumberFormat="1" applyFill="1" applyAlignment="1">
      <alignment horizontal="center"/>
    </xf>
    <xf numFmtId="0" fontId="162" fillId="0" borderId="0" xfId="0" applyFont="1" applyAlignment="1">
      <alignment horizontal="center"/>
    </xf>
    <xf numFmtId="0" fontId="67" fillId="0" borderId="0" xfId="0" applyFont="1" applyAlignment="1">
      <alignment horizontal="center"/>
    </xf>
    <xf numFmtId="0" fontId="50" fillId="0" borderId="0" xfId="0" applyFont="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167" fontId="54" fillId="0" borderId="66"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6" xfId="0" applyFont="1" applyBorder="1"/>
    <xf numFmtId="0" fontId="0" fillId="0" borderId="9" xfId="0" applyBorder="1"/>
    <xf numFmtId="0" fontId="0" fillId="0" borderId="4" xfId="0" applyBorder="1"/>
    <xf numFmtId="0" fontId="21"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0" fillId="0" borderId="0" xfId="0"/>
    <xf numFmtId="0" fontId="52" fillId="36" borderId="3" xfId="0" applyFont="1" applyFill="1" applyBorder="1" applyAlignment="1">
      <alignment horizontal="center"/>
    </xf>
    <xf numFmtId="0" fontId="21" fillId="0" borderId="6" xfId="0" applyFont="1" applyBorder="1"/>
    <xf numFmtId="0" fontId="21" fillId="0" borderId="9" xfId="0" applyFont="1" applyBorder="1"/>
    <xf numFmtId="0" fontId="21" fillId="0" borderId="4" xfId="0" applyFont="1" applyBorder="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0" borderId="6" xfId="0" applyFont="1" applyBorder="1" applyAlignment="1">
      <alignment horizontal="left"/>
    </xf>
    <xf numFmtId="0" fontId="21" fillId="0" borderId="4" xfId="0" applyFont="1" applyBorder="1" applyAlignment="1">
      <alignment horizontal="left"/>
    </xf>
    <xf numFmtId="0" fontId="22" fillId="0" borderId="3" xfId="0" applyFont="1" applyBorder="1" applyAlignment="1">
      <alignment wrapText="1"/>
    </xf>
    <xf numFmtId="0" fontId="0" fillId="0" borderId="3" xfId="0" applyBorder="1" applyAlignment="1">
      <alignment wrapText="1"/>
    </xf>
    <xf numFmtId="0" fontId="21" fillId="0" borderId="10" xfId="0" applyFont="1" applyBorder="1"/>
    <xf numFmtId="0" fontId="21" fillId="0" borderId="8" xfId="0" applyFont="1" applyBorder="1"/>
    <xf numFmtId="0" fontId="21" fillId="0" borderId="11" xfId="0" applyFont="1" applyBorder="1"/>
    <xf numFmtId="0" fontId="21" fillId="0" borderId="3" xfId="0" applyFont="1" applyBorder="1" applyAlignment="1">
      <alignment horizontal="left"/>
    </xf>
    <xf numFmtId="39" fontId="21" fillId="0" borderId="6" xfId="22" applyNumberFormat="1" applyFont="1" applyBorder="1" applyAlignment="1">
      <alignment horizontal="center"/>
    </xf>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12" xfId="126" applyBorder="1" applyAlignment="1">
      <alignment horizontal="center"/>
    </xf>
    <xf numFmtId="0" fontId="21" fillId="0" borderId="63" xfId="126" applyBorder="1" applyAlignment="1">
      <alignment horizontal="center"/>
    </xf>
    <xf numFmtId="0" fontId="0" fillId="0" borderId="63" xfId="0" applyBorder="1"/>
    <xf numFmtId="0" fontId="0" fillId="0" borderId="13" xfId="0" applyBorder="1"/>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auto="1"/>
      </font>
    </dxf>
  </dxfs>
  <tableStyles count="0" defaultTableStyle="TableStyleMedium9" defaultPivotStyle="PivotStyleLight16"/>
  <colors>
    <mruColors>
      <color rgb="FFFFCCCC"/>
      <color rgb="FFCCFFCC"/>
      <color rgb="FFFFCC99"/>
      <color rgb="FF0000FF"/>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3A63C4C6-2812-459B-9C43-39385AF0A73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58319A8-374F-40E4-A4D1-38589E195EA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CDA1D85-FE2B-419B-B93B-C8B3330E5D5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X27A0T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DD6EFC7-BAAE-41FB-8128-20656ACB69B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2" max="2" width="5.7265625" customWidth="1"/>
    <col min="3" max="3" width="8.453125" customWidth="1"/>
  </cols>
  <sheetData>
    <row r="2" spans="1:14" ht="12" customHeight="1">
      <c r="A2" s="826"/>
      <c r="B2" s="826"/>
      <c r="C2" s="826"/>
      <c r="D2" s="826"/>
      <c r="E2" s="826"/>
      <c r="F2" s="826"/>
      <c r="G2" s="826"/>
      <c r="H2" s="826"/>
      <c r="I2" s="826"/>
      <c r="J2" s="826"/>
      <c r="K2" s="826"/>
    </row>
    <row r="3" spans="1:14" ht="23">
      <c r="A3" s="1104" t="s">
        <v>3082</v>
      </c>
      <c r="B3" s="1104"/>
      <c r="C3" s="1104"/>
      <c r="D3" s="1104"/>
      <c r="E3" s="1104"/>
      <c r="F3" s="1104"/>
      <c r="G3" s="1104"/>
      <c r="H3" s="1104"/>
      <c r="I3" s="1104"/>
      <c r="J3" s="1104"/>
      <c r="K3" s="1104"/>
    </row>
    <row r="4" spans="1:14" ht="12.65" customHeight="1">
      <c r="B4" s="826"/>
      <c r="C4" s="826"/>
      <c r="D4" s="826"/>
      <c r="E4" s="826"/>
      <c r="F4" s="826"/>
      <c r="G4" s="826"/>
      <c r="H4" s="826"/>
      <c r="I4" s="826"/>
    </row>
    <row r="5" spans="1:14" ht="25">
      <c r="A5" s="1105" t="s">
        <v>2929</v>
      </c>
      <c r="B5" s="1105"/>
      <c r="C5" s="1105"/>
      <c r="D5" s="1105"/>
      <c r="E5" s="1105"/>
      <c r="F5" s="1105"/>
      <c r="G5" s="1105"/>
      <c r="H5" s="1105"/>
      <c r="I5" s="1105"/>
      <c r="J5" s="1105"/>
      <c r="K5" s="1105"/>
    </row>
    <row r="6" spans="1:14" ht="12" customHeight="1">
      <c r="D6" s="1"/>
      <c r="K6" s="826"/>
      <c r="L6" s="826"/>
      <c r="M6" s="826"/>
      <c r="N6" s="826"/>
    </row>
    <row r="7" spans="1:14" ht="20">
      <c r="A7" s="1106" t="s">
        <v>2930</v>
      </c>
      <c r="B7" s="1106"/>
      <c r="C7" s="1106"/>
      <c r="D7" s="1106"/>
      <c r="E7" s="1106"/>
      <c r="F7" s="1106"/>
      <c r="G7" s="1106"/>
      <c r="H7" s="1106"/>
      <c r="I7" s="1106"/>
      <c r="J7" s="1106"/>
      <c r="K7" s="1106"/>
    </row>
    <row r="8" spans="1:14" ht="12.65" customHeight="1">
      <c r="D8" s="1028"/>
    </row>
    <row r="9" spans="1:14">
      <c r="C9" s="612"/>
    </row>
    <row r="10" spans="1:14">
      <c r="C10" s="612"/>
    </row>
  </sheetData>
  <mergeCells count="3">
    <mergeCell ref="A3:K3"/>
    <mergeCell ref="A5:K5"/>
    <mergeCell ref="A7:K7"/>
  </mergeCells>
  <pageMargins left="0.7" right="0.7" top="0.75" bottom="0.75" header="0.3" footer="0.3"/>
  <pageSetup scale="89" orientation="portrait" r:id="rId1"/>
  <headerFooter>
    <oddHeader>&amp;C&amp;"Arial,Bold"
&amp;RTO2024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236"/>
  <sheetViews>
    <sheetView zoomScaleNormal="100" zoomScalePageLayoutView="80" workbookViewId="0"/>
  </sheetViews>
  <sheetFormatPr defaultColWidth="8.54296875" defaultRowHeight="12.5"/>
  <cols>
    <col min="1" max="1" width="4.54296875" customWidth="1"/>
    <col min="2" max="2" width="10.54296875" customWidth="1"/>
    <col min="3" max="3" width="13.54296875" customWidth="1"/>
    <col min="4" max="4" width="14.81640625" customWidth="1"/>
    <col min="5" max="6" width="13.54296875" customWidth="1"/>
    <col min="7" max="7" width="14.453125" customWidth="1"/>
    <col min="8" max="12" width="13.54296875" customWidth="1"/>
    <col min="13" max="13" width="15.81640625" customWidth="1"/>
    <col min="14" max="14" width="8.54296875" customWidth="1"/>
  </cols>
  <sheetData>
    <row r="1" spans="1:13" ht="13">
      <c r="A1" s="206" t="s">
        <v>634</v>
      </c>
      <c r="B1" s="116"/>
      <c r="C1" s="116"/>
      <c r="D1" s="116"/>
      <c r="E1" s="116"/>
      <c r="F1" s="116"/>
      <c r="G1" s="116"/>
      <c r="H1" s="116"/>
      <c r="I1" s="254" t="s">
        <v>635</v>
      </c>
      <c r="J1" s="207"/>
      <c r="K1" s="116"/>
      <c r="L1" s="116"/>
    </row>
    <row r="2" spans="1:13" ht="13">
      <c r="A2" s="206"/>
      <c r="B2" s="1" t="s">
        <v>636</v>
      </c>
      <c r="C2" s="116"/>
      <c r="D2" s="116"/>
      <c r="E2" s="254" t="s">
        <v>637</v>
      </c>
      <c r="F2" s="207"/>
      <c r="G2" s="207"/>
      <c r="H2" s="116"/>
      <c r="I2" s="116"/>
      <c r="J2" s="116"/>
      <c r="K2" s="116"/>
      <c r="L2" s="116"/>
    </row>
    <row r="3" spans="1:13" ht="13">
      <c r="A3" s="206"/>
      <c r="B3" s="116"/>
      <c r="C3" s="116"/>
      <c r="D3" s="116"/>
      <c r="E3" s="254" t="s">
        <v>638</v>
      </c>
      <c r="F3" s="207"/>
      <c r="G3" s="207"/>
      <c r="H3" s="116"/>
      <c r="I3" s="116"/>
      <c r="J3" s="116"/>
      <c r="K3" s="116"/>
      <c r="L3" s="116"/>
    </row>
    <row r="4" spans="1:13" ht="13">
      <c r="A4" s="206"/>
      <c r="B4" s="206" t="s">
        <v>639</v>
      </c>
      <c r="C4" s="116"/>
      <c r="D4" s="116"/>
      <c r="E4" s="642"/>
      <c r="F4" s="116"/>
      <c r="G4" s="116"/>
      <c r="H4" s="116"/>
      <c r="I4" s="116"/>
      <c r="J4" s="116"/>
      <c r="K4" s="116"/>
      <c r="L4" s="116"/>
    </row>
    <row r="5" spans="1:13" ht="13">
      <c r="A5" s="206"/>
      <c r="B5" s="206"/>
      <c r="C5" s="116"/>
      <c r="D5" s="116"/>
      <c r="E5" s="116"/>
      <c r="F5" s="116"/>
      <c r="G5" s="116"/>
      <c r="H5" s="116"/>
      <c r="I5" s="116"/>
      <c r="J5" s="116"/>
      <c r="K5" s="116"/>
      <c r="L5" s="116"/>
    </row>
    <row r="6" spans="1:13" ht="13">
      <c r="A6" s="206"/>
      <c r="B6" s="247" t="s">
        <v>640</v>
      </c>
      <c r="C6" s="116"/>
      <c r="D6" s="116"/>
      <c r="E6" s="116"/>
      <c r="F6" s="116"/>
      <c r="G6" s="116"/>
      <c r="H6" s="247"/>
      <c r="I6" s="117" t="s">
        <v>641</v>
      </c>
      <c r="J6" s="500">
        <v>2022</v>
      </c>
      <c r="K6" s="116"/>
      <c r="L6" s="116"/>
    </row>
    <row r="7" spans="1:13" ht="13">
      <c r="A7" s="206"/>
      <c r="B7" s="247"/>
      <c r="C7" s="116"/>
      <c r="D7" s="116"/>
      <c r="E7" s="116"/>
      <c r="F7" s="116"/>
      <c r="G7" s="116"/>
      <c r="H7" s="116"/>
      <c r="I7" s="116"/>
      <c r="J7" s="116"/>
      <c r="K7" s="116"/>
      <c r="L7" s="116"/>
    </row>
    <row r="8" spans="1:13" ht="13">
      <c r="A8" s="206"/>
      <c r="B8" s="48" t="s">
        <v>336</v>
      </c>
      <c r="C8" s="48" t="s">
        <v>337</v>
      </c>
      <c r="D8" s="48" t="s">
        <v>338</v>
      </c>
      <c r="E8" s="48" t="s">
        <v>339</v>
      </c>
      <c r="F8" s="48" t="s">
        <v>340</v>
      </c>
      <c r="G8" s="48" t="s">
        <v>341</v>
      </c>
      <c r="H8" s="48" t="s">
        <v>342</v>
      </c>
      <c r="I8" s="48" t="s">
        <v>343</v>
      </c>
      <c r="J8" s="48" t="s">
        <v>344</v>
      </c>
      <c r="K8" s="48" t="s">
        <v>589</v>
      </c>
      <c r="L8" s="48" t="s">
        <v>590</v>
      </c>
      <c r="M8" s="48" t="s">
        <v>591</v>
      </c>
    </row>
    <row r="9" spans="1:13" ht="13">
      <c r="A9" s="116"/>
      <c r="B9" s="119"/>
      <c r="C9" s="116"/>
      <c r="D9" s="116"/>
      <c r="E9" s="116"/>
      <c r="F9" s="116"/>
      <c r="G9" s="116"/>
      <c r="H9" s="116"/>
      <c r="I9" s="116"/>
      <c r="J9" s="116"/>
      <c r="K9" s="116"/>
      <c r="M9" s="129" t="s">
        <v>642</v>
      </c>
    </row>
    <row r="10" spans="1:13" ht="13">
      <c r="A10" s="116"/>
      <c r="B10" s="2"/>
      <c r="C10" s="48"/>
      <c r="D10" s="48"/>
      <c r="E10" s="116"/>
      <c r="F10" s="116"/>
      <c r="G10" s="116"/>
      <c r="H10" s="116"/>
      <c r="I10" s="116"/>
      <c r="J10" s="116"/>
      <c r="K10" s="116"/>
      <c r="L10" s="116"/>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25" t="s">
        <v>2928</v>
      </c>
      <c r="C12" s="267">
        <v>96071392.775337934</v>
      </c>
      <c r="D12" s="299">
        <v>185859180.63917488</v>
      </c>
      <c r="E12" s="120">
        <v>843791399.84418166</v>
      </c>
      <c r="F12" s="267">
        <v>4116024360.2948809</v>
      </c>
      <c r="G12" s="267">
        <v>2450974770.6782684</v>
      </c>
      <c r="H12" s="267">
        <v>542755367.53663278</v>
      </c>
      <c r="I12" s="267">
        <v>1618978824.7123113</v>
      </c>
      <c r="J12" s="267">
        <v>215308595.58726314</v>
      </c>
      <c r="K12" s="267">
        <v>58752899.030000001</v>
      </c>
      <c r="L12" s="267">
        <v>223182876.32139939</v>
      </c>
      <c r="M12" s="118">
        <f t="shared" ref="M12:M24" si="0">SUM(C12:L12)</f>
        <v>10351699667.419451</v>
      </c>
    </row>
    <row r="13" spans="1:13" ht="13">
      <c r="A13" s="2">
        <f>A12+1</f>
        <v>2</v>
      </c>
      <c r="B13" s="403" t="s">
        <v>2994</v>
      </c>
      <c r="C13" s="118">
        <f>C131+C198 +C12</f>
        <v>96066441.24438785</v>
      </c>
      <c r="D13" s="118">
        <f>D131+D198 +D12</f>
        <v>185860539.92240041</v>
      </c>
      <c r="E13" s="118">
        <f t="shared" ref="E13:L13" si="1">E131+E198 +E12</f>
        <v>846713638.05552161</v>
      </c>
      <c r="F13" s="118">
        <f t="shared" si="1"/>
        <v>4120545332.5556889</v>
      </c>
      <c r="G13" s="118">
        <f t="shared" si="1"/>
        <v>2452380780.711566</v>
      </c>
      <c r="H13" s="118">
        <f t="shared" si="1"/>
        <v>547407091.74472141</v>
      </c>
      <c r="I13" s="118">
        <f t="shared" si="1"/>
        <v>1632877370.9863722</v>
      </c>
      <c r="J13" s="118">
        <f t="shared" si="1"/>
        <v>215308595.58726314</v>
      </c>
      <c r="K13" s="118">
        <f t="shared" si="1"/>
        <v>58752899.030000001</v>
      </c>
      <c r="L13" s="118">
        <f t="shared" si="1"/>
        <v>223416530.22589916</v>
      </c>
      <c r="M13" s="118">
        <f>SUM(C13:L13)</f>
        <v>10379329220.063822</v>
      </c>
    </row>
    <row r="14" spans="1:13" ht="13">
      <c r="A14" s="2">
        <f t="shared" ref="A14:A25" si="2">A13+1</f>
        <v>3</v>
      </c>
      <c r="B14" s="403" t="s">
        <v>2995</v>
      </c>
      <c r="C14" s="118">
        <f>C132+C199 +C13</f>
        <v>96073324.469869107</v>
      </c>
      <c r="D14" s="118">
        <f t="shared" ref="C14:D23" si="3">D132+D199 +D13</f>
        <v>185860220.27297384</v>
      </c>
      <c r="E14" s="118">
        <f t="shared" ref="E14:E23" si="4">E132+E199 +E13</f>
        <v>852271194.30273676</v>
      </c>
      <c r="F14" s="118">
        <f t="shared" ref="F14:F23" si="5">F132+F199 +F13</f>
        <v>4122185304.3241076</v>
      </c>
      <c r="G14" s="118">
        <f t="shared" ref="G14:G23" si="6">G132+G199 +G13</f>
        <v>2465140588.2413816</v>
      </c>
      <c r="H14" s="118">
        <f t="shared" ref="H14:H23" si="7">H132+H199 +H13</f>
        <v>548282189.59091604</v>
      </c>
      <c r="I14" s="118">
        <f t="shared" ref="I14:I23" si="8">I132+I199 +I13</f>
        <v>1648049328.4263735</v>
      </c>
      <c r="J14" s="118">
        <f t="shared" ref="J14:J23" si="9">J132+J199 +J13</f>
        <v>215308595.27381685</v>
      </c>
      <c r="K14" s="118">
        <f t="shared" ref="K14:K23" si="10">K132+K199 +K13</f>
        <v>58752899.030000001</v>
      </c>
      <c r="L14" s="118">
        <f t="shared" ref="L14:L23" si="11">L132+L199 +L13</f>
        <v>225255627.16421616</v>
      </c>
      <c r="M14" s="118">
        <f>SUM(C14:L14)</f>
        <v>10417179271.096392</v>
      </c>
    </row>
    <row r="15" spans="1:13" ht="13">
      <c r="A15" s="2">
        <f t="shared" si="2"/>
        <v>4</v>
      </c>
      <c r="B15" s="403" t="s">
        <v>2996</v>
      </c>
      <c r="C15" s="118">
        <f t="shared" si="3"/>
        <v>93793094.563509583</v>
      </c>
      <c r="D15" s="118">
        <f t="shared" si="3"/>
        <v>185855834.56441355</v>
      </c>
      <c r="E15" s="118">
        <f t="shared" si="4"/>
        <v>856852256.81065941</v>
      </c>
      <c r="F15" s="118">
        <f t="shared" si="5"/>
        <v>4134944661.1874151</v>
      </c>
      <c r="G15" s="118">
        <f t="shared" si="6"/>
        <v>2465150182.8007426</v>
      </c>
      <c r="H15" s="118">
        <f>H133+H200 +H14</f>
        <v>551395199.31791461</v>
      </c>
      <c r="I15" s="118">
        <f t="shared" si="8"/>
        <v>1648854275.4066775</v>
      </c>
      <c r="J15" s="118">
        <f t="shared" si="9"/>
        <v>215308595.27299672</v>
      </c>
      <c r="K15" s="118">
        <f t="shared" si="10"/>
        <v>58752899.030000001</v>
      </c>
      <c r="L15" s="118">
        <f t="shared" si="11"/>
        <v>225289706.48245683</v>
      </c>
      <c r="M15" s="118">
        <f t="shared" si="0"/>
        <v>10436196705.436787</v>
      </c>
    </row>
    <row r="16" spans="1:13" ht="13">
      <c r="A16" s="2">
        <f t="shared" si="2"/>
        <v>5</v>
      </c>
      <c r="B16" s="403" t="s">
        <v>2997</v>
      </c>
      <c r="C16" s="118">
        <f>C134+C201 +C15</f>
        <v>93792976.333509564</v>
      </c>
      <c r="D16" s="118">
        <f t="shared" si="3"/>
        <v>185855910.08114025</v>
      </c>
      <c r="E16" s="118">
        <f t="shared" si="4"/>
        <v>858030576.68675542</v>
      </c>
      <c r="F16" s="118">
        <f t="shared" si="5"/>
        <v>4145968599.5444717</v>
      </c>
      <c r="G16" s="118">
        <f t="shared" si="6"/>
        <v>2468540438.7206059</v>
      </c>
      <c r="H16" s="118">
        <f t="shared" si="7"/>
        <v>554151328.0773896</v>
      </c>
      <c r="I16" s="118">
        <f t="shared" si="8"/>
        <v>1653311295.0114465</v>
      </c>
      <c r="J16" s="118">
        <f t="shared" si="9"/>
        <v>215308595.27299672</v>
      </c>
      <c r="K16" s="118">
        <f t="shared" si="10"/>
        <v>58752899.030000001</v>
      </c>
      <c r="L16" s="118">
        <f t="shared" si="11"/>
        <v>225639563.36698222</v>
      </c>
      <c r="M16" s="118">
        <f t="shared" si="0"/>
        <v>10459352182.125298</v>
      </c>
    </row>
    <row r="17" spans="1:13" ht="13">
      <c r="A17" s="2">
        <f t="shared" si="2"/>
        <v>6</v>
      </c>
      <c r="B17" s="403" t="s">
        <v>2998</v>
      </c>
      <c r="C17" s="118">
        <f t="shared" si="3"/>
        <v>93791509.477729455</v>
      </c>
      <c r="D17" s="118">
        <f t="shared" si="3"/>
        <v>185852875.54184806</v>
      </c>
      <c r="E17" s="118">
        <f t="shared" si="4"/>
        <v>899184589.44276106</v>
      </c>
      <c r="F17" s="118">
        <f t="shared" si="5"/>
        <v>4341212834.4130344</v>
      </c>
      <c r="G17" s="118">
        <f t="shared" si="6"/>
        <v>2480506557.3620992</v>
      </c>
      <c r="H17" s="118">
        <f t="shared" si="7"/>
        <v>560811462.25260937</v>
      </c>
      <c r="I17" s="118">
        <f t="shared" si="8"/>
        <v>1683219185.4395628</v>
      </c>
      <c r="J17" s="118">
        <f t="shared" si="9"/>
        <v>215308561.48336926</v>
      </c>
      <c r="K17" s="118">
        <f t="shared" si="10"/>
        <v>58752899.030000001</v>
      </c>
      <c r="L17" s="118">
        <f t="shared" si="11"/>
        <v>225962686.60063341</v>
      </c>
      <c r="M17" s="118">
        <f t="shared" si="0"/>
        <v>10744603161.04365</v>
      </c>
    </row>
    <row r="18" spans="1:13" ht="13">
      <c r="A18" s="2">
        <f t="shared" si="2"/>
        <v>7</v>
      </c>
      <c r="B18" s="403" t="s">
        <v>2999</v>
      </c>
      <c r="C18" s="118">
        <f t="shared" si="3"/>
        <v>93799815.877729431</v>
      </c>
      <c r="D18" s="118">
        <f t="shared" si="3"/>
        <v>185849747.68266439</v>
      </c>
      <c r="E18" s="118">
        <f t="shared" si="4"/>
        <v>900898942.58930111</v>
      </c>
      <c r="F18" s="118">
        <f t="shared" si="5"/>
        <v>4370189506.5054617</v>
      </c>
      <c r="G18" s="118">
        <f t="shared" si="6"/>
        <v>2483051262.9014902</v>
      </c>
      <c r="H18" s="118">
        <f t="shared" si="7"/>
        <v>563782691.26731694</v>
      </c>
      <c r="I18" s="118">
        <f t="shared" si="8"/>
        <v>1691423580.9334681</v>
      </c>
      <c r="J18" s="118">
        <f t="shared" si="9"/>
        <v>215308562.15385708</v>
      </c>
      <c r="K18" s="118">
        <f t="shared" si="10"/>
        <v>58752899.030000001</v>
      </c>
      <c r="L18" s="118">
        <f t="shared" si="11"/>
        <v>226148258.66654432</v>
      </c>
      <c r="M18" s="118">
        <f t="shared" si="0"/>
        <v>10789205267.607834</v>
      </c>
    </row>
    <row r="19" spans="1:13" ht="13">
      <c r="A19" s="2">
        <f t="shared" si="2"/>
        <v>8</v>
      </c>
      <c r="B19" s="403" t="s">
        <v>3000</v>
      </c>
      <c r="C19" s="118">
        <f t="shared" si="3"/>
        <v>93802968.10772945</v>
      </c>
      <c r="D19" s="118">
        <f t="shared" si="3"/>
        <v>186931334.05351663</v>
      </c>
      <c r="E19" s="118">
        <f t="shared" si="4"/>
        <v>901570280.97091401</v>
      </c>
      <c r="F19" s="118">
        <f t="shared" si="5"/>
        <v>4383284853.3682022</v>
      </c>
      <c r="G19" s="118">
        <f t="shared" si="6"/>
        <v>2483069115.2510409</v>
      </c>
      <c r="H19" s="118">
        <f t="shared" si="7"/>
        <v>608203697.73021948</v>
      </c>
      <c r="I19" s="118">
        <f t="shared" si="8"/>
        <v>1704266278.5229366</v>
      </c>
      <c r="J19" s="118">
        <f t="shared" si="9"/>
        <v>215308562.01997682</v>
      </c>
      <c r="K19" s="118">
        <f t="shared" si="10"/>
        <v>58752899.030000001</v>
      </c>
      <c r="L19" s="118">
        <f t="shared" si="11"/>
        <v>226238592.13837117</v>
      </c>
      <c r="M19" s="118">
        <f t="shared" si="0"/>
        <v>10861428581.192907</v>
      </c>
    </row>
    <row r="20" spans="1:13" ht="13">
      <c r="A20" s="2">
        <f t="shared" si="2"/>
        <v>9</v>
      </c>
      <c r="B20" s="403" t="s">
        <v>3001</v>
      </c>
      <c r="C20" s="118">
        <f t="shared" si="3"/>
        <v>93802415.253996804</v>
      </c>
      <c r="D20" s="118">
        <f t="shared" si="3"/>
        <v>186728397.86057207</v>
      </c>
      <c r="E20" s="118">
        <f t="shared" si="4"/>
        <v>897037138.03957915</v>
      </c>
      <c r="F20" s="118">
        <f t="shared" si="5"/>
        <v>4382722362.5150013</v>
      </c>
      <c r="G20" s="118">
        <f t="shared" si="6"/>
        <v>2489340113.9370947</v>
      </c>
      <c r="H20" s="118">
        <f t="shared" si="7"/>
        <v>612844466.61865699</v>
      </c>
      <c r="I20" s="118">
        <f t="shared" si="8"/>
        <v>1700632305.7048156</v>
      </c>
      <c r="J20" s="118">
        <f t="shared" si="9"/>
        <v>215308562.5900732</v>
      </c>
      <c r="K20" s="118">
        <f t="shared" si="10"/>
        <v>58752899.030000001</v>
      </c>
      <c r="L20" s="118">
        <f t="shared" si="11"/>
        <v>226300834.8999767</v>
      </c>
      <c r="M20" s="118">
        <f t="shared" si="0"/>
        <v>10863469496.449766</v>
      </c>
    </row>
    <row r="21" spans="1:13" ht="13">
      <c r="A21" s="2">
        <f t="shared" si="2"/>
        <v>10</v>
      </c>
      <c r="B21" s="403" t="s">
        <v>3002</v>
      </c>
      <c r="C21" s="118">
        <f t="shared" si="3"/>
        <v>93798056.134878367</v>
      </c>
      <c r="D21" s="118">
        <f t="shared" si="3"/>
        <v>186670307.74873558</v>
      </c>
      <c r="E21" s="118">
        <f t="shared" si="4"/>
        <v>899705107.10505545</v>
      </c>
      <c r="F21" s="118">
        <f t="shared" si="5"/>
        <v>4392240468.6013336</v>
      </c>
      <c r="G21" s="118">
        <f t="shared" si="6"/>
        <v>2494006442.4115043</v>
      </c>
      <c r="H21" s="118">
        <f t="shared" si="7"/>
        <v>618144764.42954874</v>
      </c>
      <c r="I21" s="118">
        <f t="shared" si="8"/>
        <v>1692516456.3085649</v>
      </c>
      <c r="J21" s="118">
        <f t="shared" si="9"/>
        <v>215308562.58736968</v>
      </c>
      <c r="K21" s="118">
        <f t="shared" si="10"/>
        <v>58752899.030000001</v>
      </c>
      <c r="L21" s="118">
        <f t="shared" si="11"/>
        <v>226316748.77067551</v>
      </c>
      <c r="M21" s="118">
        <f t="shared" si="0"/>
        <v>10877459813.127666</v>
      </c>
    </row>
    <row r="22" spans="1:13" ht="13">
      <c r="A22" s="2">
        <f t="shared" si="2"/>
        <v>11</v>
      </c>
      <c r="B22" s="403" t="s">
        <v>3003</v>
      </c>
      <c r="C22" s="118">
        <f t="shared" si="3"/>
        <v>93798056.134878367</v>
      </c>
      <c r="D22" s="118">
        <f t="shared" si="3"/>
        <v>186656344.86548528</v>
      </c>
      <c r="E22" s="118">
        <f t="shared" si="4"/>
        <v>902508000.55201578</v>
      </c>
      <c r="F22" s="118">
        <f t="shared" si="5"/>
        <v>4395950220.366003</v>
      </c>
      <c r="G22" s="118">
        <f t="shared" si="6"/>
        <v>2497023436.0647597</v>
      </c>
      <c r="H22" s="118">
        <f t="shared" si="7"/>
        <v>623742397.4927665</v>
      </c>
      <c r="I22" s="118">
        <f t="shared" si="8"/>
        <v>1690542436.7478249</v>
      </c>
      <c r="J22" s="118">
        <f t="shared" si="9"/>
        <v>215308516.1251646</v>
      </c>
      <c r="K22" s="118">
        <f t="shared" si="10"/>
        <v>58752899.030000001</v>
      </c>
      <c r="L22" s="118">
        <f t="shared" si="11"/>
        <v>226322439.92241424</v>
      </c>
      <c r="M22" s="118">
        <f t="shared" si="0"/>
        <v>10890604747.301315</v>
      </c>
    </row>
    <row r="23" spans="1:13" ht="13">
      <c r="A23" s="2">
        <f t="shared" si="2"/>
        <v>12</v>
      </c>
      <c r="B23" s="403" t="s">
        <v>3004</v>
      </c>
      <c r="C23" s="118">
        <f t="shared" si="3"/>
        <v>91353957.071345523</v>
      </c>
      <c r="D23" s="118">
        <f t="shared" si="3"/>
        <v>186644459.93684423</v>
      </c>
      <c r="E23" s="118">
        <f t="shared" si="4"/>
        <v>903426165.41126466</v>
      </c>
      <c r="F23" s="118">
        <f t="shared" si="5"/>
        <v>4399975998.9550848</v>
      </c>
      <c r="G23" s="118">
        <f t="shared" si="6"/>
        <v>2498843720.3471794</v>
      </c>
      <c r="H23" s="118">
        <f t="shared" si="7"/>
        <v>627331401.92318451</v>
      </c>
      <c r="I23" s="118">
        <f t="shared" si="8"/>
        <v>1691375631.4064038</v>
      </c>
      <c r="J23" s="118">
        <f t="shared" si="9"/>
        <v>215308516.06187266</v>
      </c>
      <c r="K23" s="118">
        <f t="shared" si="10"/>
        <v>58752899.030000001</v>
      </c>
      <c r="L23" s="118">
        <f t="shared" si="11"/>
        <v>226329081.47001398</v>
      </c>
      <c r="M23" s="118">
        <f t="shared" si="0"/>
        <v>10899341831.613195</v>
      </c>
    </row>
    <row r="24" spans="1:13" ht="13">
      <c r="A24" s="2">
        <f t="shared" si="2"/>
        <v>13</v>
      </c>
      <c r="B24" s="403" t="s">
        <v>3005</v>
      </c>
      <c r="C24" s="61">
        <v>91354351.12134552</v>
      </c>
      <c r="D24" s="61">
        <v>186649854.17376119</v>
      </c>
      <c r="E24" s="189">
        <f>'7-PlantStudy'!E10</f>
        <v>905947635.00622153</v>
      </c>
      <c r="F24" s="189">
        <f>'7-PlantStudy'!E11</f>
        <v>4413849878.1680889</v>
      </c>
      <c r="G24" s="189">
        <f>'7-PlantStudy'!E20</f>
        <v>2498952320.5850968</v>
      </c>
      <c r="H24" s="189">
        <f>'7-PlantStudy'!E21</f>
        <v>632230698.139871</v>
      </c>
      <c r="I24" s="189">
        <f>'7-PlantStudy'!E22</f>
        <v>1693990750.0441651</v>
      </c>
      <c r="J24" s="189">
        <f>'7-PlantStudy'!E23</f>
        <v>215308526.7923716</v>
      </c>
      <c r="K24" s="189">
        <f>'7-PlantStudy'!E24</f>
        <v>58752899.030000001</v>
      </c>
      <c r="L24" s="189">
        <f>'7-PlantStudy'!E25</f>
        <v>226348866.10201344</v>
      </c>
      <c r="M24" s="189">
        <f t="shared" si="0"/>
        <v>10923385779.162935</v>
      </c>
    </row>
    <row r="25" spans="1:13" ht="13">
      <c r="A25" s="2">
        <f t="shared" si="2"/>
        <v>14</v>
      </c>
      <c r="B25" s="583" t="s">
        <v>644</v>
      </c>
      <c r="C25" s="118">
        <f>AVERAGE(C12:C24)</f>
        <v>93946027.582019001</v>
      </c>
      <c r="D25" s="118">
        <f t="shared" ref="D25:M25" si="12">AVERAGE(D12:D24)</f>
        <v>186251923.64181006</v>
      </c>
      <c r="E25" s="118">
        <f t="shared" si="12"/>
        <v>882148994.21668983</v>
      </c>
      <c r="F25" s="118">
        <f t="shared" si="12"/>
        <v>4286084183.1383672</v>
      </c>
      <c r="G25" s="118">
        <f t="shared" si="12"/>
        <v>2478998440.7702174</v>
      </c>
      <c r="H25" s="118">
        <f t="shared" si="12"/>
        <v>583929442.77859592</v>
      </c>
      <c r="I25" s="118">
        <f t="shared" si="12"/>
        <v>1673079824.5885324</v>
      </c>
      <c r="J25" s="118">
        <f t="shared" si="12"/>
        <v>215308565.13910702</v>
      </c>
      <c r="K25" s="118">
        <f t="shared" si="12"/>
        <v>58752899.029999979</v>
      </c>
      <c r="L25" s="118">
        <f t="shared" si="12"/>
        <v>225596293.24089205</v>
      </c>
      <c r="M25" s="118">
        <f t="shared" si="12"/>
        <v>10684096594.126232</v>
      </c>
    </row>
    <row r="26" spans="1:13">
      <c r="A26" s="247"/>
      <c r="B26" s="247"/>
      <c r="C26" s="247"/>
      <c r="D26" s="247"/>
      <c r="E26" s="247"/>
      <c r="F26" s="247"/>
      <c r="G26" s="247"/>
      <c r="H26" s="247"/>
      <c r="I26" s="247"/>
      <c r="J26" s="247"/>
      <c r="K26" s="247"/>
      <c r="L26" s="247"/>
    </row>
    <row r="27" spans="1:13" ht="13">
      <c r="A27" s="247"/>
      <c r="B27" s="206" t="s">
        <v>645</v>
      </c>
      <c r="C27" s="247"/>
      <c r="D27" s="247"/>
      <c r="E27" s="247"/>
      <c r="F27" s="247"/>
      <c r="G27" s="247"/>
      <c r="H27" s="247"/>
      <c r="I27" s="247"/>
      <c r="J27" s="247"/>
      <c r="K27" s="247"/>
      <c r="L27" s="247"/>
    </row>
    <row r="28" spans="1:13" ht="13">
      <c r="A28" s="247"/>
      <c r="B28" s="206"/>
      <c r="C28" s="247"/>
      <c r="D28" s="247"/>
      <c r="E28" s="247"/>
      <c r="F28" s="247"/>
      <c r="G28" s="247"/>
      <c r="H28" s="247"/>
      <c r="I28" s="247"/>
      <c r="J28" s="247"/>
      <c r="K28" s="247"/>
      <c r="L28" s="247"/>
    </row>
    <row r="29" spans="1:13">
      <c r="A29" s="247"/>
      <c r="B29" s="116" t="s">
        <v>646</v>
      </c>
      <c r="C29" s="247"/>
      <c r="D29" s="247"/>
      <c r="E29" s="247"/>
      <c r="F29" s="247"/>
      <c r="G29" s="247"/>
      <c r="H29" s="247"/>
      <c r="I29" s="247"/>
      <c r="J29" s="247"/>
      <c r="K29" s="247"/>
      <c r="L29" s="247"/>
    </row>
    <row r="30" spans="1:13" ht="13">
      <c r="A30" s="247"/>
      <c r="B30" s="206"/>
      <c r="C30" s="247"/>
      <c r="D30" s="247"/>
      <c r="E30" s="247"/>
      <c r="F30" s="247"/>
      <c r="G30" s="247"/>
      <c r="H30" s="247"/>
      <c r="I30" s="247"/>
      <c r="J30" s="247"/>
      <c r="K30" s="247"/>
      <c r="L30" s="247"/>
    </row>
    <row r="31" spans="1:13" ht="13">
      <c r="A31" s="206"/>
      <c r="B31" s="48" t="s">
        <v>336</v>
      </c>
      <c r="C31" s="48" t="s">
        <v>337</v>
      </c>
      <c r="D31" s="48" t="s">
        <v>338</v>
      </c>
      <c r="E31" s="48" t="s">
        <v>339</v>
      </c>
      <c r="F31" s="48" t="s">
        <v>340</v>
      </c>
      <c r="G31" s="247"/>
      <c r="H31" s="247"/>
      <c r="I31" s="247"/>
      <c r="J31" s="247"/>
      <c r="K31" s="247"/>
      <c r="L31" s="247"/>
    </row>
    <row r="32" spans="1:13">
      <c r="A32" s="116"/>
      <c r="B32" s="129"/>
      <c r="C32" s="116"/>
      <c r="D32" s="116"/>
      <c r="E32" s="116"/>
      <c r="F32" s="129" t="s">
        <v>647</v>
      </c>
      <c r="G32" s="247"/>
      <c r="H32" s="247"/>
      <c r="K32" s="247"/>
      <c r="L32" s="247"/>
    </row>
    <row r="33" spans="1:12" ht="13">
      <c r="A33" s="116"/>
      <c r="B33" s="2"/>
      <c r="C33" s="48"/>
      <c r="D33" s="48"/>
      <c r="E33" s="116"/>
      <c r="F33" s="116"/>
      <c r="G33" s="247"/>
      <c r="H33" s="247"/>
      <c r="K33" s="247"/>
      <c r="L33" s="247"/>
    </row>
    <row r="34" spans="1:12" ht="12.75" customHeight="1">
      <c r="A34" s="30" t="s">
        <v>273</v>
      </c>
      <c r="B34" s="3" t="s">
        <v>643</v>
      </c>
      <c r="C34" s="190">
        <v>360</v>
      </c>
      <c r="D34" s="190">
        <v>361</v>
      </c>
      <c r="E34" s="190">
        <v>362</v>
      </c>
      <c r="F34" s="3" t="s">
        <v>249</v>
      </c>
      <c r="G34" s="247"/>
      <c r="H34" s="247"/>
      <c r="K34" s="247"/>
      <c r="L34" s="247"/>
    </row>
    <row r="35" spans="1:12" ht="12.75" customHeight="1">
      <c r="A35" s="2">
        <f>A25+1</f>
        <v>15</v>
      </c>
      <c r="B35" s="403" t="s">
        <v>2928</v>
      </c>
      <c r="C35" s="120">
        <v>0</v>
      </c>
      <c r="D35" s="120">
        <v>0</v>
      </c>
      <c r="E35" s="120">
        <v>0</v>
      </c>
      <c r="F35" s="118">
        <f>SUM(C35:E35)</f>
        <v>0</v>
      </c>
      <c r="G35" s="247"/>
      <c r="H35" s="247"/>
      <c r="K35" s="247"/>
      <c r="L35" s="247"/>
    </row>
    <row r="36" spans="1:12" ht="12.75" customHeight="1">
      <c r="A36" s="2">
        <f>A35+1</f>
        <v>16</v>
      </c>
      <c r="B36" s="403" t="s">
        <v>3005</v>
      </c>
      <c r="C36" s="208">
        <v>0</v>
      </c>
      <c r="D36" s="208">
        <v>0</v>
      </c>
      <c r="E36" s="208">
        <v>0</v>
      </c>
      <c r="F36" s="189">
        <f>SUM(C36:E36)</f>
        <v>0</v>
      </c>
      <c r="G36" s="247"/>
      <c r="H36" s="247"/>
      <c r="K36" s="247"/>
      <c r="L36" s="247"/>
    </row>
    <row r="37" spans="1:12" ht="12.75" customHeight="1">
      <c r="A37" s="2">
        <f>A36+1</f>
        <v>17</v>
      </c>
      <c r="B37" s="583" t="s">
        <v>648</v>
      </c>
      <c r="C37" s="118">
        <f>AVERAGE(C35:C36)</f>
        <v>0</v>
      </c>
      <c r="D37" s="118">
        <f>AVERAGE(D35:D36)</f>
        <v>0</v>
      </c>
      <c r="E37" s="118">
        <f>AVERAGE(E35:E36)</f>
        <v>0</v>
      </c>
      <c r="F37" s="118">
        <f>AVERAGE(F35:F36)</f>
        <v>0</v>
      </c>
      <c r="G37" s="247"/>
      <c r="H37" s="247"/>
      <c r="K37" s="247"/>
      <c r="L37" s="247"/>
    </row>
    <row r="38" spans="1:12" ht="12.75" customHeight="1">
      <c r="A38" s="247"/>
      <c r="B38" s="247"/>
      <c r="C38" s="247"/>
      <c r="D38" s="247"/>
      <c r="E38" s="247"/>
      <c r="F38" s="247"/>
      <c r="G38" s="247"/>
      <c r="H38" s="247"/>
      <c r="K38" s="247"/>
      <c r="L38" s="247"/>
    </row>
    <row r="39" spans="1:12" ht="13">
      <c r="A39" s="247"/>
      <c r="B39" s="1" t="s">
        <v>649</v>
      </c>
      <c r="C39" s="350"/>
      <c r="D39" s="350"/>
      <c r="E39" s="327"/>
      <c r="F39" s="584"/>
      <c r="G39" s="585"/>
      <c r="H39" s="247"/>
      <c r="K39" s="247"/>
      <c r="L39" s="247"/>
    </row>
    <row r="40" spans="1:12" ht="13">
      <c r="A40" s="247"/>
      <c r="B40" s="247" t="s">
        <v>650</v>
      </c>
      <c r="C40" s="350"/>
      <c r="D40" s="350"/>
      <c r="E40" s="327"/>
      <c r="F40" s="584"/>
      <c r="G40" s="585"/>
      <c r="H40" s="247"/>
      <c r="K40" s="247"/>
      <c r="L40" s="247"/>
    </row>
    <row r="41" spans="1:12" ht="13">
      <c r="A41" s="247"/>
      <c r="B41" s="247"/>
      <c r="C41" s="350"/>
      <c r="D41" s="350"/>
      <c r="E41" s="327"/>
      <c r="F41" s="584"/>
      <c r="G41" s="585"/>
      <c r="H41" s="247"/>
      <c r="K41" s="247"/>
      <c r="L41" s="247"/>
    </row>
    <row r="42" spans="1:12" ht="13">
      <c r="A42" s="247"/>
      <c r="B42" s="247"/>
      <c r="C42" s="350"/>
      <c r="D42" s="586" t="s">
        <v>79</v>
      </c>
      <c r="E42" s="344" t="s">
        <v>651</v>
      </c>
      <c r="F42" s="584"/>
      <c r="G42" s="585"/>
      <c r="H42" s="247"/>
      <c r="K42" s="247"/>
      <c r="L42" s="247"/>
    </row>
    <row r="43" spans="1:12" ht="13">
      <c r="A43" s="2">
        <f>A37+1</f>
        <v>18</v>
      </c>
      <c r="B43" s="247"/>
      <c r="C43" s="327" t="s">
        <v>652</v>
      </c>
      <c r="D43" s="584">
        <f>M25+F37</f>
        <v>10684096594.126232</v>
      </c>
      <c r="E43" s="587" t="str">
        <f>"Sum of Line "&amp;A25&amp;", "&amp;M8&amp;" and Line "&amp;A37&amp;", "&amp;F31&amp;""</f>
        <v>Sum of Line 14, Col 12 and Line 17, Col 5</v>
      </c>
      <c r="F43" s="247"/>
      <c r="G43" s="247"/>
      <c r="H43" s="247"/>
      <c r="K43" s="247"/>
      <c r="L43" s="247"/>
    </row>
    <row r="44" spans="1:12" ht="13">
      <c r="A44" s="2">
        <f>A43+1</f>
        <v>19</v>
      </c>
      <c r="B44" s="247"/>
      <c r="C44" s="327" t="s">
        <v>653</v>
      </c>
      <c r="D44" s="584">
        <f>M24+F36</f>
        <v>10923385779.162935</v>
      </c>
      <c r="E44" s="587" t="str">
        <f>"Sum of Line "&amp;A24&amp;", "&amp;M8&amp;" and Line "&amp;A36&amp;", "&amp;F31&amp;""</f>
        <v>Sum of Line 13, Col 12 and Line 16, Col 5</v>
      </c>
      <c r="F44" s="247"/>
      <c r="G44" s="247"/>
      <c r="H44" s="247"/>
      <c r="I44" s="247"/>
      <c r="J44" s="247"/>
      <c r="K44" s="247"/>
      <c r="L44" s="247"/>
    </row>
    <row r="45" spans="1:12" ht="13">
      <c r="A45" s="247"/>
      <c r="B45" s="247"/>
      <c r="C45" s="350"/>
      <c r="D45" s="350"/>
      <c r="E45" s="319"/>
      <c r="F45" s="588"/>
      <c r="G45" s="589"/>
      <c r="H45" s="247"/>
      <c r="I45" s="247"/>
      <c r="J45" s="247"/>
      <c r="K45" s="247"/>
      <c r="L45" s="247"/>
    </row>
    <row r="46" spans="1:12" ht="13">
      <c r="A46" s="247"/>
      <c r="B46" s="1" t="s">
        <v>654</v>
      </c>
      <c r="C46" s="247"/>
      <c r="D46" s="247"/>
      <c r="E46" s="319"/>
      <c r="F46" s="588"/>
      <c r="G46" s="589"/>
      <c r="H46" s="247"/>
      <c r="I46" s="247"/>
      <c r="J46" s="247"/>
      <c r="K46" s="247"/>
      <c r="L46" s="247"/>
    </row>
    <row r="47" spans="1:12">
      <c r="A47" s="247"/>
      <c r="B47" s="246" t="s">
        <v>655</v>
      </c>
      <c r="C47" s="247"/>
      <c r="D47" s="247"/>
      <c r="E47" s="319"/>
      <c r="F47" s="588"/>
      <c r="G47" s="589"/>
      <c r="H47" s="247"/>
      <c r="I47" s="247"/>
      <c r="J47" s="247"/>
      <c r="K47" s="247"/>
      <c r="L47" s="247"/>
    </row>
    <row r="48" spans="1:12" ht="12.75" customHeight="1">
      <c r="A48" s="247"/>
      <c r="B48" s="246"/>
      <c r="C48" s="247"/>
      <c r="D48" s="247"/>
      <c r="E48" s="319"/>
      <c r="F48" s="588"/>
      <c r="G48" s="589"/>
      <c r="H48" s="247"/>
      <c r="I48" s="247"/>
      <c r="J48" s="247"/>
      <c r="K48" s="247"/>
      <c r="L48" s="247"/>
    </row>
    <row r="49" spans="1:12" ht="13">
      <c r="A49" s="247"/>
      <c r="B49" s="1"/>
      <c r="C49" s="129" t="s">
        <v>144</v>
      </c>
      <c r="D49" s="247"/>
      <c r="E49" s="319"/>
      <c r="F49" s="48" t="s">
        <v>336</v>
      </c>
      <c r="G49" s="48" t="s">
        <v>337</v>
      </c>
      <c r="H49" s="48" t="s">
        <v>338</v>
      </c>
      <c r="I49" s="247"/>
      <c r="J49" s="247"/>
      <c r="K49" s="247"/>
      <c r="L49" s="247"/>
    </row>
    <row r="50" spans="1:12" ht="13">
      <c r="A50" s="247"/>
      <c r="B50" s="1"/>
      <c r="C50" s="2" t="s">
        <v>414</v>
      </c>
      <c r="D50" s="319"/>
      <c r="F50" s="2" t="s">
        <v>656</v>
      </c>
      <c r="G50" s="2" t="s">
        <v>657</v>
      </c>
      <c r="H50" s="578" t="s">
        <v>249</v>
      </c>
      <c r="I50" s="589"/>
      <c r="J50" s="247"/>
      <c r="K50" s="247"/>
      <c r="L50" s="247"/>
    </row>
    <row r="51" spans="1:12" ht="13">
      <c r="A51" s="247"/>
      <c r="B51" s="247"/>
      <c r="C51" s="2" t="s">
        <v>372</v>
      </c>
      <c r="D51" s="326" t="s">
        <v>658</v>
      </c>
      <c r="F51" s="326" t="s">
        <v>659</v>
      </c>
      <c r="G51" s="326" t="s">
        <v>659</v>
      </c>
      <c r="H51" s="326" t="s">
        <v>660</v>
      </c>
      <c r="I51" s="326"/>
      <c r="J51" s="247"/>
      <c r="K51" s="247"/>
      <c r="L51" s="247"/>
    </row>
    <row r="52" spans="1:12" ht="13">
      <c r="A52" s="247"/>
      <c r="B52" s="247"/>
      <c r="C52" s="3" t="s">
        <v>371</v>
      </c>
      <c r="D52" s="344" t="s">
        <v>651</v>
      </c>
      <c r="F52" s="344" t="s">
        <v>661</v>
      </c>
      <c r="G52" s="344" t="s">
        <v>661</v>
      </c>
      <c r="H52" s="344" t="s">
        <v>661</v>
      </c>
      <c r="I52" s="344" t="s">
        <v>100</v>
      </c>
      <c r="J52" s="247"/>
      <c r="K52" s="247"/>
      <c r="L52" s="247"/>
    </row>
    <row r="53" spans="1:12" ht="13">
      <c r="A53" s="2">
        <f>A44+1</f>
        <v>20</v>
      </c>
      <c r="B53" s="247"/>
      <c r="C53" s="319" t="s">
        <v>379</v>
      </c>
      <c r="D53" s="577" t="s">
        <v>662</v>
      </c>
      <c r="F53" s="59">
        <v>3679239676</v>
      </c>
      <c r="G53" s="267">
        <v>2361375916</v>
      </c>
      <c r="H53" s="584">
        <f>SUM(F53:G53)</f>
        <v>6040615592</v>
      </c>
      <c r="I53" s="577" t="s">
        <v>663</v>
      </c>
      <c r="J53" s="247"/>
      <c r="K53" s="247"/>
      <c r="L53" s="247"/>
    </row>
    <row r="54" spans="1:12" ht="12.75" customHeight="1">
      <c r="A54" s="2">
        <f>A53+1</f>
        <v>21</v>
      </c>
      <c r="B54" s="247"/>
      <c r="C54" s="345" t="s">
        <v>379</v>
      </c>
      <c r="D54" s="577" t="s">
        <v>664</v>
      </c>
      <c r="F54" s="59">
        <v>3718298393</v>
      </c>
      <c r="G54" s="267">
        <v>2365764059</v>
      </c>
      <c r="H54" s="584">
        <f>SUM(F54:G54)</f>
        <v>6084062452</v>
      </c>
      <c r="I54" s="246" t="s">
        <v>665</v>
      </c>
      <c r="J54" s="247"/>
      <c r="K54" s="247"/>
      <c r="L54" s="247"/>
    </row>
    <row r="55" spans="1:12" ht="12.75" customHeight="1">
      <c r="A55" s="247"/>
      <c r="B55" s="247"/>
      <c r="C55" s="345"/>
      <c r="D55" s="590"/>
      <c r="E55" s="591"/>
      <c r="F55" s="584"/>
      <c r="G55" s="246"/>
      <c r="H55" s="247"/>
      <c r="I55" s="247"/>
      <c r="J55" s="247"/>
      <c r="K55" s="247"/>
      <c r="L55" s="247"/>
    </row>
    <row r="56" spans="1:12" ht="12.75" customHeight="1">
      <c r="A56" s="247"/>
      <c r="B56" s="247"/>
      <c r="C56" s="350" t="s">
        <v>666</v>
      </c>
      <c r="D56" s="350"/>
      <c r="E56" s="319"/>
      <c r="F56" s="344" t="s">
        <v>79</v>
      </c>
      <c r="G56" s="592" t="s">
        <v>651</v>
      </c>
      <c r="H56" s="247"/>
      <c r="I56" s="247"/>
      <c r="J56" s="247"/>
      <c r="K56" s="247"/>
      <c r="L56" s="247"/>
    </row>
    <row r="57" spans="1:12" ht="13">
      <c r="A57" s="2">
        <f>A54+1</f>
        <v>22</v>
      </c>
      <c r="B57" s="247"/>
      <c r="C57" s="350"/>
      <c r="D57" s="350"/>
      <c r="E57" s="327" t="s">
        <v>667</v>
      </c>
      <c r="F57" s="584">
        <f>(H53+H54)/2</f>
        <v>6062339022</v>
      </c>
      <c r="G57" s="271" t="str">
        <f>"Average of Line "&amp;A53&amp;" and "&amp;A54&amp;"."</f>
        <v>Average of Line 20 and 21.</v>
      </c>
      <c r="H57" s="247"/>
      <c r="I57" s="247"/>
      <c r="J57" s="247"/>
      <c r="K57" s="247"/>
      <c r="L57" s="247"/>
    </row>
    <row r="58" spans="1:12" ht="13">
      <c r="A58" s="2">
        <f>A57+1</f>
        <v>23</v>
      </c>
      <c r="B58" s="247"/>
      <c r="C58" s="350"/>
      <c r="D58" s="350"/>
      <c r="E58" s="327" t="s">
        <v>668</v>
      </c>
      <c r="F58" s="593">
        <f>'27-Allocators'!G15</f>
        <v>5.9842511582503061E-2</v>
      </c>
      <c r="G58" s="271" t="str">
        <f>"27-Allocators, Line "&amp;'27-Allocators'!A15&amp;""</f>
        <v>27-Allocators, Line 9</v>
      </c>
      <c r="H58" s="247"/>
      <c r="I58" s="247"/>
      <c r="J58" s="247"/>
      <c r="K58" s="247"/>
      <c r="L58" s="247"/>
    </row>
    <row r="59" spans="1:12" ht="13">
      <c r="A59" s="2">
        <f>A58+1</f>
        <v>24</v>
      </c>
      <c r="B59" s="247"/>
      <c r="C59" s="350"/>
      <c r="D59" s="350"/>
      <c r="E59" s="327" t="s">
        <v>669</v>
      </c>
      <c r="F59" s="584">
        <f>F57*F58</f>
        <v>362785593.14109528</v>
      </c>
      <c r="G59" s="271" t="str">
        <f>"Line "&amp;A57&amp;" * Line "&amp;A58&amp;"."</f>
        <v>Line 22 * Line 23.</v>
      </c>
      <c r="H59" s="247"/>
      <c r="I59" s="247"/>
      <c r="J59" s="247"/>
      <c r="K59" s="247"/>
      <c r="L59" s="247"/>
    </row>
    <row r="60" spans="1:12" ht="13">
      <c r="A60" s="247"/>
      <c r="B60" s="247"/>
      <c r="C60" s="350"/>
      <c r="D60" s="350"/>
      <c r="E60" s="327"/>
      <c r="F60" s="584"/>
      <c r="G60" s="585"/>
      <c r="H60" s="247"/>
      <c r="I60" s="247"/>
      <c r="J60" s="247"/>
      <c r="K60" s="247"/>
      <c r="L60" s="247"/>
    </row>
    <row r="61" spans="1:12" ht="13">
      <c r="A61" s="247"/>
      <c r="B61" s="247"/>
      <c r="C61" s="350" t="s">
        <v>670</v>
      </c>
      <c r="D61" s="350"/>
      <c r="E61" s="319"/>
      <c r="F61" s="344" t="s">
        <v>79</v>
      </c>
      <c r="G61" s="592" t="s">
        <v>651</v>
      </c>
      <c r="H61" s="247"/>
      <c r="I61" s="247"/>
      <c r="J61" s="247"/>
      <c r="K61" s="247"/>
      <c r="L61" s="247"/>
    </row>
    <row r="62" spans="1:12" ht="13">
      <c r="A62" s="2">
        <f>A59+1</f>
        <v>25</v>
      </c>
      <c r="B62" s="247"/>
      <c r="C62" s="350"/>
      <c r="D62" s="350"/>
      <c r="E62" s="327" t="s">
        <v>653</v>
      </c>
      <c r="F62" s="584">
        <f>H54</f>
        <v>6084062452</v>
      </c>
      <c r="G62" s="271" t="str">
        <f>"Line "&amp;A54&amp;"."</f>
        <v>Line 21.</v>
      </c>
      <c r="H62" s="247"/>
      <c r="I62" s="247"/>
      <c r="J62" s="247"/>
      <c r="K62" s="247"/>
      <c r="L62" s="247"/>
    </row>
    <row r="63" spans="1:12" ht="13">
      <c r="A63" s="2">
        <f>A62+1</f>
        <v>26</v>
      </c>
      <c r="B63" s="247"/>
      <c r="C63" s="350"/>
      <c r="D63" s="350"/>
      <c r="E63" s="327" t="s">
        <v>668</v>
      </c>
      <c r="F63" s="593">
        <f>'27-Allocators'!G15</f>
        <v>5.9842511582503061E-2</v>
      </c>
      <c r="G63" s="271" t="str">
        <f>"27-Allocators, Line "&amp;'27-Allocators'!A15&amp;""</f>
        <v>27-Allocators, Line 9</v>
      </c>
      <c r="H63" s="247"/>
      <c r="I63" s="247"/>
      <c r="J63" s="247"/>
      <c r="K63" s="247"/>
      <c r="L63" s="247"/>
    </row>
    <row r="64" spans="1:12" ht="13">
      <c r="A64" s="2">
        <f>A63+1</f>
        <v>27</v>
      </c>
      <c r="B64" s="247"/>
      <c r="C64" s="350"/>
      <c r="D64" s="350"/>
      <c r="E64" s="327" t="s">
        <v>669</v>
      </c>
      <c r="F64" s="584">
        <f>F62*F63</f>
        <v>364085577.752482</v>
      </c>
      <c r="G64" s="271" t="str">
        <f>"Line "&amp;A62&amp;" * Line "&amp;A63&amp;"."</f>
        <v>Line 25 * Line 26.</v>
      </c>
      <c r="H64" s="247"/>
      <c r="I64" s="247"/>
      <c r="J64" s="247"/>
      <c r="K64" s="247"/>
      <c r="L64" s="247"/>
    </row>
    <row r="65" spans="1:13">
      <c r="A65" s="247"/>
      <c r="B65" s="247"/>
      <c r="C65" s="247"/>
      <c r="D65" s="247"/>
      <c r="E65" s="247"/>
      <c r="F65" s="247"/>
      <c r="G65" s="247"/>
      <c r="H65" s="247"/>
      <c r="I65" s="247"/>
      <c r="J65" s="247"/>
      <c r="K65" s="247"/>
      <c r="L65" s="247"/>
    </row>
    <row r="66" spans="1:13">
      <c r="A66" s="247"/>
      <c r="B66" s="247"/>
      <c r="C66" s="247"/>
      <c r="D66" s="247"/>
      <c r="E66" s="247"/>
      <c r="F66" s="247"/>
      <c r="G66" s="247"/>
      <c r="H66" s="247"/>
      <c r="I66" s="247"/>
      <c r="J66" s="247"/>
      <c r="K66" s="247"/>
      <c r="L66" s="247"/>
    </row>
    <row r="67" spans="1:13" ht="13">
      <c r="A67" s="247"/>
      <c r="B67" s="1" t="s">
        <v>671</v>
      </c>
      <c r="C67" s="247"/>
      <c r="D67" s="247"/>
      <c r="E67" s="247"/>
      <c r="F67" s="247"/>
      <c r="G67" s="247"/>
      <c r="H67" s="247"/>
      <c r="I67" s="247"/>
      <c r="J67" s="247"/>
      <c r="K67" s="247"/>
      <c r="L67" s="247"/>
    </row>
    <row r="68" spans="1:13">
      <c r="A68" s="247"/>
      <c r="C68" s="247"/>
      <c r="D68" s="247"/>
      <c r="E68" s="247"/>
      <c r="F68" s="247"/>
      <c r="G68" s="247"/>
      <c r="H68" s="247"/>
      <c r="I68" s="247"/>
      <c r="J68" s="247"/>
      <c r="K68" s="247"/>
      <c r="L68" s="247"/>
    </row>
    <row r="69" spans="1:13" ht="13">
      <c r="B69" s="1" t="s">
        <v>672</v>
      </c>
      <c r="C69" s="247"/>
      <c r="D69" s="247"/>
      <c r="E69" s="247"/>
      <c r="F69" s="247"/>
      <c r="G69" s="247"/>
      <c r="H69" s="247"/>
      <c r="I69" s="247"/>
      <c r="J69" s="247"/>
      <c r="K69" s="247"/>
      <c r="L69" s="247"/>
    </row>
    <row r="70" spans="1:13">
      <c r="A70" s="247"/>
      <c r="C70" s="247"/>
      <c r="D70" s="247"/>
      <c r="E70" s="247"/>
      <c r="F70" s="247"/>
      <c r="G70" s="247"/>
      <c r="H70" s="247"/>
      <c r="I70" s="247"/>
      <c r="J70" s="247"/>
      <c r="K70" s="247"/>
      <c r="L70" s="247"/>
    </row>
    <row r="71" spans="1:13" ht="13">
      <c r="A71" s="206"/>
      <c r="B71" s="48" t="s">
        <v>336</v>
      </c>
      <c r="C71" s="48" t="s">
        <v>337</v>
      </c>
      <c r="D71" s="48" t="s">
        <v>338</v>
      </c>
      <c r="E71" s="48" t="s">
        <v>339</v>
      </c>
      <c r="F71" s="48" t="s">
        <v>340</v>
      </c>
      <c r="G71" s="48" t="s">
        <v>341</v>
      </c>
      <c r="H71" s="48" t="s">
        <v>342</v>
      </c>
      <c r="I71" s="48" t="s">
        <v>343</v>
      </c>
      <c r="J71" s="48" t="s">
        <v>344</v>
      </c>
      <c r="K71" s="48" t="s">
        <v>589</v>
      </c>
      <c r="L71" s="48" t="s">
        <v>590</v>
      </c>
      <c r="M71" s="48" t="s">
        <v>591</v>
      </c>
    </row>
    <row r="72" spans="1:13">
      <c r="A72" s="116"/>
      <c r="B72" s="129"/>
      <c r="C72" s="116"/>
      <c r="D72" s="116"/>
      <c r="E72" s="116"/>
      <c r="F72" s="116"/>
      <c r="G72" s="116"/>
      <c r="H72" s="116"/>
      <c r="I72" s="116"/>
      <c r="J72" s="116"/>
      <c r="K72" s="116"/>
      <c r="M72" s="129" t="s">
        <v>642</v>
      </c>
    </row>
    <row r="73" spans="1:13" ht="13">
      <c r="A73" s="30"/>
      <c r="B73" s="3" t="s">
        <v>643</v>
      </c>
      <c r="C73" s="48">
        <v>350.1</v>
      </c>
      <c r="D73" s="48">
        <v>350.2</v>
      </c>
      <c r="E73" s="48">
        <v>352</v>
      </c>
      <c r="F73" s="48">
        <v>353</v>
      </c>
      <c r="G73" s="48">
        <v>354</v>
      </c>
      <c r="H73" s="48">
        <v>355</v>
      </c>
      <c r="I73" s="48">
        <v>356</v>
      </c>
      <c r="J73" s="48">
        <v>357</v>
      </c>
      <c r="K73" s="48">
        <v>358</v>
      </c>
      <c r="L73" s="48">
        <v>359</v>
      </c>
      <c r="M73" s="3" t="s">
        <v>249</v>
      </c>
    </row>
    <row r="74" spans="1:13" ht="13">
      <c r="A74" s="2">
        <f>A64+1</f>
        <v>28</v>
      </c>
      <c r="B74" s="525" t="s">
        <v>2928</v>
      </c>
      <c r="C74" s="267">
        <v>142939842.84999999</v>
      </c>
      <c r="D74" s="267">
        <v>238520369.92000002</v>
      </c>
      <c r="E74" s="120">
        <v>1306459912.5</v>
      </c>
      <c r="F74" s="120">
        <v>7245331488.8000002</v>
      </c>
      <c r="G74" s="120">
        <v>2528290970.4000001</v>
      </c>
      <c r="H74" s="120">
        <v>2024504619.23</v>
      </c>
      <c r="I74" s="120">
        <v>2065980163.6800001</v>
      </c>
      <c r="J74" s="120">
        <v>329224124.37</v>
      </c>
      <c r="K74" s="120">
        <v>403637835.60000002</v>
      </c>
      <c r="L74" s="120">
        <v>246891224.33000001</v>
      </c>
      <c r="M74" s="118">
        <f t="shared" ref="M74:M85" si="13">SUM(C74:L74)</f>
        <v>16531780551.68</v>
      </c>
    </row>
    <row r="75" spans="1:13" ht="13">
      <c r="A75" s="2">
        <f t="shared" ref="A75:A86" si="14">A74+1</f>
        <v>29</v>
      </c>
      <c r="B75" s="403" t="s">
        <v>2994</v>
      </c>
      <c r="C75" s="267">
        <v>142935691.41</v>
      </c>
      <c r="D75" s="267">
        <v>238519209.59</v>
      </c>
      <c r="E75" s="120">
        <v>1313325035.7699997</v>
      </c>
      <c r="F75" s="120">
        <v>7255700565.5999994</v>
      </c>
      <c r="G75" s="120">
        <v>2530418354.71</v>
      </c>
      <c r="H75" s="120">
        <v>2042161406.9100001</v>
      </c>
      <c r="I75" s="120">
        <v>2091176956.1900001</v>
      </c>
      <c r="J75" s="120">
        <v>329224124.37</v>
      </c>
      <c r="K75" s="120">
        <v>404318334.99000001</v>
      </c>
      <c r="L75" s="120">
        <v>247242086.46000001</v>
      </c>
      <c r="M75" s="118">
        <f t="shared" si="13"/>
        <v>16595021765.999998</v>
      </c>
    </row>
    <row r="76" spans="1:13" ht="13">
      <c r="A76" s="2">
        <f t="shared" si="14"/>
        <v>30</v>
      </c>
      <c r="B76" s="403" t="s">
        <v>2995</v>
      </c>
      <c r="C76" s="267">
        <v>142942574.66</v>
      </c>
      <c r="D76" s="267">
        <v>238520599.81999999</v>
      </c>
      <c r="E76" s="120">
        <v>1326381494.0099998</v>
      </c>
      <c r="F76" s="120">
        <v>7259095216.1700001</v>
      </c>
      <c r="G76" s="120">
        <v>2550197152.8600001</v>
      </c>
      <c r="H76" s="120">
        <v>2045378987.1100001</v>
      </c>
      <c r="I76" s="120">
        <v>2118661562.6200001</v>
      </c>
      <c r="J76" s="120">
        <v>329228301.70999998</v>
      </c>
      <c r="K76" s="120">
        <v>406750948.27999997</v>
      </c>
      <c r="L76" s="120">
        <v>250121451.77000001</v>
      </c>
      <c r="M76" s="118">
        <f t="shared" si="13"/>
        <v>16667278289.010002</v>
      </c>
    </row>
    <row r="77" spans="1:13" ht="13">
      <c r="A77" s="2">
        <f t="shared" si="14"/>
        <v>31</v>
      </c>
      <c r="B77" s="403" t="s">
        <v>2996</v>
      </c>
      <c r="C77" s="267">
        <v>140852154.36000001</v>
      </c>
      <c r="D77" s="267">
        <v>238541636.55000001</v>
      </c>
      <c r="E77" s="120">
        <v>1337143401.2999997</v>
      </c>
      <c r="F77" s="120">
        <v>7289991600.8999996</v>
      </c>
      <c r="G77" s="120">
        <v>2550165121.3699999</v>
      </c>
      <c r="H77" s="120">
        <v>2057183375.75</v>
      </c>
      <c r="I77" s="120">
        <v>2120069462.3800001</v>
      </c>
      <c r="J77" s="120">
        <v>329228312.63999999</v>
      </c>
      <c r="K77" s="120">
        <v>406835484.02999997</v>
      </c>
      <c r="L77" s="120">
        <v>250161100.03999999</v>
      </c>
      <c r="M77" s="118">
        <f t="shared" si="13"/>
        <v>16720171649.320002</v>
      </c>
    </row>
    <row r="78" spans="1:13" ht="13">
      <c r="A78" s="2">
        <f t="shared" si="14"/>
        <v>32</v>
      </c>
      <c r="B78" s="403" t="s">
        <v>2997</v>
      </c>
      <c r="C78" s="267">
        <v>140852036.13</v>
      </c>
      <c r="D78" s="267">
        <v>238541940.55000001</v>
      </c>
      <c r="E78" s="120">
        <v>1339908128.9000001</v>
      </c>
      <c r="F78" s="120">
        <v>7317418456.5100002</v>
      </c>
      <c r="G78" s="120">
        <v>2555375018.3600001</v>
      </c>
      <c r="H78" s="120">
        <v>2067602191.4300001</v>
      </c>
      <c r="I78" s="120">
        <v>2128094758.77</v>
      </c>
      <c r="J78" s="120">
        <v>329228312.63999999</v>
      </c>
      <c r="K78" s="120">
        <v>409044059.41000003</v>
      </c>
      <c r="L78" s="120">
        <v>250693833.32999998</v>
      </c>
      <c r="M78" s="118">
        <f t="shared" si="13"/>
        <v>16776758736.030001</v>
      </c>
    </row>
    <row r="79" spans="1:13" ht="13">
      <c r="A79" s="2">
        <f t="shared" si="14"/>
        <v>33</v>
      </c>
      <c r="B79" s="403" t="s">
        <v>2998</v>
      </c>
      <c r="C79" s="267">
        <v>140850858.11000001</v>
      </c>
      <c r="D79" s="267">
        <v>238555138.47000003</v>
      </c>
      <c r="E79" s="120">
        <v>1386629314.3800001</v>
      </c>
      <c r="F79" s="120">
        <v>7536586520.0500002</v>
      </c>
      <c r="G79" s="120">
        <v>2571007361.8600001</v>
      </c>
      <c r="H79" s="120">
        <v>2092972098.6800001</v>
      </c>
      <c r="I79" s="120">
        <v>2180596543.2400002</v>
      </c>
      <c r="J79" s="120">
        <v>329678631.48000002</v>
      </c>
      <c r="K79" s="120">
        <v>409219080.81999999</v>
      </c>
      <c r="L79" s="120">
        <v>251197236.20999998</v>
      </c>
      <c r="M79" s="118">
        <f t="shared" si="13"/>
        <v>17137292783.299999</v>
      </c>
    </row>
    <row r="80" spans="1:13" ht="13">
      <c r="A80" s="2">
        <f t="shared" si="14"/>
        <v>34</v>
      </c>
      <c r="B80" s="403" t="s">
        <v>2999</v>
      </c>
      <c r="C80" s="267">
        <v>140859164.50999999</v>
      </c>
      <c r="D80" s="267">
        <v>238568742.26000002</v>
      </c>
      <c r="E80" s="120">
        <v>1389954172.24</v>
      </c>
      <c r="F80" s="120">
        <v>7604997806.9899998</v>
      </c>
      <c r="G80" s="120">
        <v>2574106727.7600002</v>
      </c>
      <c r="H80" s="120">
        <v>2103806081.5900002</v>
      </c>
      <c r="I80" s="120">
        <v>2188485006.0999999</v>
      </c>
      <c r="J80" s="120">
        <v>329669695.80000001</v>
      </c>
      <c r="K80" s="120">
        <v>409318259.57999998</v>
      </c>
      <c r="L80" s="120">
        <v>251387053.94</v>
      </c>
      <c r="M80" s="118">
        <f t="shared" si="13"/>
        <v>17231152710.77</v>
      </c>
    </row>
    <row r="81" spans="1:13" ht="13">
      <c r="A81" s="2">
        <f t="shared" si="14"/>
        <v>35</v>
      </c>
      <c r="B81" s="403" t="s">
        <v>3000</v>
      </c>
      <c r="C81" s="267">
        <v>140862316.74000001</v>
      </c>
      <c r="D81" s="267">
        <v>239745816.51000002</v>
      </c>
      <c r="E81" s="120">
        <v>1390720296.53</v>
      </c>
      <c r="F81" s="120">
        <v>7633408116.7700005</v>
      </c>
      <c r="G81" s="120">
        <v>2574115584.3099999</v>
      </c>
      <c r="H81" s="120">
        <v>2273229877.98</v>
      </c>
      <c r="I81" s="120">
        <v>2211744496.1300001</v>
      </c>
      <c r="J81" s="120">
        <v>329671480.04000002</v>
      </c>
      <c r="K81" s="120">
        <v>433271358.25999999</v>
      </c>
      <c r="L81" s="120">
        <v>251524847.56</v>
      </c>
      <c r="M81" s="118">
        <f t="shared" si="13"/>
        <v>17478294190.830002</v>
      </c>
    </row>
    <row r="82" spans="1:13" ht="13">
      <c r="A82" s="2">
        <f t="shared" si="14"/>
        <v>36</v>
      </c>
      <c r="B82" s="403" t="s">
        <v>3001</v>
      </c>
      <c r="C82" s="267">
        <v>140862049.25999999</v>
      </c>
      <c r="D82" s="267">
        <v>240672455.08000001</v>
      </c>
      <c r="E82" s="120">
        <v>1379840872.5</v>
      </c>
      <c r="F82" s="120">
        <v>7630770279.3099995</v>
      </c>
      <c r="G82" s="120">
        <v>2583780686.1100001</v>
      </c>
      <c r="H82" s="120">
        <v>2290789507.3399997</v>
      </c>
      <c r="I82" s="120">
        <v>2205034784.1800003</v>
      </c>
      <c r="J82" s="120">
        <v>329663882.29000002</v>
      </c>
      <c r="K82" s="120">
        <v>433471983.33999997</v>
      </c>
      <c r="L82" s="120">
        <v>251593615.04999998</v>
      </c>
      <c r="M82" s="118">
        <f t="shared" si="13"/>
        <v>17486480114.459999</v>
      </c>
    </row>
    <row r="83" spans="1:13" ht="13">
      <c r="A83" s="2">
        <f t="shared" si="14"/>
        <v>37</v>
      </c>
      <c r="B83" s="403" t="s">
        <v>3002</v>
      </c>
      <c r="C83" s="267">
        <v>140858537.06999999</v>
      </c>
      <c r="D83" s="267">
        <v>240925412.69000003</v>
      </c>
      <c r="E83" s="120">
        <v>1385076910.21</v>
      </c>
      <c r="F83" s="120">
        <v>7648958510.9700003</v>
      </c>
      <c r="G83" s="120">
        <v>2591025515.3400002</v>
      </c>
      <c r="H83" s="120">
        <v>2310982723.04</v>
      </c>
      <c r="I83" s="120">
        <v>2190169718.4000001</v>
      </c>
      <c r="J83" s="120">
        <v>329663918.31999999</v>
      </c>
      <c r="K83" s="120">
        <v>433406320.14999998</v>
      </c>
      <c r="L83" s="120">
        <v>251613545.63999999</v>
      </c>
      <c r="M83" s="118">
        <f t="shared" si="13"/>
        <v>17522681111.829998</v>
      </c>
    </row>
    <row r="84" spans="1:13" ht="13">
      <c r="A84" s="2">
        <f t="shared" si="14"/>
        <v>38</v>
      </c>
      <c r="B84" s="403" t="s">
        <v>3003</v>
      </c>
      <c r="C84" s="267">
        <v>140858537.06999999</v>
      </c>
      <c r="D84" s="267">
        <v>241009518.82000002</v>
      </c>
      <c r="E84" s="120">
        <v>1391063395.6300001</v>
      </c>
      <c r="F84" s="120">
        <v>7655053651.3399992</v>
      </c>
      <c r="G84" s="120">
        <v>2595706229.8499999</v>
      </c>
      <c r="H84" s="120">
        <v>2332316810.6099997</v>
      </c>
      <c r="I84" s="120">
        <v>2186513683.6300001</v>
      </c>
      <c r="J84" s="120">
        <v>330283126.27999997</v>
      </c>
      <c r="K84" s="120">
        <v>436162857.05000001</v>
      </c>
      <c r="L84" s="120">
        <v>251618654.48999998</v>
      </c>
      <c r="M84" s="118">
        <f t="shared" si="13"/>
        <v>17560586464.770004</v>
      </c>
    </row>
    <row r="85" spans="1:13" ht="13">
      <c r="A85" s="2">
        <f t="shared" si="14"/>
        <v>39</v>
      </c>
      <c r="B85" s="403" t="s">
        <v>3004</v>
      </c>
      <c r="C85" s="267">
        <v>138619172.72999999</v>
      </c>
      <c r="D85" s="267">
        <v>241061209.15000001</v>
      </c>
      <c r="E85" s="120">
        <v>1392828866.71</v>
      </c>
      <c r="F85" s="120">
        <v>7662943838.1000004</v>
      </c>
      <c r="G85" s="120">
        <v>2598037667.02</v>
      </c>
      <c r="H85" s="120">
        <v>2347259253.3999996</v>
      </c>
      <c r="I85" s="120">
        <v>2188158720.9200001</v>
      </c>
      <c r="J85" s="120">
        <v>330283969.77999997</v>
      </c>
      <c r="K85" s="120">
        <v>436207733.23000002</v>
      </c>
      <c r="L85" s="120">
        <v>251626154.94</v>
      </c>
      <c r="M85" s="189">
        <f t="shared" si="13"/>
        <v>17587026585.98</v>
      </c>
    </row>
    <row r="86" spans="1:13" ht="13">
      <c r="A86" s="2">
        <f t="shared" si="14"/>
        <v>40</v>
      </c>
      <c r="B86" s="403" t="s">
        <v>3005</v>
      </c>
      <c r="C86" s="267">
        <v>138619566.78</v>
      </c>
      <c r="D86" s="267">
        <v>241067963.66</v>
      </c>
      <c r="E86" s="249">
        <f>'7-PlantStudy'!C10</f>
        <v>1398451729</v>
      </c>
      <c r="F86" s="249">
        <f>'7-PlantStudy'!C11</f>
        <v>7695764722</v>
      </c>
      <c r="G86" s="249">
        <f>'7-PlantStudy'!C20</f>
        <v>2598053334</v>
      </c>
      <c r="H86" s="249">
        <f>'7-PlantStudy'!C21</f>
        <v>2365912988</v>
      </c>
      <c r="I86" s="249">
        <f>'7-PlantStudy'!C22</f>
        <v>2191977444</v>
      </c>
      <c r="J86" s="249">
        <f>'7-PlantStudy'!C23</f>
        <v>330140963</v>
      </c>
      <c r="K86" s="249">
        <f>'7-PlantStudy'!C24</f>
        <v>437739243</v>
      </c>
      <c r="L86" s="249">
        <f>'7-PlantStudy'!C25</f>
        <v>251650170</v>
      </c>
      <c r="M86" s="118">
        <f>SUM(C86:L86)</f>
        <v>17649378123.440002</v>
      </c>
    </row>
    <row r="88" spans="1:13" ht="13">
      <c r="B88" s="1" t="s">
        <v>673</v>
      </c>
    </row>
    <row r="90" spans="1:13" ht="13">
      <c r="A90" s="206"/>
      <c r="B90" s="48" t="s">
        <v>336</v>
      </c>
      <c r="C90" s="48" t="s">
        <v>337</v>
      </c>
      <c r="D90" s="48" t="s">
        <v>338</v>
      </c>
      <c r="E90" s="48" t="s">
        <v>339</v>
      </c>
      <c r="F90" s="48" t="s">
        <v>340</v>
      </c>
      <c r="G90" s="48" t="s">
        <v>341</v>
      </c>
      <c r="H90" s="48" t="s">
        <v>342</v>
      </c>
      <c r="I90" s="48" t="s">
        <v>343</v>
      </c>
      <c r="J90" s="48" t="s">
        <v>344</v>
      </c>
      <c r="K90" s="48" t="s">
        <v>589</v>
      </c>
      <c r="L90" s="48" t="s">
        <v>590</v>
      </c>
      <c r="M90" s="48" t="s">
        <v>591</v>
      </c>
    </row>
    <row r="91" spans="1:13">
      <c r="A91" s="116"/>
      <c r="B91" s="129"/>
      <c r="C91" s="116"/>
      <c r="D91" s="116"/>
      <c r="E91" s="116"/>
      <c r="F91" s="116"/>
      <c r="G91" s="116"/>
      <c r="H91" s="116"/>
      <c r="I91" s="116"/>
      <c r="J91" s="116"/>
      <c r="K91" s="116"/>
      <c r="M91" s="129" t="s">
        <v>642</v>
      </c>
    </row>
    <row r="92" spans="1:13" ht="13">
      <c r="A92" s="30"/>
      <c r="B92" s="3" t="s">
        <v>643</v>
      </c>
      <c r="C92" s="48">
        <v>350.1</v>
      </c>
      <c r="D92" s="48">
        <v>350.2</v>
      </c>
      <c r="E92" s="48">
        <v>352</v>
      </c>
      <c r="F92" s="48">
        <v>353</v>
      </c>
      <c r="G92" s="48">
        <v>354</v>
      </c>
      <c r="H92" s="48">
        <v>355</v>
      </c>
      <c r="I92" s="48">
        <v>356</v>
      </c>
      <c r="J92" s="48">
        <v>357</v>
      </c>
      <c r="K92" s="48">
        <v>358</v>
      </c>
      <c r="L92" s="48">
        <v>359</v>
      </c>
      <c r="M92" s="3" t="s">
        <v>249</v>
      </c>
    </row>
    <row r="93" spans="1:13" ht="13">
      <c r="A93" s="2">
        <f>A86+1</f>
        <v>41</v>
      </c>
      <c r="B93" s="403" t="s">
        <v>2994</v>
      </c>
      <c r="C93" s="249">
        <f t="shared" ref="C93:L93" si="15">C75-C74</f>
        <v>-4151.4399999976158</v>
      </c>
      <c r="D93" s="249">
        <f t="shared" si="15"/>
        <v>-1160.330000013113</v>
      </c>
      <c r="E93" s="249">
        <f t="shared" si="15"/>
        <v>6865123.2699997425</v>
      </c>
      <c r="F93" s="249">
        <f t="shared" si="15"/>
        <v>10369076.799999237</v>
      </c>
      <c r="G93" s="249">
        <f t="shared" si="15"/>
        <v>2127384.3099999428</v>
      </c>
      <c r="H93" s="249">
        <f t="shared" si="15"/>
        <v>17656787.680000067</v>
      </c>
      <c r="I93" s="249">
        <f t="shared" si="15"/>
        <v>25196792.50999999</v>
      </c>
      <c r="J93" s="249">
        <f t="shared" si="15"/>
        <v>0</v>
      </c>
      <c r="K93" s="249">
        <f t="shared" si="15"/>
        <v>680499.38999998569</v>
      </c>
      <c r="L93" s="249">
        <f t="shared" si="15"/>
        <v>350862.12999999523</v>
      </c>
      <c r="M93" s="118">
        <f t="shared" ref="M93:M105" si="16">SUM(C93:L93)</f>
        <v>63241214.31999895</v>
      </c>
    </row>
    <row r="94" spans="1:13" ht="13">
      <c r="A94" s="2">
        <f t="shared" ref="A94:A105" si="17">A93+1</f>
        <v>42</v>
      </c>
      <c r="B94" s="403" t="s">
        <v>2995</v>
      </c>
      <c r="C94" s="249">
        <f t="shared" ref="C94:L94" si="18">C76-C75</f>
        <v>6883.25</v>
      </c>
      <c r="D94" s="249">
        <f t="shared" si="18"/>
        <v>1390.2299999892712</v>
      </c>
      <c r="E94" s="249">
        <f t="shared" si="18"/>
        <v>13056458.24000001</v>
      </c>
      <c r="F94" s="249">
        <f t="shared" si="18"/>
        <v>3394650.5700006485</v>
      </c>
      <c r="G94" s="249">
        <f t="shared" si="18"/>
        <v>19778798.150000095</v>
      </c>
      <c r="H94" s="249">
        <f t="shared" si="18"/>
        <v>3217580.2000000477</v>
      </c>
      <c r="I94" s="249">
        <f t="shared" si="18"/>
        <v>27484606.430000067</v>
      </c>
      <c r="J94" s="249">
        <f t="shared" si="18"/>
        <v>4177.339999973774</v>
      </c>
      <c r="K94" s="249">
        <f t="shared" si="18"/>
        <v>2432613.2899999619</v>
      </c>
      <c r="L94" s="249">
        <f t="shared" si="18"/>
        <v>2879365.3100000024</v>
      </c>
      <c r="M94" s="118">
        <f t="shared" si="16"/>
        <v>72256523.010000795</v>
      </c>
    </row>
    <row r="95" spans="1:13" ht="13">
      <c r="A95" s="2">
        <f t="shared" si="17"/>
        <v>43</v>
      </c>
      <c r="B95" s="403" t="s">
        <v>2996</v>
      </c>
      <c r="C95" s="249">
        <f t="shared" ref="C95:L95" si="19">C77-C76</f>
        <v>-2090420.2999999821</v>
      </c>
      <c r="D95" s="249">
        <f t="shared" si="19"/>
        <v>21036.730000019073</v>
      </c>
      <c r="E95" s="249">
        <f t="shared" si="19"/>
        <v>10761907.289999962</v>
      </c>
      <c r="F95" s="249">
        <f t="shared" si="19"/>
        <v>30896384.729999542</v>
      </c>
      <c r="G95" s="249">
        <f t="shared" si="19"/>
        <v>-32031.490000247955</v>
      </c>
      <c r="H95" s="249">
        <f t="shared" si="19"/>
        <v>11804388.639999866</v>
      </c>
      <c r="I95" s="249">
        <f t="shared" si="19"/>
        <v>1407899.7599999905</v>
      </c>
      <c r="J95" s="249">
        <f t="shared" si="19"/>
        <v>10.930000007152557</v>
      </c>
      <c r="K95" s="249">
        <f t="shared" si="19"/>
        <v>84535.75</v>
      </c>
      <c r="L95" s="249">
        <f t="shared" si="19"/>
        <v>39648.269999980927</v>
      </c>
      <c r="M95" s="118">
        <f t="shared" si="16"/>
        <v>52893360.309999138</v>
      </c>
    </row>
    <row r="96" spans="1:13" ht="13">
      <c r="A96" s="2">
        <f t="shared" si="17"/>
        <v>44</v>
      </c>
      <c r="B96" s="403" t="s">
        <v>2997</v>
      </c>
      <c r="C96" s="249">
        <f t="shared" ref="C96:L96" si="20">C78-C77</f>
        <v>-118.23000001907349</v>
      </c>
      <c r="D96" s="249">
        <f t="shared" si="20"/>
        <v>304</v>
      </c>
      <c r="E96" s="249">
        <f t="shared" si="20"/>
        <v>2764727.6000003815</v>
      </c>
      <c r="F96" s="249">
        <f t="shared" si="20"/>
        <v>27426855.61000061</v>
      </c>
      <c r="G96" s="249">
        <f t="shared" si="20"/>
        <v>5209896.990000248</v>
      </c>
      <c r="H96" s="249">
        <f t="shared" si="20"/>
        <v>10418815.680000067</v>
      </c>
      <c r="I96" s="249">
        <f t="shared" si="20"/>
        <v>8025296.3899998665</v>
      </c>
      <c r="J96" s="249">
        <f t="shared" si="20"/>
        <v>0</v>
      </c>
      <c r="K96" s="249">
        <f t="shared" si="20"/>
        <v>2208575.3800000548</v>
      </c>
      <c r="L96" s="249">
        <f t="shared" si="20"/>
        <v>532733.28999999166</v>
      </c>
      <c r="M96" s="118">
        <f t="shared" si="16"/>
        <v>56587086.7100012</v>
      </c>
    </row>
    <row r="97" spans="1:13" ht="13">
      <c r="A97" s="2">
        <f t="shared" si="17"/>
        <v>45</v>
      </c>
      <c r="B97" s="403" t="s">
        <v>2998</v>
      </c>
      <c r="C97" s="249">
        <f t="shared" ref="C97:I104" si="21">C79-C78</f>
        <v>-1178.0199999809265</v>
      </c>
      <c r="D97" s="249">
        <f t="shared" si="21"/>
        <v>13197.920000016689</v>
      </c>
      <c r="E97" s="249">
        <f t="shared" si="21"/>
        <v>46721185.480000019</v>
      </c>
      <c r="F97" s="249">
        <f t="shared" si="21"/>
        <v>219168063.53999996</v>
      </c>
      <c r="G97" s="249">
        <f t="shared" si="21"/>
        <v>15632343.5</v>
      </c>
      <c r="H97" s="249">
        <f t="shared" si="21"/>
        <v>25369907.25</v>
      </c>
      <c r="I97" s="249">
        <f t="shared" si="21"/>
        <v>52501784.470000267</v>
      </c>
      <c r="J97" s="249">
        <f t="shared" ref="J97" si="22">J79-J78</f>
        <v>450318.84000003338</v>
      </c>
      <c r="K97" s="249">
        <f t="shared" ref="K97:L104" si="23">K79-K78</f>
        <v>175021.40999996662</v>
      </c>
      <c r="L97" s="249">
        <f t="shared" si="23"/>
        <v>503402.87999999523</v>
      </c>
      <c r="M97" s="118">
        <f t="shared" si="16"/>
        <v>360534047.27000028</v>
      </c>
    </row>
    <row r="98" spans="1:13" ht="13">
      <c r="A98" s="2">
        <f t="shared" si="17"/>
        <v>46</v>
      </c>
      <c r="B98" s="403" t="s">
        <v>2999</v>
      </c>
      <c r="C98" s="249">
        <f t="shared" si="21"/>
        <v>8306.3999999761581</v>
      </c>
      <c r="D98" s="249">
        <f t="shared" si="21"/>
        <v>13603.789999991655</v>
      </c>
      <c r="E98" s="249">
        <f t="shared" si="21"/>
        <v>3324857.8599998951</v>
      </c>
      <c r="F98" s="249">
        <f t="shared" si="21"/>
        <v>68411286.93999958</v>
      </c>
      <c r="G98" s="249">
        <f t="shared" si="21"/>
        <v>3099365.9000000954</v>
      </c>
      <c r="H98" s="249">
        <f t="shared" si="21"/>
        <v>10833982.910000086</v>
      </c>
      <c r="I98" s="249">
        <f t="shared" si="21"/>
        <v>7888462.8599996567</v>
      </c>
      <c r="J98" s="249">
        <f t="shared" ref="J98:J104" si="24">J80-J79</f>
        <v>-8935.6800000071526</v>
      </c>
      <c r="K98" s="249">
        <f t="shared" si="23"/>
        <v>99178.759999990463</v>
      </c>
      <c r="L98" s="249">
        <f t="shared" si="23"/>
        <v>189817.73000001907</v>
      </c>
      <c r="M98" s="118">
        <f t="shared" si="16"/>
        <v>93859927.469999284</v>
      </c>
    </row>
    <row r="99" spans="1:13" ht="13">
      <c r="A99" s="2">
        <f t="shared" si="17"/>
        <v>47</v>
      </c>
      <c r="B99" s="403" t="s">
        <v>3000</v>
      </c>
      <c r="C99" s="249">
        <f t="shared" si="21"/>
        <v>3152.2300000190735</v>
      </c>
      <c r="D99" s="249">
        <f t="shared" si="21"/>
        <v>1177074.25</v>
      </c>
      <c r="E99" s="249">
        <f t="shared" si="21"/>
        <v>766124.28999996185</v>
      </c>
      <c r="F99" s="249">
        <f t="shared" si="21"/>
        <v>28410309.780000687</v>
      </c>
      <c r="G99" s="249">
        <f t="shared" si="21"/>
        <v>8856.5499997138977</v>
      </c>
      <c r="H99" s="249">
        <f t="shared" si="21"/>
        <v>169423796.38999987</v>
      </c>
      <c r="I99" s="249">
        <f t="shared" si="21"/>
        <v>23259490.03000021</v>
      </c>
      <c r="J99" s="249">
        <f t="shared" si="24"/>
        <v>1784.2400000095367</v>
      </c>
      <c r="K99" s="249">
        <f t="shared" si="23"/>
        <v>23953098.680000007</v>
      </c>
      <c r="L99" s="249">
        <f t="shared" si="23"/>
        <v>137793.62000000477</v>
      </c>
      <c r="M99" s="118">
        <f t="shared" si="16"/>
        <v>247141480.06000048</v>
      </c>
    </row>
    <row r="100" spans="1:13" ht="13">
      <c r="A100" s="2">
        <f t="shared" si="17"/>
        <v>48</v>
      </c>
      <c r="B100" s="403" t="s">
        <v>3001</v>
      </c>
      <c r="C100" s="249">
        <f t="shared" si="21"/>
        <v>-267.48000001907349</v>
      </c>
      <c r="D100" s="249">
        <f t="shared" si="21"/>
        <v>926638.56999999285</v>
      </c>
      <c r="E100" s="249">
        <f t="shared" si="21"/>
        <v>-10879424.029999971</v>
      </c>
      <c r="F100" s="249">
        <f t="shared" si="21"/>
        <v>-2637837.4600009918</v>
      </c>
      <c r="G100" s="249">
        <f t="shared" si="21"/>
        <v>9665101.8000001907</v>
      </c>
      <c r="H100" s="249">
        <f t="shared" si="21"/>
        <v>17559629.359999657</v>
      </c>
      <c r="I100" s="249">
        <f t="shared" si="21"/>
        <v>-6709711.9499998093</v>
      </c>
      <c r="J100" s="249">
        <f t="shared" si="24"/>
        <v>-7597.75</v>
      </c>
      <c r="K100" s="249">
        <f t="shared" si="23"/>
        <v>200625.07999998331</v>
      </c>
      <c r="L100" s="249">
        <f t="shared" si="23"/>
        <v>68767.489999979734</v>
      </c>
      <c r="M100" s="118">
        <f t="shared" si="16"/>
        <v>8185923.6299990118</v>
      </c>
    </row>
    <row r="101" spans="1:13" ht="13">
      <c r="A101" s="2">
        <f t="shared" si="17"/>
        <v>49</v>
      </c>
      <c r="B101" s="403" t="s">
        <v>3002</v>
      </c>
      <c r="C101" s="249">
        <f t="shared" si="21"/>
        <v>-3512.1899999976158</v>
      </c>
      <c r="D101" s="249">
        <f t="shared" si="21"/>
        <v>252957.61000001431</v>
      </c>
      <c r="E101" s="249">
        <f t="shared" si="21"/>
        <v>5236037.7100000381</v>
      </c>
      <c r="F101" s="249">
        <f t="shared" si="21"/>
        <v>18188231.660000801</v>
      </c>
      <c r="G101" s="249">
        <f t="shared" si="21"/>
        <v>7244829.2300000191</v>
      </c>
      <c r="H101" s="249">
        <f t="shared" si="21"/>
        <v>20193215.700000286</v>
      </c>
      <c r="I101" s="249">
        <f t="shared" si="21"/>
        <v>-14865065.78000021</v>
      </c>
      <c r="J101" s="249">
        <f t="shared" si="24"/>
        <v>36.029999971389771</v>
      </c>
      <c r="K101" s="249">
        <f t="shared" si="23"/>
        <v>-65663.189999997616</v>
      </c>
      <c r="L101" s="249">
        <f t="shared" si="23"/>
        <v>19930.590000003576</v>
      </c>
      <c r="M101" s="118">
        <f t="shared" si="16"/>
        <v>36200997.370000929</v>
      </c>
    </row>
    <row r="102" spans="1:13" ht="13">
      <c r="A102" s="2">
        <f t="shared" si="17"/>
        <v>50</v>
      </c>
      <c r="B102" s="403" t="s">
        <v>3003</v>
      </c>
      <c r="C102" s="249">
        <f t="shared" si="21"/>
        <v>0</v>
      </c>
      <c r="D102" s="249">
        <f t="shared" si="21"/>
        <v>84106.129999995232</v>
      </c>
      <c r="E102" s="249">
        <f t="shared" si="21"/>
        <v>5986485.4200000763</v>
      </c>
      <c r="F102" s="249">
        <f t="shared" si="21"/>
        <v>6095140.3699989319</v>
      </c>
      <c r="G102" s="249">
        <f t="shared" si="21"/>
        <v>4680714.509999752</v>
      </c>
      <c r="H102" s="249">
        <f t="shared" si="21"/>
        <v>21334087.569999695</v>
      </c>
      <c r="I102" s="249">
        <f t="shared" si="21"/>
        <v>-3656034.7699999809</v>
      </c>
      <c r="J102" s="249">
        <f t="shared" si="24"/>
        <v>619207.95999997854</v>
      </c>
      <c r="K102" s="249">
        <f t="shared" si="23"/>
        <v>2756536.9000000358</v>
      </c>
      <c r="L102" s="249">
        <f t="shared" si="23"/>
        <v>5108.8499999940395</v>
      </c>
      <c r="M102" s="118">
        <f t="shared" si="16"/>
        <v>37905352.939998478</v>
      </c>
    </row>
    <row r="103" spans="1:13" ht="13">
      <c r="A103" s="2">
        <f t="shared" si="17"/>
        <v>51</v>
      </c>
      <c r="B103" s="403" t="s">
        <v>3004</v>
      </c>
      <c r="C103" s="249">
        <f t="shared" si="21"/>
        <v>-2239364.3400000036</v>
      </c>
      <c r="D103" s="249">
        <f t="shared" si="21"/>
        <v>51690.329999983311</v>
      </c>
      <c r="E103" s="249">
        <f t="shared" si="21"/>
        <v>1765471.0799999237</v>
      </c>
      <c r="F103" s="249">
        <f t="shared" si="21"/>
        <v>7890186.7600011826</v>
      </c>
      <c r="G103" s="249">
        <f t="shared" si="21"/>
        <v>2331437.1700000763</v>
      </c>
      <c r="H103" s="249">
        <f t="shared" si="21"/>
        <v>14942442.789999962</v>
      </c>
      <c r="I103" s="249">
        <f t="shared" si="21"/>
        <v>1645037.2899999619</v>
      </c>
      <c r="J103" s="249">
        <f t="shared" si="24"/>
        <v>843.5</v>
      </c>
      <c r="K103" s="249">
        <f t="shared" si="23"/>
        <v>44876.180000007153</v>
      </c>
      <c r="L103" s="249">
        <f t="shared" si="23"/>
        <v>7500.4500000178814</v>
      </c>
      <c r="M103" s="118">
        <f t="shared" si="16"/>
        <v>26440121.210001111</v>
      </c>
    </row>
    <row r="104" spans="1:13" ht="13">
      <c r="A104" s="2">
        <f t="shared" si="17"/>
        <v>52</v>
      </c>
      <c r="B104" s="403" t="s">
        <v>3005</v>
      </c>
      <c r="C104" s="53">
        <f t="shared" si="21"/>
        <v>394.05000001192093</v>
      </c>
      <c r="D104" s="53">
        <f t="shared" si="21"/>
        <v>6754.5099999904633</v>
      </c>
      <c r="E104" s="53">
        <f t="shared" si="21"/>
        <v>5622862.2899999619</v>
      </c>
      <c r="F104" s="53">
        <f t="shared" si="21"/>
        <v>32820883.899999619</v>
      </c>
      <c r="G104" s="53">
        <f t="shared" si="21"/>
        <v>15666.980000019073</v>
      </c>
      <c r="H104" s="53">
        <f t="shared" si="21"/>
        <v>18653734.600000381</v>
      </c>
      <c r="I104" s="53">
        <f t="shared" si="21"/>
        <v>3818723.0799999237</v>
      </c>
      <c r="J104" s="53">
        <f t="shared" si="24"/>
        <v>-143006.77999997139</v>
      </c>
      <c r="K104" s="53">
        <f t="shared" si="23"/>
        <v>1531509.7699999809</v>
      </c>
      <c r="L104" s="53">
        <f t="shared" si="23"/>
        <v>24015.060000002384</v>
      </c>
      <c r="M104" s="189">
        <f t="shared" si="16"/>
        <v>62351537.459999919</v>
      </c>
    </row>
    <row r="105" spans="1:13" ht="13">
      <c r="A105" s="2">
        <f t="shared" si="17"/>
        <v>53</v>
      </c>
      <c r="B105" s="583" t="s">
        <v>409</v>
      </c>
      <c r="C105" s="118">
        <f t="shared" ref="C105:L105" si="25">SUM(C93:C104)</f>
        <v>-4320276.0699999928</v>
      </c>
      <c r="D105" s="118">
        <f t="shared" si="25"/>
        <v>2547593.7399999797</v>
      </c>
      <c r="E105" s="118">
        <f t="shared" si="25"/>
        <v>91991816.5</v>
      </c>
      <c r="F105" s="118">
        <f t="shared" si="25"/>
        <v>450433233.19999981</v>
      </c>
      <c r="G105" s="118">
        <f t="shared" si="25"/>
        <v>69762363.599999905</v>
      </c>
      <c r="H105" s="118">
        <f t="shared" si="25"/>
        <v>341408368.76999998</v>
      </c>
      <c r="I105" s="118">
        <f t="shared" si="25"/>
        <v>125997280.31999993</v>
      </c>
      <c r="J105" s="118">
        <f t="shared" si="25"/>
        <v>916838.62999999523</v>
      </c>
      <c r="K105" s="118">
        <f t="shared" si="25"/>
        <v>34101407.399999976</v>
      </c>
      <c r="L105" s="118">
        <f t="shared" si="25"/>
        <v>4758945.6699999869</v>
      </c>
      <c r="M105" s="118">
        <f t="shared" si="16"/>
        <v>1117597571.7599998</v>
      </c>
    </row>
    <row r="106" spans="1:13" ht="13">
      <c r="A106" s="2"/>
      <c r="B106" s="583"/>
      <c r="C106" s="118"/>
      <c r="D106" s="118"/>
      <c r="E106" s="118"/>
      <c r="F106" s="118"/>
      <c r="G106" s="118"/>
      <c r="H106" s="118"/>
      <c r="I106" s="118"/>
      <c r="J106" s="118"/>
      <c r="K106" s="118"/>
      <c r="L106" s="118"/>
      <c r="M106" s="118"/>
    </row>
    <row r="107" spans="1:13" ht="13">
      <c r="B107" s="1" t="s">
        <v>674</v>
      </c>
    </row>
    <row r="109" spans="1:13" ht="13">
      <c r="A109" s="206"/>
      <c r="B109" s="48" t="s">
        <v>336</v>
      </c>
      <c r="C109" s="48" t="s">
        <v>337</v>
      </c>
      <c r="D109" s="48" t="s">
        <v>338</v>
      </c>
      <c r="E109" s="48" t="s">
        <v>339</v>
      </c>
      <c r="F109" s="48" t="s">
        <v>340</v>
      </c>
      <c r="G109" s="48" t="s">
        <v>341</v>
      </c>
      <c r="H109" s="48" t="s">
        <v>342</v>
      </c>
      <c r="I109" s="48" t="s">
        <v>343</v>
      </c>
      <c r="J109" s="48" t="s">
        <v>344</v>
      </c>
      <c r="K109" s="48" t="s">
        <v>589</v>
      </c>
      <c r="L109" s="48" t="s">
        <v>590</v>
      </c>
      <c r="M109" s="48" t="s">
        <v>591</v>
      </c>
    </row>
    <row r="110" spans="1:13">
      <c r="A110" s="116"/>
      <c r="B110" s="129"/>
      <c r="C110" s="116"/>
      <c r="D110" s="116"/>
      <c r="E110" s="116"/>
      <c r="F110" s="116"/>
      <c r="G110" s="116"/>
      <c r="H110" s="116"/>
      <c r="I110" s="116"/>
      <c r="J110" s="116"/>
      <c r="K110" s="116"/>
      <c r="M110" s="129" t="s">
        <v>642</v>
      </c>
    </row>
    <row r="111" spans="1:13" ht="13">
      <c r="A111" s="30"/>
      <c r="B111" s="3" t="s">
        <v>643</v>
      </c>
      <c r="C111" s="48">
        <v>350.1</v>
      </c>
      <c r="D111" s="48">
        <v>350.2</v>
      </c>
      <c r="E111" s="48">
        <v>352</v>
      </c>
      <c r="F111" s="48">
        <v>353</v>
      </c>
      <c r="G111" s="48">
        <v>354</v>
      </c>
      <c r="H111" s="48">
        <v>355</v>
      </c>
      <c r="I111" s="48">
        <v>356</v>
      </c>
      <c r="J111" s="48">
        <v>357</v>
      </c>
      <c r="K111" s="48">
        <v>358</v>
      </c>
      <c r="L111" s="48">
        <v>359</v>
      </c>
      <c r="M111" s="3" t="s">
        <v>249</v>
      </c>
    </row>
    <row r="112" spans="1:13" ht="13">
      <c r="A112" s="2">
        <f>A105+1</f>
        <v>54</v>
      </c>
      <c r="B112" s="525" t="s">
        <v>2928</v>
      </c>
      <c r="C112" s="596">
        <v>24279600.040299989</v>
      </c>
      <c r="D112" s="596">
        <v>105194230.54999995</v>
      </c>
      <c r="E112" s="596">
        <v>334556751.23971039</v>
      </c>
      <c r="F112" s="596">
        <v>1335607892.1635432</v>
      </c>
      <c r="G112" s="596">
        <v>1855302739.4018264</v>
      </c>
      <c r="H112" s="596">
        <v>199719028.94000006</v>
      </c>
      <c r="I112" s="596">
        <v>936206857.51719689</v>
      </c>
      <c r="J112" s="596">
        <v>215105175.0500001</v>
      </c>
      <c r="K112" s="596">
        <v>57166296.429999992</v>
      </c>
      <c r="L112" s="596">
        <v>194733685.8905918</v>
      </c>
      <c r="M112" s="349">
        <f t="shared" ref="M112:M124" si="26">SUM(C112:L112)</f>
        <v>5257872257.2231693</v>
      </c>
    </row>
    <row r="113" spans="1:13" ht="13">
      <c r="A113" s="2">
        <f t="shared" ref="A113:A124" si="27">A112+1</f>
        <v>55</v>
      </c>
      <c r="B113" s="403" t="s">
        <v>2994</v>
      </c>
      <c r="C113" s="596">
        <v>24278711.780299991</v>
      </c>
      <c r="D113" s="596">
        <v>105195118.80999997</v>
      </c>
      <c r="E113" s="596">
        <v>334556895.11298037</v>
      </c>
      <c r="F113" s="596">
        <v>1336215768.1784611</v>
      </c>
      <c r="G113" s="596">
        <v>1855413103.9418263</v>
      </c>
      <c r="H113" s="596">
        <v>199750142.56000006</v>
      </c>
      <c r="I113" s="596">
        <v>936293213.68719697</v>
      </c>
      <c r="J113" s="596">
        <v>215105175.0500001</v>
      </c>
      <c r="K113" s="596">
        <v>57166296.429999992</v>
      </c>
      <c r="L113" s="596">
        <v>194764988.99059176</v>
      </c>
      <c r="M113" s="349">
        <f t="shared" si="26"/>
        <v>5258739414.541357</v>
      </c>
    </row>
    <row r="114" spans="1:13" ht="13">
      <c r="A114" s="2">
        <f t="shared" si="27"/>
        <v>56</v>
      </c>
      <c r="B114" s="403" t="s">
        <v>2995</v>
      </c>
      <c r="C114" s="596">
        <v>24285595.130299993</v>
      </c>
      <c r="D114" s="596">
        <v>105195118.80999997</v>
      </c>
      <c r="E114" s="596">
        <v>334556972.83143836</v>
      </c>
      <c r="F114" s="596">
        <v>1336681645.5056472</v>
      </c>
      <c r="G114" s="596">
        <v>1855566246.8618269</v>
      </c>
      <c r="H114" s="596">
        <v>199792972.36000007</v>
      </c>
      <c r="I114" s="596">
        <v>936412866.10719693</v>
      </c>
      <c r="J114" s="596">
        <v>215105175.0500001</v>
      </c>
      <c r="K114" s="596">
        <v>57166296.429999992</v>
      </c>
      <c r="L114" s="596">
        <v>194808144.21059179</v>
      </c>
      <c r="M114" s="349">
        <f t="shared" si="26"/>
        <v>5259571033.2970028</v>
      </c>
    </row>
    <row r="115" spans="1:13" ht="13">
      <c r="A115" s="2">
        <f t="shared" si="27"/>
        <v>57</v>
      </c>
      <c r="B115" s="403" t="s">
        <v>2996</v>
      </c>
      <c r="C115" s="596">
        <v>22969315.459199995</v>
      </c>
      <c r="D115" s="596">
        <v>105195485.63999996</v>
      </c>
      <c r="E115" s="596">
        <v>334557376.43769437</v>
      </c>
      <c r="F115" s="596">
        <v>1337305115.402307</v>
      </c>
      <c r="G115" s="596">
        <v>1855650605.1118269</v>
      </c>
      <c r="H115" s="596">
        <v>199817994.28000009</v>
      </c>
      <c r="I115" s="596">
        <v>936480698.82719707</v>
      </c>
      <c r="J115" s="596">
        <v>215105175.0500001</v>
      </c>
      <c r="K115" s="596">
        <v>57166296.429999992</v>
      </c>
      <c r="L115" s="596">
        <v>194832609.17059177</v>
      </c>
      <c r="M115" s="349">
        <f t="shared" si="26"/>
        <v>5259080671.8088179</v>
      </c>
    </row>
    <row r="116" spans="1:13" ht="13">
      <c r="A116" s="2">
        <f t="shared" si="27"/>
        <v>58</v>
      </c>
      <c r="B116" s="403" t="s">
        <v>2997</v>
      </c>
      <c r="C116" s="596">
        <v>22969197.229199991</v>
      </c>
      <c r="D116" s="596">
        <v>105195603.86999997</v>
      </c>
      <c r="E116" s="596">
        <v>334560000.60901439</v>
      </c>
      <c r="F116" s="596">
        <v>1337353498.6040132</v>
      </c>
      <c r="G116" s="596">
        <v>1855772641.1518264</v>
      </c>
      <c r="H116" s="596">
        <v>199851622.50000006</v>
      </c>
      <c r="I116" s="596">
        <v>936575473.5071969</v>
      </c>
      <c r="J116" s="596">
        <v>215105175.0500001</v>
      </c>
      <c r="K116" s="596">
        <v>57166296.429999992</v>
      </c>
      <c r="L116" s="596">
        <v>194866744.29059178</v>
      </c>
      <c r="M116" s="349">
        <f t="shared" si="26"/>
        <v>5259416253.2418432</v>
      </c>
    </row>
    <row r="117" spans="1:13" ht="13">
      <c r="A117" s="2">
        <f t="shared" si="27"/>
        <v>59</v>
      </c>
      <c r="B117" s="403" t="s">
        <v>2998</v>
      </c>
      <c r="C117" s="596">
        <v>22969197.229199991</v>
      </c>
      <c r="D117" s="596">
        <v>105195603.86999997</v>
      </c>
      <c r="E117" s="596">
        <v>371588150.28409839</v>
      </c>
      <c r="F117" s="596">
        <v>1516589769.9462471</v>
      </c>
      <c r="G117" s="596">
        <v>1861153928.7718263</v>
      </c>
      <c r="H117" s="596">
        <v>199864301.57000008</v>
      </c>
      <c r="I117" s="596">
        <v>938862160.32719684</v>
      </c>
      <c r="J117" s="596">
        <v>215105175.0500001</v>
      </c>
      <c r="K117" s="596">
        <v>57166296.429999992</v>
      </c>
      <c r="L117" s="596">
        <v>194878628.86059177</v>
      </c>
      <c r="M117" s="349">
        <f t="shared" si="26"/>
        <v>5483373212.3391609</v>
      </c>
    </row>
    <row r="118" spans="1:13" ht="13">
      <c r="A118" s="2">
        <f t="shared" si="27"/>
        <v>60</v>
      </c>
      <c r="B118" s="403" t="s">
        <v>2999</v>
      </c>
      <c r="C118" s="596">
        <v>22977503.629199989</v>
      </c>
      <c r="D118" s="596">
        <v>105195603.86999997</v>
      </c>
      <c r="E118" s="596">
        <v>372108949.31109834</v>
      </c>
      <c r="F118" s="596">
        <v>1519179868.0155792</v>
      </c>
      <c r="G118" s="596">
        <v>1862702420.2518265</v>
      </c>
      <c r="H118" s="596">
        <v>200041947.61000007</v>
      </c>
      <c r="I118" s="596">
        <v>947452785.81719685</v>
      </c>
      <c r="J118" s="596">
        <v>215105175.0500001</v>
      </c>
      <c r="K118" s="596">
        <v>57166296.429999992</v>
      </c>
      <c r="L118" s="596">
        <v>195056871.12059182</v>
      </c>
      <c r="M118" s="349">
        <f t="shared" si="26"/>
        <v>5496987421.1054945</v>
      </c>
    </row>
    <row r="119" spans="1:13" ht="13">
      <c r="A119" s="2">
        <f t="shared" si="27"/>
        <v>61</v>
      </c>
      <c r="B119" s="403" t="s">
        <v>3000</v>
      </c>
      <c r="C119" s="596">
        <v>22980655.859199993</v>
      </c>
      <c r="D119" s="596">
        <v>106295040.99999994</v>
      </c>
      <c r="E119" s="596">
        <v>372710041.32181638</v>
      </c>
      <c r="F119" s="596">
        <v>1522027634.0603189</v>
      </c>
      <c r="G119" s="596">
        <v>1862736429.7718267</v>
      </c>
      <c r="H119" s="596">
        <v>200050313.11000007</v>
      </c>
      <c r="I119" s="596">
        <v>947560877.12719703</v>
      </c>
      <c r="J119" s="596">
        <v>215105175.0500001</v>
      </c>
      <c r="K119" s="596">
        <v>57166296.429999992</v>
      </c>
      <c r="L119" s="596">
        <v>195065268.37059182</v>
      </c>
      <c r="M119" s="349">
        <f t="shared" si="26"/>
        <v>5501697732.1009521</v>
      </c>
    </row>
    <row r="120" spans="1:13" ht="13">
      <c r="A120" s="2">
        <f t="shared" si="27"/>
        <v>62</v>
      </c>
      <c r="B120" s="403" t="s">
        <v>3001</v>
      </c>
      <c r="C120" s="596">
        <v>22981552.279199995</v>
      </c>
      <c r="D120" s="596">
        <v>106303270.52999997</v>
      </c>
      <c r="E120" s="596">
        <v>372880163.07872838</v>
      </c>
      <c r="F120" s="596">
        <v>1522853803.5775969</v>
      </c>
      <c r="G120" s="596">
        <v>1862911349.7018266</v>
      </c>
      <c r="H120" s="596">
        <v>200101098.75000009</v>
      </c>
      <c r="I120" s="596">
        <v>947687018.28719711</v>
      </c>
      <c r="J120" s="596">
        <v>215105175.0500001</v>
      </c>
      <c r="K120" s="596">
        <v>57166296.429999992</v>
      </c>
      <c r="L120" s="596">
        <v>195116246.7005918</v>
      </c>
      <c r="M120" s="349">
        <f t="shared" si="26"/>
        <v>5503105974.3851414</v>
      </c>
    </row>
    <row r="121" spans="1:13" ht="13">
      <c r="A121" s="2">
        <f t="shared" si="27"/>
        <v>63</v>
      </c>
      <c r="B121" s="403" t="s">
        <v>3002</v>
      </c>
      <c r="C121" s="596">
        <v>22981494.299199991</v>
      </c>
      <c r="D121" s="596">
        <v>106303328.50999996</v>
      </c>
      <c r="E121" s="596">
        <v>373644921.99876636</v>
      </c>
      <c r="F121" s="596">
        <v>1526570536.653861</v>
      </c>
      <c r="G121" s="596">
        <v>1862946486.0318265</v>
      </c>
      <c r="H121" s="596">
        <v>200110044.14000008</v>
      </c>
      <c r="I121" s="596">
        <v>947822136.14719701</v>
      </c>
      <c r="J121" s="596">
        <v>215105175.0500001</v>
      </c>
      <c r="K121" s="596">
        <v>57166296.429999992</v>
      </c>
      <c r="L121" s="596">
        <v>195125226.0205918</v>
      </c>
      <c r="M121" s="349">
        <f t="shared" si="26"/>
        <v>5507775645.2814426</v>
      </c>
    </row>
    <row r="122" spans="1:13" ht="13">
      <c r="A122" s="2">
        <f t="shared" si="27"/>
        <v>64</v>
      </c>
      <c r="B122" s="403" t="s">
        <v>3003</v>
      </c>
      <c r="C122" s="596">
        <v>22981494.299199991</v>
      </c>
      <c r="D122" s="596">
        <v>106307698.90999997</v>
      </c>
      <c r="E122" s="596">
        <v>374088437.49259233</v>
      </c>
      <c r="F122" s="596">
        <v>1528684172.081357</v>
      </c>
      <c r="G122" s="596">
        <v>1862975304.8918266</v>
      </c>
      <c r="H122" s="596">
        <v>200116621.96000007</v>
      </c>
      <c r="I122" s="596">
        <v>947904392.69719696</v>
      </c>
      <c r="J122" s="596">
        <v>215105175.0500001</v>
      </c>
      <c r="K122" s="596">
        <v>57166296.429999992</v>
      </c>
      <c r="L122" s="596">
        <v>195131922.47059178</v>
      </c>
      <c r="M122" s="349">
        <f t="shared" si="26"/>
        <v>5510461516.2827644</v>
      </c>
    </row>
    <row r="123" spans="1:13" ht="13">
      <c r="A123" s="2">
        <f t="shared" si="27"/>
        <v>65</v>
      </c>
      <c r="B123" s="403" t="s">
        <v>3004</v>
      </c>
      <c r="C123" s="596">
        <v>21577142.847499993</v>
      </c>
      <c r="D123" s="596">
        <v>106307698.90999997</v>
      </c>
      <c r="E123" s="596">
        <v>374378658.93644035</v>
      </c>
      <c r="F123" s="596">
        <v>1530124189.5909512</v>
      </c>
      <c r="G123" s="596">
        <v>1863877517.9918265</v>
      </c>
      <c r="H123" s="596">
        <v>199671826.97000006</v>
      </c>
      <c r="I123" s="596">
        <v>947745103.69719696</v>
      </c>
      <c r="J123" s="596">
        <v>215105175.0500001</v>
      </c>
      <c r="K123" s="596">
        <v>57166296.429999992</v>
      </c>
      <c r="L123" s="596">
        <v>195137081.19059181</v>
      </c>
      <c r="M123" s="349">
        <f t="shared" si="26"/>
        <v>5511090691.6145077</v>
      </c>
    </row>
    <row r="124" spans="1:13" ht="13">
      <c r="A124" s="2">
        <f t="shared" si="27"/>
        <v>66</v>
      </c>
      <c r="B124" s="403" t="s">
        <v>3005</v>
      </c>
      <c r="C124" s="596">
        <v>21577536.897499993</v>
      </c>
      <c r="D124" s="596">
        <v>106313347.43999997</v>
      </c>
      <c r="E124" s="596">
        <v>374601668.92644036</v>
      </c>
      <c r="F124" s="596">
        <v>1531320208.4109511</v>
      </c>
      <c r="G124" s="596">
        <v>1864153033.7418265</v>
      </c>
      <c r="H124" s="596">
        <v>199684264.79000008</v>
      </c>
      <c r="I124" s="596">
        <v>948888806.94719696</v>
      </c>
      <c r="J124" s="596">
        <v>215105175.0500001</v>
      </c>
      <c r="K124" s="596">
        <v>57166296.429999992</v>
      </c>
      <c r="L124" s="596">
        <v>195149562.32059181</v>
      </c>
      <c r="M124" s="349">
        <f t="shared" si="26"/>
        <v>5513959900.9545078</v>
      </c>
    </row>
    <row r="125" spans="1:13" ht="13">
      <c r="A125" s="2"/>
      <c r="B125" s="583"/>
      <c r="C125" s="118"/>
      <c r="D125" s="118"/>
      <c r="E125" s="118"/>
      <c r="F125" s="118"/>
      <c r="G125" s="118"/>
      <c r="H125" s="118"/>
      <c r="I125" s="118"/>
      <c r="J125" s="118"/>
      <c r="K125" s="118"/>
      <c r="L125" s="118"/>
      <c r="M125" s="118"/>
    </row>
    <row r="126" spans="1:13" ht="13">
      <c r="B126" s="1" t="s">
        <v>675</v>
      </c>
    </row>
    <row r="128" spans="1:13" ht="13">
      <c r="A128" s="206"/>
      <c r="B128" s="48" t="s">
        <v>336</v>
      </c>
      <c r="C128" s="48" t="s">
        <v>337</v>
      </c>
      <c r="D128" s="48" t="s">
        <v>338</v>
      </c>
      <c r="E128" s="48" t="s">
        <v>339</v>
      </c>
      <c r="F128" s="48" t="s">
        <v>340</v>
      </c>
      <c r="G128" s="48" t="s">
        <v>341</v>
      </c>
      <c r="H128" s="48" t="s">
        <v>342</v>
      </c>
      <c r="I128" s="48" t="s">
        <v>343</v>
      </c>
      <c r="J128" s="48" t="s">
        <v>344</v>
      </c>
      <c r="K128" s="48" t="s">
        <v>589</v>
      </c>
      <c r="L128" s="48" t="s">
        <v>590</v>
      </c>
      <c r="M128" s="48" t="s">
        <v>591</v>
      </c>
    </row>
    <row r="129" spans="1:13">
      <c r="A129" s="116"/>
      <c r="B129" s="129"/>
      <c r="C129" s="116"/>
      <c r="D129" s="116"/>
      <c r="E129" s="116"/>
      <c r="F129" s="116"/>
      <c r="G129" s="116"/>
      <c r="H129" s="116"/>
      <c r="I129" s="116"/>
      <c r="J129" s="116"/>
      <c r="K129" s="116"/>
      <c r="M129" s="129" t="s">
        <v>642</v>
      </c>
    </row>
    <row r="130" spans="1:13" ht="13">
      <c r="A130" s="30"/>
      <c r="B130" s="3" t="s">
        <v>643</v>
      </c>
      <c r="C130" s="48">
        <v>350.1</v>
      </c>
      <c r="D130" s="48">
        <v>350.2</v>
      </c>
      <c r="E130" s="48">
        <v>352</v>
      </c>
      <c r="F130" s="48">
        <v>353</v>
      </c>
      <c r="G130" s="48">
        <v>354</v>
      </c>
      <c r="H130" s="48">
        <v>355</v>
      </c>
      <c r="I130" s="48">
        <v>356</v>
      </c>
      <c r="J130" s="48">
        <v>357</v>
      </c>
      <c r="K130" s="48">
        <v>358</v>
      </c>
      <c r="L130" s="48">
        <v>359</v>
      </c>
      <c r="M130" s="3" t="s">
        <v>249</v>
      </c>
    </row>
    <row r="131" spans="1:13" ht="13">
      <c r="A131" s="2">
        <f>A124+1</f>
        <v>67</v>
      </c>
      <c r="B131" s="403" t="s">
        <v>2994</v>
      </c>
      <c r="C131" s="866">
        <f t="shared" ref="C131:L131" si="28">C113-C112</f>
        <v>-888.25999999791384</v>
      </c>
      <c r="D131" s="866">
        <f t="shared" si="28"/>
        <v>888.26000002026558</v>
      </c>
      <c r="E131" s="866">
        <f t="shared" si="28"/>
        <v>143.87326997518539</v>
      </c>
      <c r="F131" s="866">
        <f t="shared" si="28"/>
        <v>607876.01491785049</v>
      </c>
      <c r="G131" s="866">
        <f t="shared" si="28"/>
        <v>110364.53999996185</v>
      </c>
      <c r="H131" s="866">
        <f t="shared" si="28"/>
        <v>31113.620000004768</v>
      </c>
      <c r="I131" s="866">
        <f t="shared" si="28"/>
        <v>86356.170000076294</v>
      </c>
      <c r="J131" s="866">
        <f t="shared" si="28"/>
        <v>0</v>
      </c>
      <c r="K131" s="866">
        <f t="shared" si="28"/>
        <v>0</v>
      </c>
      <c r="L131" s="866">
        <f t="shared" si="28"/>
        <v>31303.099999964237</v>
      </c>
      <c r="M131" s="866">
        <f t="shared" ref="M131:M142" si="29">SUM(C131:L131)</f>
        <v>867157.31818785518</v>
      </c>
    </row>
    <row r="132" spans="1:13" ht="13">
      <c r="A132" s="2">
        <f t="shared" ref="A132:A143" si="30">A131+1</f>
        <v>68</v>
      </c>
      <c r="B132" s="403" t="s">
        <v>2995</v>
      </c>
      <c r="C132" s="866">
        <f t="shared" ref="C132:L132" si="31">C114-C113</f>
        <v>6883.3500000014901</v>
      </c>
      <c r="D132" s="866">
        <f t="shared" si="31"/>
        <v>0</v>
      </c>
      <c r="E132" s="866">
        <f t="shared" si="31"/>
        <v>77.718457996845245</v>
      </c>
      <c r="F132" s="866">
        <f t="shared" si="31"/>
        <v>465877.32718610764</v>
      </c>
      <c r="G132" s="866">
        <f t="shared" si="31"/>
        <v>153142.92000055313</v>
      </c>
      <c r="H132" s="866">
        <f t="shared" si="31"/>
        <v>42829.800000011921</v>
      </c>
      <c r="I132" s="866">
        <f t="shared" si="31"/>
        <v>119652.41999995708</v>
      </c>
      <c r="J132" s="866">
        <f t="shared" si="31"/>
        <v>0</v>
      </c>
      <c r="K132" s="866">
        <f t="shared" si="31"/>
        <v>0</v>
      </c>
      <c r="L132" s="866">
        <f t="shared" si="31"/>
        <v>43155.22000002861</v>
      </c>
      <c r="M132" s="866">
        <f t="shared" si="29"/>
        <v>831618.75564465672</v>
      </c>
    </row>
    <row r="133" spans="1:13" ht="13">
      <c r="A133" s="2">
        <f t="shared" si="30"/>
        <v>69</v>
      </c>
      <c r="B133" s="403" t="s">
        <v>2996</v>
      </c>
      <c r="C133" s="866">
        <f t="shared" ref="C133:L133" si="32">C115-C114</f>
        <v>-1316279.6710999981</v>
      </c>
      <c r="D133" s="866">
        <f t="shared" si="32"/>
        <v>366.8299999833107</v>
      </c>
      <c r="E133" s="866">
        <f t="shared" si="32"/>
        <v>403.60625600814819</v>
      </c>
      <c r="F133" s="866">
        <f t="shared" si="32"/>
        <v>623469.89665985107</v>
      </c>
      <c r="G133" s="866">
        <f t="shared" si="32"/>
        <v>84358.25</v>
      </c>
      <c r="H133" s="866">
        <f t="shared" si="32"/>
        <v>25021.920000016689</v>
      </c>
      <c r="I133" s="866">
        <f t="shared" si="32"/>
        <v>67832.72000014782</v>
      </c>
      <c r="J133" s="866">
        <f t="shared" si="32"/>
        <v>0</v>
      </c>
      <c r="K133" s="866">
        <f t="shared" si="32"/>
        <v>0</v>
      </c>
      <c r="L133" s="866">
        <f t="shared" si="32"/>
        <v>24464.959999978542</v>
      </c>
      <c r="M133" s="866">
        <f t="shared" si="29"/>
        <v>-490361.48818401247</v>
      </c>
    </row>
    <row r="134" spans="1:13" ht="13">
      <c r="A134" s="2">
        <f t="shared" si="30"/>
        <v>70</v>
      </c>
      <c r="B134" s="403" t="s">
        <v>2997</v>
      </c>
      <c r="C134" s="866">
        <f t="shared" ref="C134:L134" si="33">C116-C115</f>
        <v>-118.23000000417233</v>
      </c>
      <c r="D134" s="866">
        <f t="shared" si="33"/>
        <v>118.23000001907349</v>
      </c>
      <c r="E134" s="866">
        <f t="shared" si="33"/>
        <v>2624.1713200211525</v>
      </c>
      <c r="F134" s="866">
        <f t="shared" si="33"/>
        <v>48383.201706171036</v>
      </c>
      <c r="G134" s="866">
        <f t="shared" si="33"/>
        <v>122036.03999948502</v>
      </c>
      <c r="H134" s="866">
        <f t="shared" si="33"/>
        <v>33628.219999969006</v>
      </c>
      <c r="I134" s="866">
        <f t="shared" si="33"/>
        <v>94774.679999828339</v>
      </c>
      <c r="J134" s="866">
        <f t="shared" si="33"/>
        <v>0</v>
      </c>
      <c r="K134" s="866">
        <f t="shared" si="33"/>
        <v>0</v>
      </c>
      <c r="L134" s="866">
        <f t="shared" si="33"/>
        <v>34135.120000004768</v>
      </c>
      <c r="M134" s="866">
        <f t="shared" si="29"/>
        <v>335581.43302549422</v>
      </c>
    </row>
    <row r="135" spans="1:13" ht="13">
      <c r="A135" s="2">
        <f t="shared" si="30"/>
        <v>71</v>
      </c>
      <c r="B135" s="403" t="s">
        <v>2998</v>
      </c>
      <c r="C135" s="866">
        <f t="shared" ref="C135:L135" si="34">C117-C116</f>
        <v>0</v>
      </c>
      <c r="D135" s="866">
        <f t="shared" si="34"/>
        <v>0</v>
      </c>
      <c r="E135" s="866">
        <f t="shared" si="34"/>
        <v>37028149.675083995</v>
      </c>
      <c r="F135" s="866">
        <f t="shared" si="34"/>
        <v>179236271.3422339</v>
      </c>
      <c r="G135" s="866">
        <f t="shared" si="34"/>
        <v>5381287.6199998856</v>
      </c>
      <c r="H135" s="866">
        <f t="shared" si="34"/>
        <v>12679.07000002265</v>
      </c>
      <c r="I135" s="866">
        <f t="shared" si="34"/>
        <v>2286686.8199999332</v>
      </c>
      <c r="J135" s="866">
        <f t="shared" si="34"/>
        <v>0</v>
      </c>
      <c r="K135" s="866">
        <f t="shared" si="34"/>
        <v>0</v>
      </c>
      <c r="L135" s="866">
        <f t="shared" si="34"/>
        <v>11884.569999992847</v>
      </c>
      <c r="M135" s="866">
        <f t="shared" si="29"/>
        <v>223956959.09731773</v>
      </c>
    </row>
    <row r="136" spans="1:13" ht="13">
      <c r="A136" s="2">
        <f t="shared" si="30"/>
        <v>72</v>
      </c>
      <c r="B136" s="403" t="s">
        <v>2999</v>
      </c>
      <c r="C136" s="866">
        <f t="shared" ref="C136:L136" si="35">C118-C117</f>
        <v>8306.3999999985099</v>
      </c>
      <c r="D136" s="866">
        <f t="shared" si="35"/>
        <v>0</v>
      </c>
      <c r="E136" s="866">
        <f t="shared" si="35"/>
        <v>520799.02699995041</v>
      </c>
      <c r="F136" s="866">
        <f t="shared" si="35"/>
        <v>2590098.0693321228</v>
      </c>
      <c r="G136" s="866">
        <f t="shared" si="35"/>
        <v>1548491.4800002575</v>
      </c>
      <c r="H136" s="866">
        <f t="shared" si="35"/>
        <v>177646.03999999166</v>
      </c>
      <c r="I136" s="866">
        <f t="shared" si="35"/>
        <v>8590625.4900000095</v>
      </c>
      <c r="J136" s="866">
        <f t="shared" si="35"/>
        <v>0</v>
      </c>
      <c r="K136" s="866">
        <f t="shared" si="35"/>
        <v>0</v>
      </c>
      <c r="L136" s="866">
        <f t="shared" si="35"/>
        <v>178242.26000005007</v>
      </c>
      <c r="M136" s="866">
        <f t="shared" si="29"/>
        <v>13614208.76633238</v>
      </c>
    </row>
    <row r="137" spans="1:13" ht="13">
      <c r="A137" s="2">
        <f t="shared" si="30"/>
        <v>73</v>
      </c>
      <c r="B137" s="403" t="s">
        <v>3000</v>
      </c>
      <c r="C137" s="866">
        <f t="shared" ref="C137:K137" si="36">C119-C118</f>
        <v>3152.2300000041723</v>
      </c>
      <c r="D137" s="866">
        <f t="shared" si="36"/>
        <v>1099437.1299999654</v>
      </c>
      <c r="E137" s="866">
        <f t="shared" si="36"/>
        <v>601092.01071804762</v>
      </c>
      <c r="F137" s="866">
        <f t="shared" si="36"/>
        <v>2847766.0447397232</v>
      </c>
      <c r="G137" s="866">
        <f t="shared" si="36"/>
        <v>34009.520000219345</v>
      </c>
      <c r="H137" s="866">
        <f t="shared" si="36"/>
        <v>8365.5</v>
      </c>
      <c r="I137" s="866">
        <f t="shared" si="36"/>
        <v>108091.3100001812</v>
      </c>
      <c r="J137" s="866">
        <f t="shared" si="36"/>
        <v>0</v>
      </c>
      <c r="K137" s="866">
        <f t="shared" si="36"/>
        <v>0</v>
      </c>
      <c r="L137" s="866">
        <f>L119-L118</f>
        <v>8397.25</v>
      </c>
      <c r="M137" s="866">
        <f t="shared" si="29"/>
        <v>4710310.995458141</v>
      </c>
    </row>
    <row r="138" spans="1:13" ht="13">
      <c r="A138" s="2">
        <f t="shared" si="30"/>
        <v>74</v>
      </c>
      <c r="B138" s="403" t="s">
        <v>3001</v>
      </c>
      <c r="C138" s="866">
        <f t="shared" ref="C138:K138" si="37">C120-C119</f>
        <v>896.42000000178814</v>
      </c>
      <c r="D138" s="866">
        <f t="shared" si="37"/>
        <v>8229.5300000309944</v>
      </c>
      <c r="E138" s="866">
        <f t="shared" si="37"/>
        <v>170121.75691199303</v>
      </c>
      <c r="F138" s="866">
        <f t="shared" si="37"/>
        <v>826169.51727795601</v>
      </c>
      <c r="G138" s="866">
        <f t="shared" si="37"/>
        <v>174919.92999982834</v>
      </c>
      <c r="H138" s="866">
        <f t="shared" si="37"/>
        <v>50785.640000015497</v>
      </c>
      <c r="I138" s="866">
        <f t="shared" si="37"/>
        <v>126141.16000008583</v>
      </c>
      <c r="J138" s="866">
        <f t="shared" si="37"/>
        <v>0</v>
      </c>
      <c r="K138" s="866">
        <f t="shared" si="37"/>
        <v>0</v>
      </c>
      <c r="L138" s="866">
        <f>L120-L119</f>
        <v>50978.329999983311</v>
      </c>
      <c r="M138" s="866">
        <f t="shared" si="29"/>
        <v>1408242.2841898948</v>
      </c>
    </row>
    <row r="139" spans="1:13" ht="13">
      <c r="A139" s="2">
        <f t="shared" si="30"/>
        <v>75</v>
      </c>
      <c r="B139" s="403" t="s">
        <v>3002</v>
      </c>
      <c r="C139" s="866">
        <f t="shared" ref="C139:L139" si="38">C121-C120</f>
        <v>-57.980000004172325</v>
      </c>
      <c r="D139" s="866">
        <f t="shared" si="38"/>
        <v>57.979999989271164</v>
      </c>
      <c r="E139" s="866">
        <f t="shared" si="38"/>
        <v>764758.92003798485</v>
      </c>
      <c r="F139" s="866">
        <f t="shared" si="38"/>
        <v>3716733.076264143</v>
      </c>
      <c r="G139" s="866">
        <f t="shared" si="38"/>
        <v>35136.329999923706</v>
      </c>
      <c r="H139" s="866">
        <f t="shared" si="38"/>
        <v>8945.3899999856949</v>
      </c>
      <c r="I139" s="866">
        <f t="shared" si="38"/>
        <v>135117.8599998951</v>
      </c>
      <c r="J139" s="866">
        <f t="shared" si="38"/>
        <v>0</v>
      </c>
      <c r="K139" s="866">
        <f t="shared" si="38"/>
        <v>0</v>
      </c>
      <c r="L139" s="866">
        <f t="shared" si="38"/>
        <v>8979.3199999928474</v>
      </c>
      <c r="M139" s="866">
        <f t="shared" si="29"/>
        <v>4669670.8963019103</v>
      </c>
    </row>
    <row r="140" spans="1:13" ht="13">
      <c r="A140" s="2">
        <f t="shared" si="30"/>
        <v>76</v>
      </c>
      <c r="B140" s="403" t="s">
        <v>3003</v>
      </c>
      <c r="C140" s="866">
        <f t="shared" ref="C140:L140" si="39">C122-C121</f>
        <v>0</v>
      </c>
      <c r="D140" s="866">
        <f t="shared" si="39"/>
        <v>4370.4000000059605</v>
      </c>
      <c r="E140" s="866">
        <f t="shared" si="39"/>
        <v>443515.49382597208</v>
      </c>
      <c r="F140" s="866">
        <f t="shared" si="39"/>
        <v>2113635.4274959564</v>
      </c>
      <c r="G140" s="866">
        <f t="shared" si="39"/>
        <v>28818.860000133514</v>
      </c>
      <c r="H140" s="866">
        <f t="shared" si="39"/>
        <v>6577.8199999928474</v>
      </c>
      <c r="I140" s="866">
        <f t="shared" si="39"/>
        <v>82256.549999952316</v>
      </c>
      <c r="J140" s="866">
        <f t="shared" si="39"/>
        <v>0</v>
      </c>
      <c r="K140" s="866">
        <f t="shared" si="39"/>
        <v>0</v>
      </c>
      <c r="L140" s="866">
        <f t="shared" si="39"/>
        <v>6696.4499999880791</v>
      </c>
      <c r="M140" s="866">
        <f t="shared" si="29"/>
        <v>2685871.0013220012</v>
      </c>
    </row>
    <row r="141" spans="1:13" ht="13">
      <c r="A141" s="2">
        <f t="shared" si="30"/>
        <v>77</v>
      </c>
      <c r="B141" s="403" t="s">
        <v>3004</v>
      </c>
      <c r="C141" s="866">
        <f t="shared" ref="C141:L141" si="40">C123-C122</f>
        <v>-1404351.4516999982</v>
      </c>
      <c r="D141" s="866">
        <f t="shared" si="40"/>
        <v>0</v>
      </c>
      <c r="E141" s="866">
        <f t="shared" si="40"/>
        <v>290221.44384801388</v>
      </c>
      <c r="F141" s="866">
        <f t="shared" si="40"/>
        <v>1440017.509594202</v>
      </c>
      <c r="G141" s="866">
        <f t="shared" si="40"/>
        <v>902213.09999990463</v>
      </c>
      <c r="H141" s="866">
        <f t="shared" si="40"/>
        <v>-444794.99000000954</v>
      </c>
      <c r="I141" s="866">
        <f t="shared" si="40"/>
        <v>-159289</v>
      </c>
      <c r="J141" s="866">
        <f t="shared" si="40"/>
        <v>0</v>
      </c>
      <c r="K141" s="866">
        <f t="shared" si="40"/>
        <v>0</v>
      </c>
      <c r="L141" s="866">
        <f t="shared" si="40"/>
        <v>5158.7200000286102</v>
      </c>
      <c r="M141" s="866">
        <f t="shared" si="29"/>
        <v>629175.3317421414</v>
      </c>
    </row>
    <row r="142" spans="1:13" ht="13">
      <c r="A142" s="2">
        <f t="shared" si="30"/>
        <v>78</v>
      </c>
      <c r="B142" s="403" t="s">
        <v>3005</v>
      </c>
      <c r="C142" s="867">
        <f t="shared" ref="C142:L142" si="41">C124-C123</f>
        <v>394.05000000074506</v>
      </c>
      <c r="D142" s="867">
        <f t="shared" si="41"/>
        <v>5648.5300000011921</v>
      </c>
      <c r="E142" s="867">
        <f t="shared" si="41"/>
        <v>223009.99000000954</v>
      </c>
      <c r="F142" s="867">
        <f t="shared" si="41"/>
        <v>1196018.8199999332</v>
      </c>
      <c r="G142" s="867">
        <f t="shared" si="41"/>
        <v>275515.75</v>
      </c>
      <c r="H142" s="867">
        <f t="shared" si="41"/>
        <v>12437.82000002265</v>
      </c>
      <c r="I142" s="867">
        <f t="shared" si="41"/>
        <v>1143703.25</v>
      </c>
      <c r="J142" s="867">
        <f t="shared" si="41"/>
        <v>0</v>
      </c>
      <c r="K142" s="867">
        <f t="shared" si="41"/>
        <v>0</v>
      </c>
      <c r="L142" s="867">
        <f t="shared" si="41"/>
        <v>12481.129999995232</v>
      </c>
      <c r="M142" s="867">
        <f t="shared" si="29"/>
        <v>2869209.3399999626</v>
      </c>
    </row>
    <row r="143" spans="1:13" ht="13">
      <c r="A143" s="2">
        <f t="shared" si="30"/>
        <v>79</v>
      </c>
      <c r="B143" s="583" t="s">
        <v>409</v>
      </c>
      <c r="C143" s="866">
        <f t="shared" ref="C143:M143" si="42">SUM(C131:C142)</f>
        <v>-2702063.1427999958</v>
      </c>
      <c r="D143" s="866">
        <f t="shared" si="42"/>
        <v>1119116.8900000155</v>
      </c>
      <c r="E143" s="866">
        <f t="shared" si="42"/>
        <v>40044917.686729968</v>
      </c>
      <c r="F143" s="866">
        <f t="shared" si="42"/>
        <v>195712316.24740791</v>
      </c>
      <c r="G143" s="866">
        <f t="shared" si="42"/>
        <v>8850294.3400001526</v>
      </c>
      <c r="H143" s="866">
        <f t="shared" si="42"/>
        <v>-34764.149999976158</v>
      </c>
      <c r="I143" s="866">
        <f t="shared" si="42"/>
        <v>12681949.430000067</v>
      </c>
      <c r="J143" s="866">
        <f t="shared" si="42"/>
        <v>0</v>
      </c>
      <c r="K143" s="866">
        <f t="shared" si="42"/>
        <v>0</v>
      </c>
      <c r="L143" s="866">
        <f t="shared" si="42"/>
        <v>415876.43000000715</v>
      </c>
      <c r="M143" s="866">
        <f t="shared" si="42"/>
        <v>256087643.73133814</v>
      </c>
    </row>
    <row r="144" spans="1:13" ht="13">
      <c r="A144" s="2"/>
      <c r="B144" s="583"/>
      <c r="C144" s="594"/>
      <c r="D144" s="594"/>
      <c r="E144" s="594"/>
      <c r="F144" s="594"/>
      <c r="G144" s="594"/>
      <c r="H144" s="594"/>
      <c r="I144" s="594"/>
      <c r="J144" s="594"/>
      <c r="K144" s="594"/>
      <c r="L144" s="594"/>
      <c r="M144" s="594"/>
    </row>
    <row r="145" spans="1:13" ht="13">
      <c r="B145" s="113" t="s">
        <v>676</v>
      </c>
    </row>
    <row r="147" spans="1:13" ht="13">
      <c r="A147" s="206"/>
      <c r="B147" s="48" t="s">
        <v>336</v>
      </c>
      <c r="C147" s="48" t="s">
        <v>337</v>
      </c>
      <c r="D147" s="48" t="s">
        <v>338</v>
      </c>
      <c r="E147" s="48" t="s">
        <v>339</v>
      </c>
      <c r="F147" s="48" t="s">
        <v>340</v>
      </c>
      <c r="G147" s="48" t="s">
        <v>341</v>
      </c>
      <c r="H147" s="48" t="s">
        <v>342</v>
      </c>
      <c r="I147" s="48" t="s">
        <v>343</v>
      </c>
      <c r="J147" s="48" t="s">
        <v>344</v>
      </c>
      <c r="K147" s="48" t="s">
        <v>589</v>
      </c>
      <c r="L147" s="48" t="s">
        <v>590</v>
      </c>
      <c r="M147" s="48" t="s">
        <v>591</v>
      </c>
    </row>
    <row r="148" spans="1:13">
      <c r="A148" s="116"/>
      <c r="B148" s="129"/>
      <c r="C148" s="116"/>
      <c r="D148" s="116"/>
      <c r="E148" s="116"/>
      <c r="F148" s="116"/>
      <c r="G148" s="116"/>
      <c r="H148" s="116"/>
      <c r="I148" s="116"/>
      <c r="J148" s="116"/>
      <c r="K148" s="116"/>
      <c r="M148" s="129" t="s">
        <v>642</v>
      </c>
    </row>
    <row r="149" spans="1:13" ht="13">
      <c r="A149" s="30"/>
      <c r="B149" s="3" t="s">
        <v>643</v>
      </c>
      <c r="C149" s="48">
        <v>350.1</v>
      </c>
      <c r="D149" s="48">
        <v>350.2</v>
      </c>
      <c r="E149" s="48">
        <v>352</v>
      </c>
      <c r="F149" s="48">
        <v>353</v>
      </c>
      <c r="G149" s="48">
        <v>354</v>
      </c>
      <c r="H149" s="48">
        <v>355</v>
      </c>
      <c r="I149" s="48">
        <v>356</v>
      </c>
      <c r="J149" s="48">
        <v>357</v>
      </c>
      <c r="K149" s="48">
        <v>358</v>
      </c>
      <c r="L149" s="48">
        <v>359</v>
      </c>
      <c r="M149" s="3" t="s">
        <v>249</v>
      </c>
    </row>
    <row r="150" spans="1:13" ht="13">
      <c r="A150" s="2">
        <f>A143+1</f>
        <v>80</v>
      </c>
      <c r="B150" s="403" t="s">
        <v>2994</v>
      </c>
      <c r="C150" s="837">
        <f>C93-C131</f>
        <v>-3263.179999999702</v>
      </c>
      <c r="D150" s="837">
        <f t="shared" ref="D150:L161" si="43">D93-D131</f>
        <v>-2048.5900000333786</v>
      </c>
      <c r="E150" s="837">
        <f t="shared" si="43"/>
        <v>6864979.3967297673</v>
      </c>
      <c r="F150" s="837">
        <f t="shared" si="43"/>
        <v>9761200.7850813866</v>
      </c>
      <c r="G150" s="837">
        <f t="shared" si="43"/>
        <v>2017019.7699999809</v>
      </c>
      <c r="H150" s="837">
        <f t="shared" si="43"/>
        <v>17625674.060000062</v>
      </c>
      <c r="I150" s="837">
        <f t="shared" si="43"/>
        <v>25110436.339999914</v>
      </c>
      <c r="J150" s="837">
        <f t="shared" si="43"/>
        <v>0</v>
      </c>
      <c r="K150" s="837">
        <f t="shared" si="43"/>
        <v>680499.38999998569</v>
      </c>
      <c r="L150" s="837">
        <f t="shared" si="43"/>
        <v>319559.03000003099</v>
      </c>
      <c r="M150" s="837">
        <f t="shared" ref="M150:M161" si="44">SUM(C150:L150)</f>
        <v>62374057.001811095</v>
      </c>
    </row>
    <row r="151" spans="1:13" ht="13">
      <c r="A151" s="2">
        <f t="shared" ref="A151:A162" si="45">A150+1</f>
        <v>81</v>
      </c>
      <c r="B151" s="403" t="s">
        <v>2995</v>
      </c>
      <c r="C151" s="837">
        <f t="shared" ref="C151:C161" si="46">C94-C132</f>
        <v>-0.10000000149011612</v>
      </c>
      <c r="D151" s="837">
        <f t="shared" si="43"/>
        <v>1390.2299999892712</v>
      </c>
      <c r="E151" s="837">
        <f t="shared" si="43"/>
        <v>13056380.521542013</v>
      </c>
      <c r="F151" s="837">
        <f t="shared" si="43"/>
        <v>2928773.2428145409</v>
      </c>
      <c r="G151" s="837">
        <f t="shared" si="43"/>
        <v>19625655.229999542</v>
      </c>
      <c r="H151" s="837">
        <f t="shared" si="43"/>
        <v>3174750.4000000358</v>
      </c>
      <c r="I151" s="837">
        <f t="shared" si="43"/>
        <v>27364954.01000011</v>
      </c>
      <c r="J151" s="837">
        <f t="shared" si="43"/>
        <v>4177.339999973774</v>
      </c>
      <c r="K151" s="837">
        <f t="shared" si="43"/>
        <v>2432613.2899999619</v>
      </c>
      <c r="L151" s="837">
        <f t="shared" si="43"/>
        <v>2836210.0899999738</v>
      </c>
      <c r="M151" s="837">
        <f t="shared" si="44"/>
        <v>71424904.254356146</v>
      </c>
    </row>
    <row r="152" spans="1:13" ht="13">
      <c r="A152" s="2">
        <f t="shared" si="45"/>
        <v>82</v>
      </c>
      <c r="B152" s="403" t="s">
        <v>2996</v>
      </c>
      <c r="C152" s="837">
        <f t="shared" si="46"/>
        <v>-774140.62889998406</v>
      </c>
      <c r="D152" s="837">
        <f t="shared" si="43"/>
        <v>20669.900000035763</v>
      </c>
      <c r="E152" s="837">
        <f t="shared" si="43"/>
        <v>10761503.683743954</v>
      </c>
      <c r="F152" s="837">
        <f t="shared" si="43"/>
        <v>30272914.833339691</v>
      </c>
      <c r="G152" s="837">
        <f t="shared" si="43"/>
        <v>-116389.74000024796</v>
      </c>
      <c r="H152" s="837">
        <f t="shared" si="43"/>
        <v>11779366.71999985</v>
      </c>
      <c r="I152" s="837">
        <f t="shared" si="43"/>
        <v>1340067.0399998426</v>
      </c>
      <c r="J152" s="837">
        <f t="shared" si="43"/>
        <v>10.930000007152557</v>
      </c>
      <c r="K152" s="837">
        <f t="shared" si="43"/>
        <v>84535.75</v>
      </c>
      <c r="L152" s="837">
        <f t="shared" si="43"/>
        <v>15183.310000002384</v>
      </c>
      <c r="M152" s="837">
        <f t="shared" si="44"/>
        <v>53383721.798183151</v>
      </c>
    </row>
    <row r="153" spans="1:13" ht="13">
      <c r="A153" s="2">
        <f t="shared" si="45"/>
        <v>83</v>
      </c>
      <c r="B153" s="403" t="s">
        <v>2997</v>
      </c>
      <c r="C153" s="837">
        <f t="shared" si="46"/>
        <v>-1.4901161193847656E-8</v>
      </c>
      <c r="D153" s="837">
        <f t="shared" si="43"/>
        <v>185.76999998092651</v>
      </c>
      <c r="E153" s="837">
        <f t="shared" si="43"/>
        <v>2762103.4286803603</v>
      </c>
      <c r="F153" s="837">
        <f t="shared" si="43"/>
        <v>27378472.408294439</v>
      </c>
      <c r="G153" s="837">
        <f t="shared" si="43"/>
        <v>5087860.9500007629</v>
      </c>
      <c r="H153" s="837">
        <f t="shared" si="43"/>
        <v>10385187.460000098</v>
      </c>
      <c r="I153" s="837">
        <f t="shared" si="43"/>
        <v>7930521.7100000381</v>
      </c>
      <c r="J153" s="837">
        <f t="shared" si="43"/>
        <v>0</v>
      </c>
      <c r="K153" s="837">
        <f t="shared" si="43"/>
        <v>2208575.3800000548</v>
      </c>
      <c r="L153" s="837">
        <f t="shared" si="43"/>
        <v>498598.16999998689</v>
      </c>
      <c r="M153" s="837">
        <f t="shared" si="44"/>
        <v>56251505.276975706</v>
      </c>
    </row>
    <row r="154" spans="1:13" ht="13">
      <c r="A154" s="2">
        <f t="shared" si="45"/>
        <v>84</v>
      </c>
      <c r="B154" s="403" t="s">
        <v>2998</v>
      </c>
      <c r="C154" s="837">
        <f t="shared" si="46"/>
        <v>-1178.0199999809265</v>
      </c>
      <c r="D154" s="837">
        <f t="shared" si="43"/>
        <v>13197.920000016689</v>
      </c>
      <c r="E154" s="837">
        <f t="shared" si="43"/>
        <v>9693035.8049160242</v>
      </c>
      <c r="F154" s="837">
        <f t="shared" si="43"/>
        <v>39931792.197766066</v>
      </c>
      <c r="G154" s="837">
        <f t="shared" si="43"/>
        <v>10251055.880000114</v>
      </c>
      <c r="H154" s="837">
        <f t="shared" si="43"/>
        <v>25357228.179999977</v>
      </c>
      <c r="I154" s="837">
        <f t="shared" si="43"/>
        <v>50215097.650000334</v>
      </c>
      <c r="J154" s="837">
        <f t="shared" si="43"/>
        <v>450318.84000003338</v>
      </c>
      <c r="K154" s="837">
        <f t="shared" si="43"/>
        <v>175021.40999996662</v>
      </c>
      <c r="L154" s="837">
        <f t="shared" si="43"/>
        <v>491518.31000000238</v>
      </c>
      <c r="M154" s="837">
        <f t="shared" si="44"/>
        <v>136577088.17268255</v>
      </c>
    </row>
    <row r="155" spans="1:13" ht="13">
      <c r="A155" s="2">
        <f t="shared" si="45"/>
        <v>85</v>
      </c>
      <c r="B155" s="403" t="s">
        <v>2999</v>
      </c>
      <c r="C155" s="837">
        <f t="shared" si="46"/>
        <v>-2.2351741790771484E-8</v>
      </c>
      <c r="D155" s="837">
        <f t="shared" si="43"/>
        <v>13603.789999991655</v>
      </c>
      <c r="E155" s="837">
        <f t="shared" si="43"/>
        <v>2804058.8329999447</v>
      </c>
      <c r="F155" s="837">
        <f t="shared" si="43"/>
        <v>65821188.870667458</v>
      </c>
      <c r="G155" s="837">
        <f t="shared" si="43"/>
        <v>1550874.4199998379</v>
      </c>
      <c r="H155" s="837">
        <f t="shared" si="43"/>
        <v>10656336.870000094</v>
      </c>
      <c r="I155" s="837">
        <f t="shared" si="43"/>
        <v>-702162.63000035286</v>
      </c>
      <c r="J155" s="837">
        <f t="shared" si="43"/>
        <v>-8935.6800000071526</v>
      </c>
      <c r="K155" s="837">
        <f t="shared" si="43"/>
        <v>99178.759999990463</v>
      </c>
      <c r="L155" s="837">
        <f t="shared" si="43"/>
        <v>11575.469999969006</v>
      </c>
      <c r="M155" s="837">
        <f t="shared" si="44"/>
        <v>80245718.703666896</v>
      </c>
    </row>
    <row r="156" spans="1:13" ht="13">
      <c r="A156" s="2">
        <f t="shared" si="45"/>
        <v>86</v>
      </c>
      <c r="B156" s="403" t="s">
        <v>3000</v>
      </c>
      <c r="C156" s="837">
        <f t="shared" si="46"/>
        <v>1.4901161193847656E-8</v>
      </c>
      <c r="D156" s="837">
        <f t="shared" si="43"/>
        <v>77637.120000034571</v>
      </c>
      <c r="E156" s="837">
        <f t="shared" si="43"/>
        <v>165032.27928191423</v>
      </c>
      <c r="F156" s="837">
        <f t="shared" si="43"/>
        <v>25562543.735260963</v>
      </c>
      <c r="G156" s="837">
        <f t="shared" si="43"/>
        <v>-25152.970000505447</v>
      </c>
      <c r="H156" s="837">
        <f t="shared" si="43"/>
        <v>169415430.88999987</v>
      </c>
      <c r="I156" s="837">
        <f t="shared" si="43"/>
        <v>23151398.720000029</v>
      </c>
      <c r="J156" s="837">
        <f t="shared" si="43"/>
        <v>1784.2400000095367</v>
      </c>
      <c r="K156" s="837">
        <f t="shared" si="43"/>
        <v>23953098.680000007</v>
      </c>
      <c r="L156" s="837">
        <f t="shared" si="43"/>
        <v>129396.37000000477</v>
      </c>
      <c r="M156" s="837">
        <f t="shared" si="44"/>
        <v>242431169.06454235</v>
      </c>
    </row>
    <row r="157" spans="1:13" ht="13">
      <c r="A157" s="2">
        <f t="shared" si="45"/>
        <v>87</v>
      </c>
      <c r="B157" s="403" t="s">
        <v>3001</v>
      </c>
      <c r="C157" s="837">
        <f t="shared" si="46"/>
        <v>-1163.9000000208616</v>
      </c>
      <c r="D157" s="837">
        <f t="shared" si="43"/>
        <v>918409.03999996185</v>
      </c>
      <c r="E157" s="837">
        <f t="shared" si="43"/>
        <v>-11049545.786911964</v>
      </c>
      <c r="F157" s="837">
        <f t="shared" si="43"/>
        <v>-3464006.9772789478</v>
      </c>
      <c r="G157" s="837">
        <f t="shared" si="43"/>
        <v>9490181.8700003624</v>
      </c>
      <c r="H157" s="837">
        <f t="shared" si="43"/>
        <v>17508843.719999641</v>
      </c>
      <c r="I157" s="837">
        <f t="shared" si="43"/>
        <v>-6835853.1099998951</v>
      </c>
      <c r="J157" s="837">
        <f t="shared" si="43"/>
        <v>-7597.75</v>
      </c>
      <c r="K157" s="837">
        <f t="shared" si="43"/>
        <v>200625.07999998331</v>
      </c>
      <c r="L157" s="837">
        <f t="shared" si="43"/>
        <v>17789.159999996424</v>
      </c>
      <c r="M157" s="837">
        <f t="shared" si="44"/>
        <v>6777681.345809117</v>
      </c>
    </row>
    <row r="158" spans="1:13" ht="13">
      <c r="A158" s="2">
        <f t="shared" si="45"/>
        <v>88</v>
      </c>
      <c r="B158" s="403" t="s">
        <v>3002</v>
      </c>
      <c r="C158" s="837">
        <f t="shared" si="46"/>
        <v>-3454.2099999934435</v>
      </c>
      <c r="D158" s="837">
        <f t="shared" si="43"/>
        <v>252899.63000002503</v>
      </c>
      <c r="E158" s="837">
        <f t="shared" si="43"/>
        <v>4471278.7899620533</v>
      </c>
      <c r="F158" s="837">
        <f t="shared" si="43"/>
        <v>14471498.583736658</v>
      </c>
      <c r="G158" s="837">
        <f t="shared" si="43"/>
        <v>7209692.9000000954</v>
      </c>
      <c r="H158" s="837">
        <f t="shared" si="43"/>
        <v>20184270.3100003</v>
      </c>
      <c r="I158" s="837">
        <f t="shared" si="43"/>
        <v>-15000183.640000105</v>
      </c>
      <c r="J158" s="837">
        <f t="shared" si="43"/>
        <v>36.029999971389771</v>
      </c>
      <c r="K158" s="837">
        <f t="shared" si="43"/>
        <v>-65663.189999997616</v>
      </c>
      <c r="L158" s="837">
        <f t="shared" si="43"/>
        <v>10951.270000010729</v>
      </c>
      <c r="M158" s="837">
        <f t="shared" si="44"/>
        <v>31531326.473699018</v>
      </c>
    </row>
    <row r="159" spans="1:13" ht="13">
      <c r="A159" s="2">
        <f t="shared" si="45"/>
        <v>89</v>
      </c>
      <c r="B159" s="403" t="s">
        <v>3003</v>
      </c>
      <c r="C159" s="837">
        <f t="shared" si="46"/>
        <v>0</v>
      </c>
      <c r="D159" s="837">
        <f t="shared" si="43"/>
        <v>79735.729999989271</v>
      </c>
      <c r="E159" s="837">
        <f t="shared" si="43"/>
        <v>5542969.9261741042</v>
      </c>
      <c r="F159" s="837">
        <f t="shared" si="43"/>
        <v>3981504.9425029755</v>
      </c>
      <c r="G159" s="837">
        <f t="shared" si="43"/>
        <v>4651895.6499996185</v>
      </c>
      <c r="H159" s="837">
        <f t="shared" si="43"/>
        <v>21327509.749999702</v>
      </c>
      <c r="I159" s="837">
        <f t="shared" si="43"/>
        <v>-3738291.3199999332</v>
      </c>
      <c r="J159" s="837">
        <f t="shared" si="43"/>
        <v>619207.95999997854</v>
      </c>
      <c r="K159" s="837">
        <f t="shared" si="43"/>
        <v>2756536.9000000358</v>
      </c>
      <c r="L159" s="837">
        <f t="shared" si="43"/>
        <v>-1587.5999999940395</v>
      </c>
      <c r="M159" s="837">
        <f t="shared" si="44"/>
        <v>35219481.938676476</v>
      </c>
    </row>
    <row r="160" spans="1:13" ht="13">
      <c r="A160" s="2">
        <f t="shared" si="45"/>
        <v>90</v>
      </c>
      <c r="B160" s="403" t="s">
        <v>3004</v>
      </c>
      <c r="C160" s="837">
        <f t="shared" si="46"/>
        <v>-835012.88830000535</v>
      </c>
      <c r="D160" s="837">
        <f t="shared" si="43"/>
        <v>51690.329999983311</v>
      </c>
      <c r="E160" s="837">
        <f t="shared" si="43"/>
        <v>1475249.6361519098</v>
      </c>
      <c r="F160" s="837">
        <f t="shared" si="43"/>
        <v>6450169.2504069805</v>
      </c>
      <c r="G160" s="837">
        <f t="shared" si="43"/>
        <v>1429224.0700001717</v>
      </c>
      <c r="H160" s="837">
        <f t="shared" si="43"/>
        <v>15387237.779999971</v>
      </c>
      <c r="I160" s="837">
        <f t="shared" si="43"/>
        <v>1804326.2899999619</v>
      </c>
      <c r="J160" s="837">
        <f t="shared" si="43"/>
        <v>843.5</v>
      </c>
      <c r="K160" s="837">
        <f t="shared" si="43"/>
        <v>44876.180000007153</v>
      </c>
      <c r="L160" s="837">
        <f t="shared" si="43"/>
        <v>2341.7299999892712</v>
      </c>
      <c r="M160" s="837">
        <f t="shared" si="44"/>
        <v>25810945.87825897</v>
      </c>
    </row>
    <row r="161" spans="1:13" ht="13">
      <c r="A161" s="2">
        <f t="shared" si="45"/>
        <v>91</v>
      </c>
      <c r="B161" s="403" t="s">
        <v>3005</v>
      </c>
      <c r="C161" s="838">
        <f t="shared" si="46"/>
        <v>1.1175870895385742E-8</v>
      </c>
      <c r="D161" s="838">
        <f t="shared" si="43"/>
        <v>1105.9799999892712</v>
      </c>
      <c r="E161" s="838">
        <f t="shared" si="43"/>
        <v>5399852.2999999523</v>
      </c>
      <c r="F161" s="838">
        <f t="shared" si="43"/>
        <v>31624865.079999685</v>
      </c>
      <c r="G161" s="838">
        <f t="shared" si="43"/>
        <v>-259848.76999998093</v>
      </c>
      <c r="H161" s="838">
        <f t="shared" si="43"/>
        <v>18641296.780000359</v>
      </c>
      <c r="I161" s="838">
        <f t="shared" si="43"/>
        <v>2675019.8299999237</v>
      </c>
      <c r="J161" s="838">
        <f t="shared" si="43"/>
        <v>-143006.77999997139</v>
      </c>
      <c r="K161" s="838">
        <f t="shared" si="43"/>
        <v>1531509.7699999809</v>
      </c>
      <c r="L161" s="838">
        <f t="shared" si="43"/>
        <v>11533.930000007153</v>
      </c>
      <c r="M161" s="838">
        <f t="shared" si="44"/>
        <v>59482328.11999996</v>
      </c>
    </row>
    <row r="162" spans="1:13" ht="13">
      <c r="A162" s="2">
        <f t="shared" si="45"/>
        <v>92</v>
      </c>
      <c r="B162" s="583" t="s">
        <v>409</v>
      </c>
      <c r="C162" s="837">
        <f t="shared" ref="C162:M162" si="47">SUM(C150:C161)</f>
        <v>-1618212.927199997</v>
      </c>
      <c r="D162" s="837">
        <f t="shared" si="47"/>
        <v>1428476.8499999642</v>
      </c>
      <c r="E162" s="837">
        <f t="shared" si="47"/>
        <v>51946898.813270032</v>
      </c>
      <c r="F162" s="837">
        <f t="shared" si="47"/>
        <v>254720916.9525919</v>
      </c>
      <c r="G162" s="837">
        <f t="shared" si="47"/>
        <v>60912069.259999752</v>
      </c>
      <c r="H162" s="837">
        <f t="shared" si="47"/>
        <v>341443132.91999996</v>
      </c>
      <c r="I162" s="837">
        <f t="shared" si="47"/>
        <v>113315330.88999987</v>
      </c>
      <c r="J162" s="837">
        <f t="shared" si="47"/>
        <v>916838.62999999523</v>
      </c>
      <c r="K162" s="837">
        <f t="shared" si="47"/>
        <v>34101407.399999976</v>
      </c>
      <c r="L162" s="837">
        <f t="shared" si="47"/>
        <v>4343069.2399999797</v>
      </c>
      <c r="M162" s="837">
        <f t="shared" si="47"/>
        <v>861509928.02866149</v>
      </c>
    </row>
    <row r="163" spans="1:13" ht="13">
      <c r="A163" s="2"/>
      <c r="B163" s="583"/>
      <c r="C163" s="594"/>
      <c r="D163" s="594"/>
      <c r="E163" s="594"/>
      <c r="F163" s="594"/>
      <c r="G163" s="594"/>
      <c r="H163" s="594"/>
      <c r="I163" s="594"/>
      <c r="J163" s="594"/>
      <c r="K163" s="594"/>
      <c r="L163" s="594"/>
      <c r="M163" s="594"/>
    </row>
    <row r="164" spans="1:13" s="247" customFormat="1" ht="13">
      <c r="B164" s="1" t="s">
        <v>677</v>
      </c>
      <c r="M164" s="594"/>
    </row>
    <row r="165" spans="1:13" s="247" customFormat="1">
      <c r="M165" s="594"/>
    </row>
    <row r="166" spans="1:13" s="247" customFormat="1" ht="13">
      <c r="B166" s="3" t="s">
        <v>643</v>
      </c>
      <c r="C166" s="48">
        <v>350.1</v>
      </c>
      <c r="D166" s="48">
        <v>350.2</v>
      </c>
      <c r="E166" s="48">
        <v>352</v>
      </c>
      <c r="F166" s="48">
        <v>353</v>
      </c>
      <c r="G166" s="48">
        <v>354</v>
      </c>
      <c r="H166" s="48">
        <v>355</v>
      </c>
      <c r="I166" s="48">
        <v>356</v>
      </c>
      <c r="J166" s="48">
        <v>357</v>
      </c>
      <c r="K166" s="48">
        <v>358</v>
      </c>
      <c r="L166" s="48">
        <v>359</v>
      </c>
      <c r="M166" s="594"/>
    </row>
    <row r="167" spans="1:13" s="247" customFormat="1" ht="13">
      <c r="A167" s="2">
        <f>A162+1</f>
        <v>93</v>
      </c>
      <c r="B167" s="403" t="s">
        <v>2994</v>
      </c>
      <c r="C167" s="597">
        <f>C150/C$162</f>
        <v>2.016533142919579E-3</v>
      </c>
      <c r="D167" s="597">
        <f t="shared" ref="D167:L167" si="48">D150/D$162</f>
        <v>-1.4341079451399088E-3</v>
      </c>
      <c r="E167" s="597">
        <f t="shared" si="48"/>
        <v>0.13215378691626692</v>
      </c>
      <c r="F167" s="597">
        <f t="shared" si="48"/>
        <v>3.832115910174004E-2</v>
      </c>
      <c r="G167" s="597">
        <f>G150/G$162</f>
        <v>3.3113630755022376E-2</v>
      </c>
      <c r="H167" s="597">
        <f t="shared" si="48"/>
        <v>5.1621111572127454E-2</v>
      </c>
      <c r="I167" s="597">
        <f t="shared" si="48"/>
        <v>0.22159787332197539</v>
      </c>
      <c r="J167" s="597">
        <f t="shared" si="48"/>
        <v>0</v>
      </c>
      <c r="K167" s="597">
        <f t="shared" si="48"/>
        <v>1.9955170237342938E-2</v>
      </c>
      <c r="L167" s="597">
        <f t="shared" si="48"/>
        <v>7.3579077914961474E-2</v>
      </c>
      <c r="M167" s="594"/>
    </row>
    <row r="168" spans="1:13" s="247" customFormat="1" ht="13">
      <c r="A168" s="2">
        <f t="shared" ref="A168:A178" si="49">A167+1</f>
        <v>94</v>
      </c>
      <c r="B168" s="403" t="s">
        <v>2995</v>
      </c>
      <c r="C168" s="597">
        <f>C151/C$162</f>
        <v>6.1796565711007322E-8</v>
      </c>
      <c r="D168" s="597">
        <f t="shared" ref="C168:L178" si="50">D151/D$162</f>
        <v>9.7322543238226506E-4</v>
      </c>
      <c r="E168" s="597">
        <f t="shared" si="50"/>
        <v>0.25134090426600619</v>
      </c>
      <c r="F168" s="597">
        <f t="shared" si="50"/>
        <v>1.1497969141496291E-2</v>
      </c>
      <c r="G168" s="597">
        <f t="shared" si="50"/>
        <v>0.32219649518437032</v>
      </c>
      <c r="H168" s="597">
        <f t="shared" si="50"/>
        <v>9.2980355845782344E-3</v>
      </c>
      <c r="I168" s="597">
        <f t="shared" si="50"/>
        <v>0.24149383666861868</v>
      </c>
      <c r="J168" s="597">
        <f t="shared" si="50"/>
        <v>4.5562434470870798E-3</v>
      </c>
      <c r="K168" s="597">
        <f t="shared" si="50"/>
        <v>7.133468896066629E-2</v>
      </c>
      <c r="L168" s="597">
        <f t="shared" si="50"/>
        <v>0.65304279836901402</v>
      </c>
      <c r="M168" s="594"/>
    </row>
    <row r="169" spans="1:13" s="247" customFormat="1" ht="13">
      <c r="A169" s="2">
        <f t="shared" si="49"/>
        <v>95</v>
      </c>
      <c r="B169" s="403" t="s">
        <v>2996</v>
      </c>
      <c r="C169" s="597">
        <f t="shared" si="50"/>
        <v>0.47839231530518295</v>
      </c>
      <c r="D169" s="597">
        <f t="shared" si="50"/>
        <v>1.4469887978959043E-2</v>
      </c>
      <c r="E169" s="597">
        <f t="shared" si="50"/>
        <v>0.20716354449622865</v>
      </c>
      <c r="F169" s="597">
        <f t="shared" si="50"/>
        <v>0.11884738479868938</v>
      </c>
      <c r="G169" s="597">
        <f t="shared" si="50"/>
        <v>-1.9107828943299378E-3</v>
      </c>
      <c r="H169" s="597">
        <f t="shared" si="50"/>
        <v>3.4498765927032868E-2</v>
      </c>
      <c r="I169" s="597">
        <f t="shared" si="50"/>
        <v>1.1825999443100105E-2</v>
      </c>
      <c r="J169" s="597">
        <f t="shared" si="50"/>
        <v>1.1921399960157234E-5</v>
      </c>
      <c r="K169" s="597">
        <f t="shared" si="50"/>
        <v>2.478951939092111E-3</v>
      </c>
      <c r="L169" s="597">
        <f t="shared" si="50"/>
        <v>3.4959861703707158E-3</v>
      </c>
      <c r="M169" s="594"/>
    </row>
    <row r="170" spans="1:13" s="247" customFormat="1" ht="13">
      <c r="A170" s="2">
        <f t="shared" si="49"/>
        <v>96</v>
      </c>
      <c r="B170" s="403" t="s">
        <v>2997</v>
      </c>
      <c r="C170" s="597">
        <f t="shared" si="50"/>
        <v>9.2084057316432518E-15</v>
      </c>
      <c r="D170" s="597">
        <f t="shared" si="50"/>
        <v>1.3004760978865788E-4</v>
      </c>
      <c r="E170" s="597">
        <f t="shared" si="50"/>
        <v>5.3171671298590989E-2</v>
      </c>
      <c r="F170" s="597">
        <f t="shared" si="50"/>
        <v>0.10748419382217465</v>
      </c>
      <c r="G170" s="597">
        <f t="shared" si="50"/>
        <v>8.3527961072599813E-2</v>
      </c>
      <c r="H170" s="597">
        <f t="shared" si="50"/>
        <v>3.0415569852545093E-2</v>
      </c>
      <c r="I170" s="597">
        <f t="shared" si="50"/>
        <v>6.9986308540179273E-2</v>
      </c>
      <c r="J170" s="597">
        <f t="shared" si="50"/>
        <v>0</v>
      </c>
      <c r="K170" s="597">
        <f t="shared" si="50"/>
        <v>6.4764933426180421E-2</v>
      </c>
      <c r="L170" s="597">
        <f t="shared" si="50"/>
        <v>0.11480318236878702</v>
      </c>
      <c r="M170" s="594"/>
    </row>
    <row r="171" spans="1:13" s="247" customFormat="1" ht="13">
      <c r="A171" s="2">
        <f t="shared" si="49"/>
        <v>97</v>
      </c>
      <c r="B171" s="403" t="s">
        <v>2998</v>
      </c>
      <c r="C171" s="597">
        <f t="shared" si="50"/>
        <v>7.2797589252933555E-4</v>
      </c>
      <c r="D171" s="597">
        <f t="shared" si="50"/>
        <v>9.2391556783135969E-3</v>
      </c>
      <c r="E171" s="597">
        <f t="shared" si="50"/>
        <v>0.18659508125324126</v>
      </c>
      <c r="F171" s="597">
        <f t="shared" si="50"/>
        <v>0.1567668359375374</v>
      </c>
      <c r="G171" s="597">
        <f t="shared" si="50"/>
        <v>0.16829268820673382</v>
      </c>
      <c r="H171" s="597">
        <f t="shared" si="50"/>
        <v>7.4264865024950347E-2</v>
      </c>
      <c r="I171" s="597">
        <f t="shared" si="50"/>
        <v>0.44314478240147681</v>
      </c>
      <c r="J171" s="597">
        <f t="shared" si="50"/>
        <v>0.49116477563781941</v>
      </c>
      <c r="K171" s="597">
        <f t="shared" si="50"/>
        <v>5.1323808412660045E-3</v>
      </c>
      <c r="L171" s="597">
        <f t="shared" si="50"/>
        <v>0.11317303106132488</v>
      </c>
      <c r="M171" s="594"/>
    </row>
    <row r="172" spans="1:13" s="247" customFormat="1" ht="13">
      <c r="A172" s="2">
        <f t="shared" si="49"/>
        <v>98</v>
      </c>
      <c r="B172" s="403" t="s">
        <v>2999</v>
      </c>
      <c r="C172" s="597">
        <f t="shared" si="50"/>
        <v>1.3812608597464878E-14</v>
      </c>
      <c r="D172" s="597">
        <f t="shared" si="50"/>
        <v>9.5232834889777858E-3</v>
      </c>
      <c r="E172" s="597">
        <f t="shared" si="50"/>
        <v>5.397933076004216E-2</v>
      </c>
      <c r="F172" s="597">
        <f t="shared" si="50"/>
        <v>0.25840511905395641</v>
      </c>
      <c r="G172" s="597">
        <f t="shared" si="50"/>
        <v>2.5460872349944597E-2</v>
      </c>
      <c r="H172" s="597">
        <f t="shared" si="50"/>
        <v>3.1209697435903246E-2</v>
      </c>
      <c r="I172" s="597">
        <f t="shared" si="50"/>
        <v>-6.1965369071019412E-3</v>
      </c>
      <c r="J172" s="597">
        <f t="shared" si="50"/>
        <v>-9.7461861963726373E-3</v>
      </c>
      <c r="K172" s="597">
        <f t="shared" si="50"/>
        <v>2.9083479997365309E-3</v>
      </c>
      <c r="L172" s="597">
        <f t="shared" si="50"/>
        <v>2.6652741092308856E-3</v>
      </c>
      <c r="M172" s="594"/>
    </row>
    <row r="173" spans="1:13" s="247" customFormat="1" ht="13">
      <c r="A173" s="2">
        <f t="shared" si="49"/>
        <v>99</v>
      </c>
      <c r="B173" s="403" t="s">
        <v>3000</v>
      </c>
      <c r="C173" s="597">
        <f t="shared" si="50"/>
        <v>-9.2084057316432518E-15</v>
      </c>
      <c r="D173" s="597">
        <f t="shared" si="50"/>
        <v>5.4349582214116045E-2</v>
      </c>
      <c r="E173" s="597">
        <f t="shared" si="50"/>
        <v>3.1769418974392388E-3</v>
      </c>
      <c r="F173" s="597">
        <f t="shared" si="50"/>
        <v>0.10035510252194407</v>
      </c>
      <c r="G173" s="597">
        <f t="shared" si="50"/>
        <v>-4.1293901694820784E-4</v>
      </c>
      <c r="H173" s="597">
        <f t="shared" si="50"/>
        <v>0.49617466147633393</v>
      </c>
      <c r="I173" s="597">
        <f t="shared" si="50"/>
        <v>0.20430950109014023</v>
      </c>
      <c r="J173" s="597">
        <f t="shared" si="50"/>
        <v>1.94607855911301E-3</v>
      </c>
      <c r="K173" s="597">
        <f t="shared" si="50"/>
        <v>0.70240792114638717</v>
      </c>
      <c r="L173" s="597">
        <f t="shared" si="50"/>
        <v>2.9793761703878655E-2</v>
      </c>
      <c r="M173" s="594"/>
    </row>
    <row r="174" spans="1:13" s="247" customFormat="1" ht="13">
      <c r="A174" s="2">
        <f t="shared" si="49"/>
        <v>100</v>
      </c>
      <c r="B174" s="403" t="s">
        <v>3001</v>
      </c>
      <c r="C174" s="597">
        <f t="shared" si="50"/>
        <v>7.1925021760564254E-4</v>
      </c>
      <c r="D174" s="597">
        <f t="shared" si="50"/>
        <v>0.64292889310735757</v>
      </c>
      <c r="E174" s="597">
        <f t="shared" si="50"/>
        <v>-0.21270847806778634</v>
      </c>
      <c r="F174" s="597">
        <f t="shared" si="50"/>
        <v>-1.3599224668006598E-2</v>
      </c>
      <c r="G174" s="597">
        <f t="shared" si="50"/>
        <v>0.15580133765431697</v>
      </c>
      <c r="H174" s="597">
        <f t="shared" si="50"/>
        <v>5.1278945252947752E-2</v>
      </c>
      <c r="I174" s="597">
        <f t="shared" si="50"/>
        <v>-6.0325933448808933E-2</v>
      </c>
      <c r="J174" s="597">
        <f t="shared" si="50"/>
        <v>-8.2868999531575584E-3</v>
      </c>
      <c r="K174" s="597">
        <f t="shared" si="50"/>
        <v>5.883190615762781E-3</v>
      </c>
      <c r="L174" s="597">
        <f t="shared" si="50"/>
        <v>4.0959881173795211E-3</v>
      </c>
      <c r="M174" s="594"/>
    </row>
    <row r="175" spans="1:13" s="247" customFormat="1" ht="13">
      <c r="A175" s="2">
        <f t="shared" si="49"/>
        <v>101</v>
      </c>
      <c r="B175" s="403" t="s">
        <v>3002</v>
      </c>
      <c r="C175" s="597">
        <f t="shared" si="50"/>
        <v>2.1345831206343669E-3</v>
      </c>
      <c r="D175" s="597">
        <f t="shared" si="50"/>
        <v>0.17704146203001564</v>
      </c>
      <c r="E175" s="597">
        <f t="shared" si="50"/>
        <v>8.607402736464892E-2</v>
      </c>
      <c r="F175" s="597">
        <f t="shared" si="50"/>
        <v>5.6813153614824898E-2</v>
      </c>
      <c r="G175" s="597">
        <f t="shared" si="50"/>
        <v>0.11836230467275582</v>
      </c>
      <c r="H175" s="597">
        <f t="shared" si="50"/>
        <v>5.9114588533047081E-2</v>
      </c>
      <c r="I175" s="597">
        <f t="shared" si="50"/>
        <v>-0.13237558874148669</v>
      </c>
      <c r="J175" s="597">
        <f t="shared" si="50"/>
        <v>3.9298082336899304E-5</v>
      </c>
      <c r="K175" s="597">
        <f t="shared" si="50"/>
        <v>-1.9255272731059675E-3</v>
      </c>
      <c r="L175" s="597">
        <f t="shared" si="50"/>
        <v>2.5215508652610798E-3</v>
      </c>
      <c r="M175" s="594"/>
    </row>
    <row r="176" spans="1:13" s="247" customFormat="1" ht="13">
      <c r="A176" s="2">
        <f t="shared" si="49"/>
        <v>102</v>
      </c>
      <c r="B176" s="403" t="s">
        <v>3003</v>
      </c>
      <c r="C176" s="597">
        <f t="shared" si="50"/>
        <v>0</v>
      </c>
      <c r="D176" s="597">
        <f t="shared" si="50"/>
        <v>5.581870647745623E-2</v>
      </c>
      <c r="E176" s="597">
        <f t="shared" si="50"/>
        <v>0.10670453968963652</v>
      </c>
      <c r="F176" s="597">
        <f t="shared" si="50"/>
        <v>1.5630851954117314E-2</v>
      </c>
      <c r="G176" s="597">
        <f t="shared" si="50"/>
        <v>7.6370671798117101E-2</v>
      </c>
      <c r="H176" s="597">
        <f t="shared" si="50"/>
        <v>6.2462845767633966E-2</v>
      </c>
      <c r="I176" s="597">
        <f t="shared" si="50"/>
        <v>-3.2990163737233895E-2</v>
      </c>
      <c r="J176" s="597">
        <f t="shared" si="50"/>
        <v>0.67537289522800947</v>
      </c>
      <c r="K176" s="597">
        <f t="shared" si="50"/>
        <v>8.0833523017587769E-2</v>
      </c>
      <c r="L176" s="597">
        <f t="shared" si="50"/>
        <v>-3.6554793678445868E-4</v>
      </c>
      <c r="M176" s="594"/>
    </row>
    <row r="177" spans="1:13" s="247" customFormat="1" ht="13">
      <c r="A177" s="2">
        <f t="shared" si="49"/>
        <v>103</v>
      </c>
      <c r="B177" s="403" t="s">
        <v>3004</v>
      </c>
      <c r="C177" s="597">
        <f t="shared" si="50"/>
        <v>0.51600928052455552</v>
      </c>
      <c r="D177" s="597">
        <f t="shared" si="50"/>
        <v>3.6185626669402872E-2</v>
      </c>
      <c r="E177" s="597">
        <f t="shared" si="50"/>
        <v>2.8399185896638198E-2</v>
      </c>
      <c r="F177" s="597">
        <f t="shared" si="50"/>
        <v>2.5322495410172664E-2</v>
      </c>
      <c r="G177" s="597">
        <f t="shared" si="50"/>
        <v>2.3463725454796303E-2</v>
      </c>
      <c r="H177" s="597">
        <f t="shared" si="50"/>
        <v>4.5065301646014355E-2</v>
      </c>
      <c r="I177" s="597">
        <f t="shared" si="50"/>
        <v>1.5923055387372959E-2</v>
      </c>
      <c r="J177" s="597">
        <f t="shared" si="50"/>
        <v>9.2000922779617651E-4</v>
      </c>
      <c r="K177" s="597">
        <f t="shared" si="50"/>
        <v>1.3159626954284351E-3</v>
      </c>
      <c r="L177" s="597">
        <f t="shared" si="50"/>
        <v>5.3918781179488685E-4</v>
      </c>
      <c r="M177" s="594"/>
    </row>
    <row r="178" spans="1:13" s="247" customFormat="1" ht="13">
      <c r="A178" s="2">
        <f t="shared" si="49"/>
        <v>104</v>
      </c>
      <c r="B178" s="403" t="s">
        <v>3005</v>
      </c>
      <c r="C178" s="597">
        <f t="shared" si="50"/>
        <v>-6.9063042987324388E-15</v>
      </c>
      <c r="D178" s="597">
        <f t="shared" si="50"/>
        <v>7.7423725837019958E-4</v>
      </c>
      <c r="E178" s="597">
        <f t="shared" si="50"/>
        <v>0.10394946422904729</v>
      </c>
      <c r="F178" s="597">
        <f t="shared" si="50"/>
        <v>0.12415495931135344</v>
      </c>
      <c r="G178" s="597">
        <f t="shared" si="50"/>
        <v>-4.2659652373790002E-3</v>
      </c>
      <c r="H178" s="597">
        <f t="shared" si="50"/>
        <v>5.4595611926885668E-2</v>
      </c>
      <c r="I178" s="597">
        <f t="shared" si="50"/>
        <v>2.3606865981768012E-2</v>
      </c>
      <c r="J178" s="597">
        <f t="shared" si="50"/>
        <v>-0.15597813543259204</v>
      </c>
      <c r="K178" s="597">
        <f t="shared" si="50"/>
        <v>4.4910456393655533E-2</v>
      </c>
      <c r="L178" s="597">
        <f t="shared" si="50"/>
        <v>2.6557094447813147E-3</v>
      </c>
      <c r="M178" s="594"/>
    </row>
    <row r="180" spans="1:13" ht="13">
      <c r="B180" s="1" t="s">
        <v>678</v>
      </c>
    </row>
    <row r="181" spans="1:13">
      <c r="B181" s="246" t="s">
        <v>679</v>
      </c>
    </row>
    <row r="182" spans="1:13" ht="13">
      <c r="B182" s="12"/>
      <c r="C182" s="48">
        <v>350.1</v>
      </c>
      <c r="D182" s="48">
        <v>350.2</v>
      </c>
      <c r="E182" s="48">
        <v>352</v>
      </c>
      <c r="F182" s="48">
        <v>353</v>
      </c>
      <c r="G182" s="48">
        <v>354</v>
      </c>
      <c r="H182" s="48">
        <v>355</v>
      </c>
      <c r="I182" s="48">
        <v>356</v>
      </c>
      <c r="J182" s="48">
        <v>357</v>
      </c>
      <c r="K182" s="48">
        <v>358</v>
      </c>
      <c r="L182" s="48">
        <v>359</v>
      </c>
      <c r="M182" s="3" t="s">
        <v>249</v>
      </c>
    </row>
    <row r="183" spans="1:13" ht="13">
      <c r="A183" s="2">
        <f>A178+1</f>
        <v>105</v>
      </c>
      <c r="B183" s="12"/>
      <c r="C183" s="6">
        <f t="shared" ref="C183:L183" si="51">C24-C12</f>
        <v>-4717041.6539924145</v>
      </c>
      <c r="D183" s="6">
        <f t="shared" si="51"/>
        <v>790673.53458631039</v>
      </c>
      <c r="E183" s="6">
        <f t="shared" si="51"/>
        <v>62156235.162039876</v>
      </c>
      <c r="F183" s="6">
        <f t="shared" si="51"/>
        <v>297825517.87320805</v>
      </c>
      <c r="G183" s="6">
        <f t="shared" si="51"/>
        <v>47977549.906828403</v>
      </c>
      <c r="H183" s="6">
        <f t="shared" si="51"/>
        <v>89475330.603238225</v>
      </c>
      <c r="I183" s="6">
        <f t="shared" si="51"/>
        <v>75011925.331853867</v>
      </c>
      <c r="J183" s="6">
        <f t="shared" si="51"/>
        <v>-68.794891536235809</v>
      </c>
      <c r="K183" s="6">
        <f t="shared" si="51"/>
        <v>0</v>
      </c>
      <c r="L183" s="6">
        <f t="shared" si="51"/>
        <v>3165989.7806140482</v>
      </c>
      <c r="M183" s="6">
        <f>M24-M12</f>
        <v>571686111.7434845</v>
      </c>
    </row>
    <row r="184" spans="1:13">
      <c r="B184" s="12"/>
      <c r="C184" s="6"/>
      <c r="D184" s="6"/>
      <c r="E184" s="6"/>
      <c r="F184" s="6"/>
      <c r="G184" s="6"/>
      <c r="H184" s="6"/>
      <c r="I184" s="6"/>
      <c r="J184" s="6"/>
      <c r="K184" s="6"/>
      <c r="L184" s="6"/>
      <c r="M184" s="6"/>
    </row>
    <row r="185" spans="1:13">
      <c r="B185" s="246" t="s">
        <v>680</v>
      </c>
      <c r="C185" s="6"/>
      <c r="D185" s="6"/>
      <c r="E185" s="6"/>
      <c r="F185" s="6"/>
      <c r="G185" s="6"/>
      <c r="H185" s="6"/>
      <c r="I185" s="6"/>
      <c r="J185" s="6"/>
      <c r="K185" s="6"/>
      <c r="L185" s="6"/>
      <c r="M185" s="6"/>
    </row>
    <row r="186" spans="1:13" ht="13">
      <c r="B186" s="12"/>
      <c r="C186" s="48">
        <v>350.1</v>
      </c>
      <c r="D186" s="48">
        <v>350.2</v>
      </c>
      <c r="E186" s="48">
        <v>352</v>
      </c>
      <c r="F186" s="48">
        <v>353</v>
      </c>
      <c r="G186" s="48">
        <v>354</v>
      </c>
      <c r="H186" s="48">
        <v>355</v>
      </c>
      <c r="I186" s="48">
        <v>356</v>
      </c>
      <c r="J186" s="48">
        <v>357</v>
      </c>
      <c r="K186" s="48">
        <v>358</v>
      </c>
      <c r="L186" s="48">
        <v>359</v>
      </c>
      <c r="M186" s="3" t="s">
        <v>249</v>
      </c>
    </row>
    <row r="187" spans="1:13" ht="13">
      <c r="A187" s="2">
        <f>A183+1</f>
        <v>106</v>
      </c>
      <c r="B187" s="12"/>
      <c r="C187" s="6">
        <f>C143</f>
        <v>-2702063.1427999958</v>
      </c>
      <c r="D187" s="6">
        <f t="shared" ref="D187:M187" si="52">D143</f>
        <v>1119116.8900000155</v>
      </c>
      <c r="E187" s="6">
        <f t="shared" si="52"/>
        <v>40044917.686729968</v>
      </c>
      <c r="F187" s="6">
        <f t="shared" si="52"/>
        <v>195712316.24740791</v>
      </c>
      <c r="G187" s="6">
        <f t="shared" si="52"/>
        <v>8850294.3400001526</v>
      </c>
      <c r="H187" s="6">
        <f t="shared" si="52"/>
        <v>-34764.149999976158</v>
      </c>
      <c r="I187" s="6">
        <f t="shared" si="52"/>
        <v>12681949.430000067</v>
      </c>
      <c r="J187" s="6">
        <f t="shared" si="52"/>
        <v>0</v>
      </c>
      <c r="K187" s="6">
        <f t="shared" si="52"/>
        <v>0</v>
      </c>
      <c r="L187" s="6">
        <f t="shared" si="52"/>
        <v>415876.43000000715</v>
      </c>
      <c r="M187" s="6">
        <f t="shared" si="52"/>
        <v>256087643.73133814</v>
      </c>
    </row>
    <row r="188" spans="1:13">
      <c r="B188" s="12"/>
      <c r="C188" s="6"/>
      <c r="D188" s="6"/>
      <c r="E188" s="6"/>
      <c r="F188" s="6"/>
      <c r="G188" s="6"/>
      <c r="H188" s="6"/>
      <c r="I188" s="6"/>
      <c r="J188" s="6"/>
      <c r="K188" s="6"/>
      <c r="L188" s="6"/>
      <c r="M188" s="6"/>
    </row>
    <row r="189" spans="1:13">
      <c r="B189" s="246" t="s">
        <v>681</v>
      </c>
      <c r="C189" s="6"/>
      <c r="D189" s="6"/>
      <c r="E189" s="6"/>
      <c r="F189" s="6"/>
      <c r="G189" s="6"/>
      <c r="H189" s="6"/>
      <c r="I189" s="6"/>
      <c r="J189" s="6"/>
      <c r="K189" s="6"/>
      <c r="L189" s="6"/>
      <c r="M189" s="6"/>
    </row>
    <row r="190" spans="1:13" ht="13">
      <c r="C190" s="48">
        <v>350.1</v>
      </c>
      <c r="D190" s="48">
        <v>350.2</v>
      </c>
      <c r="E190" s="48">
        <v>352</v>
      </c>
      <c r="F190" s="48">
        <v>353</v>
      </c>
      <c r="G190" s="48">
        <v>354</v>
      </c>
      <c r="H190" s="48">
        <v>355</v>
      </c>
      <c r="I190" s="48">
        <v>356</v>
      </c>
      <c r="J190" s="48">
        <v>357</v>
      </c>
      <c r="K190" s="48">
        <v>358</v>
      </c>
      <c r="L190" s="48">
        <v>359</v>
      </c>
      <c r="M190" s="3" t="s">
        <v>249</v>
      </c>
    </row>
    <row r="191" spans="1:13" ht="13">
      <c r="A191" s="2">
        <f>A187+1</f>
        <v>107</v>
      </c>
      <c r="C191" s="6">
        <f>C183-C187</f>
        <v>-2014978.5111924186</v>
      </c>
      <c r="D191" s="6">
        <f t="shared" ref="D191:M191" si="53">D183-D187</f>
        <v>-328443.35541370511</v>
      </c>
      <c r="E191" s="6">
        <f t="shared" si="53"/>
        <v>22111317.475309908</v>
      </c>
      <c r="F191" s="6">
        <f t="shared" si="53"/>
        <v>102113201.62580013</v>
      </c>
      <c r="G191" s="6">
        <f t="shared" si="53"/>
        <v>39127255.566828251</v>
      </c>
      <c r="H191" s="6">
        <f t="shared" si="53"/>
        <v>89510094.753238201</v>
      </c>
      <c r="I191" s="6">
        <f t="shared" si="53"/>
        <v>62329975.9018538</v>
      </c>
      <c r="J191" s="6">
        <f t="shared" si="53"/>
        <v>-68.794891536235809</v>
      </c>
      <c r="K191" s="6">
        <f t="shared" si="53"/>
        <v>0</v>
      </c>
      <c r="L191" s="6">
        <f t="shared" si="53"/>
        <v>2750113.3506140411</v>
      </c>
      <c r="M191" s="6">
        <f t="shared" si="53"/>
        <v>315598468.01214635</v>
      </c>
    </row>
    <row r="193" spans="1:13" ht="13">
      <c r="B193" s="1" t="s">
        <v>682</v>
      </c>
    </row>
    <row r="194" spans="1:13" ht="13">
      <c r="A194" s="206"/>
      <c r="B194" s="48" t="s">
        <v>336</v>
      </c>
      <c r="C194" s="48" t="s">
        <v>337</v>
      </c>
      <c r="D194" s="48" t="s">
        <v>338</v>
      </c>
      <c r="E194" s="48" t="s">
        <v>339</v>
      </c>
      <c r="F194" s="48" t="s">
        <v>340</v>
      </c>
      <c r="G194" s="48" t="s">
        <v>341</v>
      </c>
      <c r="H194" s="48" t="s">
        <v>342</v>
      </c>
      <c r="I194" s="48" t="s">
        <v>343</v>
      </c>
      <c r="J194" s="48" t="s">
        <v>344</v>
      </c>
      <c r="K194" s="48" t="s">
        <v>589</v>
      </c>
      <c r="L194" s="48" t="s">
        <v>590</v>
      </c>
      <c r="M194" s="48" t="s">
        <v>591</v>
      </c>
    </row>
    <row r="195" spans="1:13" ht="13">
      <c r="A195" s="116"/>
      <c r="B195" s="119"/>
      <c r="C195" s="116"/>
      <c r="D195" s="116"/>
      <c r="E195" s="116"/>
      <c r="F195" s="272"/>
      <c r="G195" s="116"/>
      <c r="H195" s="116"/>
      <c r="I195" s="116"/>
      <c r="J195" s="116"/>
      <c r="K195" s="116"/>
      <c r="L195" s="116"/>
      <c r="M195" s="129" t="s">
        <v>642</v>
      </c>
    </row>
    <row r="196" spans="1:13" ht="13">
      <c r="A196" s="116"/>
      <c r="B196" s="2"/>
      <c r="C196" s="48"/>
      <c r="D196" s="48"/>
      <c r="E196" s="116"/>
      <c r="F196" s="116"/>
      <c r="G196" s="116"/>
      <c r="H196" s="116"/>
      <c r="I196" s="116"/>
      <c r="J196" s="116"/>
      <c r="K196" s="116"/>
      <c r="L196" s="116"/>
    </row>
    <row r="197" spans="1:13" ht="13">
      <c r="A197" s="30"/>
      <c r="B197" s="3" t="s">
        <v>643</v>
      </c>
      <c r="C197" s="48">
        <v>350.1</v>
      </c>
      <c r="D197" s="48">
        <v>350.2</v>
      </c>
      <c r="E197" s="48">
        <v>352</v>
      </c>
      <c r="F197" s="48">
        <v>353</v>
      </c>
      <c r="G197" s="48">
        <v>354</v>
      </c>
      <c r="H197" s="48">
        <v>355</v>
      </c>
      <c r="I197" s="48">
        <v>356</v>
      </c>
      <c r="J197" s="48">
        <v>357</v>
      </c>
      <c r="K197" s="48">
        <v>358</v>
      </c>
      <c r="L197" s="48">
        <v>359</v>
      </c>
      <c r="M197" s="3" t="s">
        <v>249</v>
      </c>
    </row>
    <row r="198" spans="1:13" ht="13">
      <c r="A198" s="2">
        <f>A191+1</f>
        <v>108</v>
      </c>
      <c r="B198" s="403" t="s">
        <v>2994</v>
      </c>
      <c r="C198" s="249">
        <f>C$191*C167</f>
        <v>-4063.270950090262</v>
      </c>
      <c r="D198" s="249">
        <f t="shared" ref="D198:L198" si="54">D$191*D167</f>
        <v>471.0232255272054</v>
      </c>
      <c r="E198" s="249">
        <f t="shared" si="54"/>
        <v>2922094.3380700345</v>
      </c>
      <c r="F198" s="249">
        <f t="shared" si="54"/>
        <v>3913096.2458903468</v>
      </c>
      <c r="G198" s="249">
        <f t="shared" si="54"/>
        <v>1295645.4932973445</v>
      </c>
      <c r="H198" s="249">
        <f t="shared" si="54"/>
        <v>4620610.5880886093</v>
      </c>
      <c r="I198" s="249">
        <f t="shared" si="54"/>
        <v>13812190.104060777</v>
      </c>
      <c r="J198" s="249">
        <f t="shared" si="54"/>
        <v>0</v>
      </c>
      <c r="K198" s="249">
        <f t="shared" si="54"/>
        <v>0</v>
      </c>
      <c r="L198" s="249">
        <f t="shared" si="54"/>
        <v>202350.80449980628</v>
      </c>
      <c r="M198" s="249">
        <f t="shared" ref="M198:M210" si="55">SUM(C198:L198)</f>
        <v>26762395.326182354</v>
      </c>
    </row>
    <row r="199" spans="1:13" ht="13">
      <c r="A199" s="2">
        <f t="shared" ref="A199:A210" si="56">A198+1</f>
        <v>109</v>
      </c>
      <c r="B199" s="403" t="s">
        <v>2995</v>
      </c>
      <c r="C199" s="249">
        <f t="shared" ref="C199:L209" si="57">C$191*C168</f>
        <v>-0.12451875197317</v>
      </c>
      <c r="D199" s="249">
        <f t="shared" si="57"/>
        <v>-319.6494265855851</v>
      </c>
      <c r="E199" s="249">
        <f t="shared" si="57"/>
        <v>5557478.5287571372</v>
      </c>
      <c r="F199" s="249">
        <f t="shared" si="57"/>
        <v>1174094.4412328387</v>
      </c>
      <c r="G199" s="249">
        <f t="shared" si="57"/>
        <v>12606664.609815206</v>
      </c>
      <c r="H199" s="249">
        <f t="shared" si="57"/>
        <v>832268.04619457829</v>
      </c>
      <c r="I199" s="249">
        <f t="shared" si="57"/>
        <v>15052305.02000122</v>
      </c>
      <c r="J199" s="249">
        <f t="shared" si="57"/>
        <v>-0.31344627375504081</v>
      </c>
      <c r="K199" s="249">
        <f t="shared" si="57"/>
        <v>0</v>
      </c>
      <c r="L199" s="249">
        <f t="shared" si="57"/>
        <v>1795941.7183169788</v>
      </c>
      <c r="M199" s="249">
        <f t="shared" si="55"/>
        <v>37018432.276926346</v>
      </c>
    </row>
    <row r="200" spans="1:13" ht="13">
      <c r="A200" s="2">
        <f t="shared" si="56"/>
        <v>110</v>
      </c>
      <c r="B200" s="403" t="s">
        <v>2996</v>
      </c>
      <c r="C200" s="249">
        <f t="shared" si="57"/>
        <v>-963950.23525953165</v>
      </c>
      <c r="D200" s="249">
        <f t="shared" si="57"/>
        <v>-4752.5385602697443</v>
      </c>
      <c r="E200" s="249">
        <f t="shared" si="57"/>
        <v>4580658.9016666021</v>
      </c>
      <c r="F200" s="249">
        <f t="shared" si="57"/>
        <v>12135886.966647623</v>
      </c>
      <c r="G200" s="249">
        <f t="shared" si="57"/>
        <v>-74763.690639171255</v>
      </c>
      <c r="H200" s="249">
        <f t="shared" si="57"/>
        <v>3087987.8069984973</v>
      </c>
      <c r="I200" s="249">
        <f t="shared" si="57"/>
        <v>737114.260303766</v>
      </c>
      <c r="J200" s="249">
        <f t="shared" si="57"/>
        <v>-8.2013141721910289E-4</v>
      </c>
      <c r="K200" s="249">
        <f t="shared" si="57"/>
        <v>0</v>
      </c>
      <c r="L200" s="249">
        <f t="shared" si="57"/>
        <v>9614.3582406985588</v>
      </c>
      <c r="M200" s="249">
        <f t="shared" si="55"/>
        <v>19507795.828578085</v>
      </c>
    </row>
    <row r="201" spans="1:13" ht="13">
      <c r="A201" s="2">
        <f t="shared" si="56"/>
        <v>111</v>
      </c>
      <c r="B201" s="403" t="s">
        <v>2997</v>
      </c>
      <c r="C201" s="249">
        <f t="shared" si="57"/>
        <v>-1.8554739671602255E-8</v>
      </c>
      <c r="D201" s="249">
        <f t="shared" si="57"/>
        <v>-42.713273322518994</v>
      </c>
      <c r="E201" s="249">
        <f t="shared" si="57"/>
        <v>1175695.7047759693</v>
      </c>
      <c r="F201" s="249">
        <f t="shared" si="57"/>
        <v>10975555.155350301</v>
      </c>
      <c r="G201" s="249">
        <f t="shared" si="57"/>
        <v>3268219.8798636943</v>
      </c>
      <c r="H201" s="249">
        <f t="shared" si="57"/>
        <v>2722500.5394750466</v>
      </c>
      <c r="I201" s="249">
        <f t="shared" si="57"/>
        <v>4362244.9247690793</v>
      </c>
      <c r="J201" s="249">
        <f t="shared" si="57"/>
        <v>0</v>
      </c>
      <c r="K201" s="249">
        <f t="shared" si="57"/>
        <v>0</v>
      </c>
      <c r="L201" s="249">
        <f t="shared" si="57"/>
        <v>315721.76452537969</v>
      </c>
      <c r="M201" s="249">
        <f t="shared" si="55"/>
        <v>22819895.255486127</v>
      </c>
    </row>
    <row r="202" spans="1:13" ht="13">
      <c r="A202" s="2">
        <f t="shared" si="56"/>
        <v>112</v>
      </c>
      <c r="B202" s="403" t="s">
        <v>2998</v>
      </c>
      <c r="C202" s="249">
        <f t="shared" si="57"/>
        <v>-1466.8557801127326</v>
      </c>
      <c r="D202" s="249">
        <f t="shared" si="57"/>
        <v>-3034.5392921749044</v>
      </c>
      <c r="E202" s="249">
        <f t="shared" si="57"/>
        <v>4125863.0809216658</v>
      </c>
      <c r="F202" s="249">
        <f t="shared" si="57"/>
        <v>16007963.526328487</v>
      </c>
      <c r="G202" s="249">
        <f t="shared" si="57"/>
        <v>6584831.0214934172</v>
      </c>
      <c r="H202" s="249">
        <f t="shared" si="57"/>
        <v>6647455.1052197516</v>
      </c>
      <c r="I202" s="249">
        <f t="shared" si="57"/>
        <v>27621203.608116295</v>
      </c>
      <c r="J202" s="249">
        <f t="shared" si="57"/>
        <v>-33.789627466423383</v>
      </c>
      <c r="K202" s="249">
        <f t="shared" si="57"/>
        <v>0</v>
      </c>
      <c r="L202" s="249">
        <f t="shared" si="57"/>
        <v>311238.66365120711</v>
      </c>
      <c r="M202" s="249">
        <f t="shared" si="55"/>
        <v>61294019.821031064</v>
      </c>
    </row>
    <row r="203" spans="1:13" ht="13">
      <c r="A203" s="2">
        <f t="shared" si="56"/>
        <v>113</v>
      </c>
      <c r="B203" s="403" t="s">
        <v>2999</v>
      </c>
      <c r="C203" s="249">
        <f t="shared" si="57"/>
        <v>-2.783210950740338E-8</v>
      </c>
      <c r="D203" s="249">
        <f t="shared" si="57"/>
        <v>-3127.8591836758005</v>
      </c>
      <c r="E203" s="249">
        <f t="shared" si="57"/>
        <v>1193554.1195400539</v>
      </c>
      <c r="F203" s="249">
        <f t="shared" si="57"/>
        <v>26386574.023095537</v>
      </c>
      <c r="G203" s="249">
        <f t="shared" si="57"/>
        <v>996214.05939067318</v>
      </c>
      <c r="H203" s="249">
        <f t="shared" si="57"/>
        <v>2793582.9747075951</v>
      </c>
      <c r="I203" s="249">
        <f t="shared" si="57"/>
        <v>-386229.99609461165</v>
      </c>
      <c r="J203" s="249">
        <f t="shared" si="57"/>
        <v>0.67048782227141424</v>
      </c>
      <c r="K203" s="249">
        <f t="shared" si="57"/>
        <v>0</v>
      </c>
      <c r="L203" s="249">
        <f t="shared" si="57"/>
        <v>7329.8059108418047</v>
      </c>
      <c r="M203" s="249">
        <f t="shared" si="55"/>
        <v>30987897.797854207</v>
      </c>
    </row>
    <row r="204" spans="1:13" ht="13">
      <c r="A204" s="2">
        <f t="shared" si="56"/>
        <v>114</v>
      </c>
      <c r="B204" s="403" t="s">
        <v>3000</v>
      </c>
      <c r="C204" s="249">
        <f t="shared" si="57"/>
        <v>1.8554739671602255E-8</v>
      </c>
      <c r="D204" s="249">
        <f t="shared" si="57"/>
        <v>-17850.759147737303</v>
      </c>
      <c r="E204" s="249">
        <f t="shared" si="57"/>
        <v>70246.370894892461</v>
      </c>
      <c r="F204" s="249">
        <f t="shared" si="57"/>
        <v>10247580.818001119</v>
      </c>
      <c r="G204" s="249">
        <f t="shared" si="57"/>
        <v>-16157.17044964735</v>
      </c>
      <c r="H204" s="249">
        <f t="shared" si="57"/>
        <v>44412640.962902538</v>
      </c>
      <c r="I204" s="249">
        <f t="shared" si="57"/>
        <v>12734606.279468214</v>
      </c>
      <c r="J204" s="249">
        <f t="shared" si="57"/>
        <v>-0.13388026339517359</v>
      </c>
      <c r="K204" s="249">
        <f t="shared" si="57"/>
        <v>0</v>
      </c>
      <c r="L204" s="249">
        <f t="shared" si="57"/>
        <v>81936.221826850029</v>
      </c>
      <c r="M204" s="249">
        <f t="shared" si="55"/>
        <v>67513002.589615986</v>
      </c>
    </row>
    <row r="205" spans="1:13" ht="13">
      <c r="A205" s="2">
        <f t="shared" si="56"/>
        <v>115</v>
      </c>
      <c r="B205" s="403" t="s">
        <v>3001</v>
      </c>
      <c r="C205" s="249">
        <f t="shared" si="57"/>
        <v>-1449.2737326458407</v>
      </c>
      <c r="D205" s="249">
        <f t="shared" si="57"/>
        <v>-211165.72294459987</v>
      </c>
      <c r="E205" s="249">
        <f t="shared" si="57"/>
        <v>-4703264.6882468183</v>
      </c>
      <c r="F205" s="249">
        <f t="shared" si="57"/>
        <v>-1388660.3704787127</v>
      </c>
      <c r="G205" s="249">
        <f t="shared" si="57"/>
        <v>6096078.756054162</v>
      </c>
      <c r="H205" s="249">
        <f t="shared" si="57"/>
        <v>4589983.248437468</v>
      </c>
      <c r="I205" s="249">
        <f t="shared" si="57"/>
        <v>-3760113.9781210967</v>
      </c>
      <c r="J205" s="249">
        <f t="shared" si="57"/>
        <v>0.57009638344911184</v>
      </c>
      <c r="K205" s="249">
        <f t="shared" si="57"/>
        <v>0</v>
      </c>
      <c r="L205" s="249">
        <f t="shared" si="57"/>
        <v>11264.431605561893</v>
      </c>
      <c r="M205" s="249">
        <f t="shared" si="55"/>
        <v>632672.97266970144</v>
      </c>
    </row>
    <row r="206" spans="1:13" ht="13">
      <c r="A206" s="2">
        <f t="shared" si="56"/>
        <v>116</v>
      </c>
      <c r="B206" s="403" t="s">
        <v>3002</v>
      </c>
      <c r="C206" s="249">
        <f t="shared" si="57"/>
        <v>-4301.1391184323038</v>
      </c>
      <c r="D206" s="249">
        <f t="shared" si="57"/>
        <v>-58148.091836486405</v>
      </c>
      <c r="E206" s="249">
        <f t="shared" si="57"/>
        <v>1903210.1454382648</v>
      </c>
      <c r="F206" s="249">
        <f t="shared" si="57"/>
        <v>5801373.0100681707</v>
      </c>
      <c r="G206" s="249">
        <f t="shared" si="57"/>
        <v>4631192.1444097068</v>
      </c>
      <c r="H206" s="249">
        <f t="shared" si="57"/>
        <v>5291352.4208917329</v>
      </c>
      <c r="I206" s="249">
        <f t="shared" si="57"/>
        <v>-8250967.2562505752</v>
      </c>
      <c r="J206" s="249">
        <f t="shared" si="57"/>
        <v>-2.7035073119490521E-3</v>
      </c>
      <c r="K206" s="249">
        <f t="shared" si="57"/>
        <v>0</v>
      </c>
      <c r="L206" s="249">
        <f t="shared" si="57"/>
        <v>6934.5506988068828</v>
      </c>
      <c r="M206" s="249">
        <f t="shared" si="55"/>
        <v>9320645.7815976832</v>
      </c>
    </row>
    <row r="207" spans="1:13" ht="13">
      <c r="A207" s="2">
        <f t="shared" si="56"/>
        <v>117</v>
      </c>
      <c r="B207" s="403" t="s">
        <v>3003</v>
      </c>
      <c r="C207" s="249">
        <f t="shared" si="57"/>
        <v>0</v>
      </c>
      <c r="D207" s="249">
        <f t="shared" si="57"/>
        <v>-18333.283250308439</v>
      </c>
      <c r="E207" s="249">
        <f t="shared" si="57"/>
        <v>2359377.9531343598</v>
      </c>
      <c r="F207" s="249">
        <f t="shared" si="57"/>
        <v>1596116.3371738133</v>
      </c>
      <c r="G207" s="249">
        <f t="shared" si="57"/>
        <v>2988174.7932552905</v>
      </c>
      <c r="H207" s="249">
        <f t="shared" si="57"/>
        <v>5591055.2432178203</v>
      </c>
      <c r="I207" s="249">
        <f t="shared" si="57"/>
        <v>-2056276.1107399997</v>
      </c>
      <c r="J207" s="249">
        <f t="shared" si="57"/>
        <v>-46.462205073724462</v>
      </c>
      <c r="K207" s="249">
        <f t="shared" si="57"/>
        <v>0</v>
      </c>
      <c r="L207" s="249">
        <f t="shared" si="57"/>
        <v>-1005.2982612403573</v>
      </c>
      <c r="M207" s="249">
        <f t="shared" si="55"/>
        <v>10459063.172324661</v>
      </c>
    </row>
    <row r="208" spans="1:13" ht="13">
      <c r="A208" s="2">
        <f t="shared" si="56"/>
        <v>118</v>
      </c>
      <c r="B208" s="403" t="s">
        <v>3004</v>
      </c>
      <c r="C208" s="249">
        <f t="shared" si="57"/>
        <v>-1039747.61183284</v>
      </c>
      <c r="D208" s="249">
        <f t="shared" si="57"/>
        <v>-11884.928641046334</v>
      </c>
      <c r="E208" s="249">
        <f t="shared" si="57"/>
        <v>627943.41540091089</v>
      </c>
      <c r="F208" s="249">
        <f t="shared" si="57"/>
        <v>2585761.0794873596</v>
      </c>
      <c r="G208" s="249">
        <f t="shared" si="57"/>
        <v>918071.18241970835</v>
      </c>
      <c r="H208" s="249">
        <f t="shared" si="57"/>
        <v>4033799.4204180064</v>
      </c>
      <c r="I208" s="249">
        <f t="shared" si="57"/>
        <v>992483.65857883985</v>
      </c>
      <c r="J208" s="249">
        <f t="shared" si="57"/>
        <v>-6.3291935038574026E-2</v>
      </c>
      <c r="K208" s="249">
        <f t="shared" si="57"/>
        <v>0</v>
      </c>
      <c r="L208" s="249">
        <f t="shared" si="57"/>
        <v>1482.8275997054893</v>
      </c>
      <c r="M208" s="249">
        <f t="shared" si="55"/>
        <v>8107908.9801387098</v>
      </c>
    </row>
    <row r="209" spans="1:42" ht="13">
      <c r="A209" s="2">
        <f t="shared" si="56"/>
        <v>119</v>
      </c>
      <c r="B209" s="403" t="s">
        <v>3005</v>
      </c>
      <c r="C209" s="53">
        <f t="shared" si="57"/>
        <v>1.391605475370169E-8</v>
      </c>
      <c r="D209" s="53">
        <f t="shared" si="57"/>
        <v>-254.29308302541608</v>
      </c>
      <c r="E209" s="53">
        <f t="shared" si="57"/>
        <v>2298459.6049568355</v>
      </c>
      <c r="F209" s="53">
        <f t="shared" si="57"/>
        <v>12677860.393003246</v>
      </c>
      <c r="G209" s="53">
        <f t="shared" si="57"/>
        <v>-166915.5120821333</v>
      </c>
      <c r="H209" s="53">
        <f t="shared" si="57"/>
        <v>4886858.3966865577</v>
      </c>
      <c r="I209" s="53">
        <f t="shared" si="57"/>
        <v>1471415.3877618925</v>
      </c>
      <c r="J209" s="53">
        <f t="shared" si="57"/>
        <v>10.730498909109469</v>
      </c>
      <c r="K209" s="53">
        <f t="shared" si="57"/>
        <v>0</v>
      </c>
      <c r="L209" s="53">
        <f t="shared" si="57"/>
        <v>7303.5019994448958</v>
      </c>
      <c r="M209" s="53">
        <f t="shared" si="55"/>
        <v>21174738.209741741</v>
      </c>
    </row>
    <row r="210" spans="1:42" ht="13">
      <c r="A210" s="2">
        <f t="shared" si="56"/>
        <v>120</v>
      </c>
      <c r="B210" s="583" t="s">
        <v>409</v>
      </c>
      <c r="C210" s="118">
        <f t="shared" ref="C210:L210" si="58">SUM(C198:C209)</f>
        <v>-2014978.5111924186</v>
      </c>
      <c r="D210" s="118">
        <f t="shared" si="58"/>
        <v>-328443.35541370511</v>
      </c>
      <c r="E210" s="118">
        <f t="shared" si="58"/>
        <v>22111317.475309905</v>
      </c>
      <c r="F210" s="118">
        <f t="shared" si="58"/>
        <v>102113201.62580012</v>
      </c>
      <c r="G210" s="118">
        <f t="shared" si="58"/>
        <v>39127255.566828258</v>
      </c>
      <c r="H210" s="118">
        <f t="shared" si="58"/>
        <v>89510094.753238201</v>
      </c>
      <c r="I210" s="118">
        <f t="shared" si="58"/>
        <v>62329975.901853792</v>
      </c>
      <c r="J210" s="118">
        <f t="shared" si="58"/>
        <v>-68.794891536235809</v>
      </c>
      <c r="K210" s="118">
        <f t="shared" si="58"/>
        <v>0</v>
      </c>
      <c r="L210" s="118">
        <f t="shared" si="58"/>
        <v>2750113.3506140416</v>
      </c>
      <c r="M210" s="249">
        <f t="shared" si="55"/>
        <v>315598468.01214665</v>
      </c>
    </row>
    <row r="212" spans="1:42" ht="13">
      <c r="B212" s="209" t="s">
        <v>228</v>
      </c>
    </row>
    <row r="213" spans="1:42">
      <c r="B213" s="247" t="s">
        <v>683</v>
      </c>
    </row>
    <row r="214" spans="1:42">
      <c r="B214" s="501" t="s">
        <v>684</v>
      </c>
      <c r="C214" s="247"/>
      <c r="D214" s="247"/>
      <c r="E214" s="247"/>
      <c r="F214" s="247"/>
      <c r="G214" s="247"/>
      <c r="H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row>
    <row r="215" spans="1:42">
      <c r="B215" t="s">
        <v>685</v>
      </c>
    </row>
    <row r="216" spans="1:42">
      <c r="B216" s="246" t="s">
        <v>686</v>
      </c>
    </row>
    <row r="217" spans="1:42">
      <c r="B217" s="246" t="s">
        <v>687</v>
      </c>
    </row>
    <row r="218" spans="1:42">
      <c r="B218" s="12" t="s">
        <v>688</v>
      </c>
    </row>
    <row r="219" spans="1:42">
      <c r="B219" s="247" t="s">
        <v>689</v>
      </c>
    </row>
    <row r="220" spans="1:42">
      <c r="B220" s="246" t="s">
        <v>690</v>
      </c>
    </row>
    <row r="221" spans="1:42">
      <c r="B221" s="246" t="s">
        <v>691</v>
      </c>
    </row>
    <row r="222" spans="1:42">
      <c r="B222" s="246" t="s">
        <v>692</v>
      </c>
    </row>
    <row r="223" spans="1:42">
      <c r="B223" s="247" t="str">
        <f>"2) Amounts on Line "&amp;A35&amp;" must match 6-Plant Study amounts for Distribution Plant - ISO for previous year."</f>
        <v>2) Amounts on Line 15 must match 6-Plant Study amounts for Distribution Plant - ISO for previous year.</v>
      </c>
    </row>
    <row r="224" spans="1:42">
      <c r="B224" s="246" t="str">
        <f>"Amounts on Line "&amp;A36&amp;" must match amounts on 6-PlantStudy for Distribution Plant - ISO."</f>
        <v>Amounts on Line 16 must match amounts on 6-PlantStudy for Distribution Plant - ISO.</v>
      </c>
    </row>
    <row r="225" spans="2:9">
      <c r="B225" s="595" t="s">
        <v>693</v>
      </c>
      <c r="H225" s="254" t="s">
        <v>637</v>
      </c>
      <c r="I225" s="693"/>
    </row>
    <row r="226" spans="2:9">
      <c r="B226" s="247" t="s">
        <v>694</v>
      </c>
    </row>
    <row r="227" spans="2:9">
      <c r="B227" s="247" t="s">
        <v>695</v>
      </c>
    </row>
    <row r="228" spans="2:9">
      <c r="B228" s="247" t="s">
        <v>696</v>
      </c>
    </row>
    <row r="229" spans="2:9">
      <c r="B229" s="247" t="s">
        <v>697</v>
      </c>
    </row>
    <row r="230" spans="2:9">
      <c r="B230" s="247" t="s">
        <v>698</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47" t="str">
        <f>"12) For each column (FERC Account) divide Line "&amp;A191&amp;" by Line "&amp;A162&amp;" to arrive at a ratio for each column."</f>
        <v>12) For each column (FERC Account) divide Line 107 by Line 92 to arrive at a ratio for each column.</v>
      </c>
    </row>
    <row r="235" spans="2:9">
      <c r="B235" s="246" t="str">
        <f>"Apply the ratio of each column to each monthly value from Lines "&amp;A150&amp;"-"&amp;A161&amp;" to calculate the values for"</f>
        <v>Apply the ratio of each column to each monthly value from Lines 80-91 to calculate the values for</v>
      </c>
    </row>
    <row r="236" spans="2:9">
      <c r="B236" s="246"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&amp;RTO2024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3"/>
  <cols>
    <col min="1" max="1" width="4.54296875" customWidth="1"/>
    <col min="2" max="2" width="25.54296875" style="66" customWidth="1"/>
    <col min="3" max="4" width="15.54296875" style="66" customWidth="1"/>
    <col min="5" max="5" width="24.1796875" style="66" bestFit="1" customWidth="1"/>
    <col min="6" max="6" width="12.453125" style="66" customWidth="1"/>
    <col min="8" max="8" width="15.54296875" customWidth="1"/>
  </cols>
  <sheetData>
    <row r="1" spans="1:8">
      <c r="A1" s="1" t="s">
        <v>699</v>
      </c>
      <c r="B1" s="98"/>
      <c r="C1" s="98"/>
      <c r="D1" s="98"/>
      <c r="E1" s="99" t="s">
        <v>700</v>
      </c>
      <c r="F1" s="107"/>
      <c r="G1" s="247"/>
    </row>
    <row r="2" spans="1:8">
      <c r="B2" s="699" t="s">
        <v>195</v>
      </c>
      <c r="C2" s="273" t="s">
        <v>701</v>
      </c>
      <c r="G2" s="247"/>
    </row>
    <row r="3" spans="1:8">
      <c r="A3" s="91" t="s">
        <v>702</v>
      </c>
      <c r="B3" s="98"/>
      <c r="C3" s="98"/>
      <c r="D3" s="98"/>
      <c r="E3" s="502" t="s">
        <v>641</v>
      </c>
      <c r="F3" s="863">
        <v>2022</v>
      </c>
      <c r="G3" s="247"/>
    </row>
    <row r="4" spans="1:8">
      <c r="A4" s="91"/>
      <c r="B4" s="98"/>
      <c r="C4" s="98"/>
      <c r="D4" s="98"/>
      <c r="E4" s="98"/>
      <c r="F4" s="98"/>
      <c r="G4" s="247"/>
    </row>
    <row r="5" spans="1:8">
      <c r="B5" s="91"/>
      <c r="C5" s="48" t="s">
        <v>336</v>
      </c>
      <c r="E5" s="48" t="s">
        <v>337</v>
      </c>
      <c r="F5" s="48" t="s">
        <v>338</v>
      </c>
      <c r="G5" s="247"/>
    </row>
    <row r="6" spans="1:8">
      <c r="B6" s="91"/>
      <c r="C6" s="48"/>
      <c r="E6" s="48"/>
      <c r="F6" s="48"/>
      <c r="G6" s="247"/>
    </row>
    <row r="7" spans="1:8">
      <c r="A7" s="30" t="s">
        <v>273</v>
      </c>
      <c r="B7" s="91"/>
      <c r="C7" s="97" t="s">
        <v>249</v>
      </c>
      <c r="D7" s="97"/>
      <c r="E7" s="97" t="s">
        <v>703</v>
      </c>
      <c r="F7" s="97" t="s">
        <v>704</v>
      </c>
      <c r="G7" s="247"/>
    </row>
    <row r="8" spans="1:8">
      <c r="A8" s="2">
        <v>1</v>
      </c>
      <c r="B8" s="90" t="s">
        <v>705</v>
      </c>
      <c r="C8" s="90" t="s">
        <v>659</v>
      </c>
      <c r="D8" s="90" t="s">
        <v>706</v>
      </c>
      <c r="E8" s="90" t="s">
        <v>707</v>
      </c>
      <c r="F8" s="90" t="s">
        <v>708</v>
      </c>
      <c r="G8" s="90" t="s">
        <v>100</v>
      </c>
    </row>
    <row r="9" spans="1:8" ht="12.75" customHeight="1">
      <c r="A9" s="2">
        <f>A8+1</f>
        <v>2</v>
      </c>
      <c r="B9" s="91" t="s">
        <v>709</v>
      </c>
      <c r="C9" s="925"/>
      <c r="D9" s="925"/>
      <c r="E9" s="925"/>
      <c r="F9" s="926"/>
      <c r="G9" s="247"/>
    </row>
    <row r="10" spans="1:8">
      <c r="A10" s="2">
        <f t="shared" ref="A10:A28" si="0">A9+1</f>
        <v>3</v>
      </c>
      <c r="B10" s="92">
        <v>352</v>
      </c>
      <c r="C10" s="267">
        <v>1398451729</v>
      </c>
      <c r="D10" s="282" t="s">
        <v>710</v>
      </c>
      <c r="E10" s="850">
        <v>905947635.00622153</v>
      </c>
      <c r="F10" s="927">
        <f>E10/C10</f>
        <v>0.64782188488839965</v>
      </c>
      <c r="G10" s="247"/>
      <c r="H10" s="528"/>
    </row>
    <row r="11" spans="1:8">
      <c r="A11" s="2">
        <f t="shared" si="0"/>
        <v>4</v>
      </c>
      <c r="B11" s="92">
        <v>353</v>
      </c>
      <c r="C11" s="61">
        <v>7695764722</v>
      </c>
      <c r="D11" s="282" t="s">
        <v>711</v>
      </c>
      <c r="E11" s="208">
        <v>4413849878.1680889</v>
      </c>
      <c r="F11" s="87">
        <f>E11/C11</f>
        <v>0.57354272611143486</v>
      </c>
      <c r="G11" s="247"/>
      <c r="H11" s="247"/>
    </row>
    <row r="12" spans="1:8">
      <c r="A12" s="2">
        <f t="shared" si="0"/>
        <v>5</v>
      </c>
      <c r="B12" s="94" t="s">
        <v>712</v>
      </c>
      <c r="C12" s="928">
        <f>SUM(C10:C11)</f>
        <v>9094216451</v>
      </c>
      <c r="D12" s="246" t="str">
        <f>"L "&amp;A10&amp;" + L "&amp;A11&amp;""</f>
        <v>L 3 + L 4</v>
      </c>
      <c r="E12" s="928">
        <f>SUM(E10:E11)</f>
        <v>5319797513.1743107</v>
      </c>
      <c r="F12" s="927">
        <f>E12/C12</f>
        <v>0.58496491059318756</v>
      </c>
      <c r="G12" s="247"/>
    </row>
    <row r="13" spans="1:8">
      <c r="A13" s="2">
        <f t="shared" si="0"/>
        <v>6</v>
      </c>
      <c r="B13" s="100"/>
      <c r="C13" s="929"/>
      <c r="D13" s="929"/>
      <c r="E13" s="928"/>
      <c r="F13" s="927"/>
      <c r="G13" s="247"/>
    </row>
    <row r="14" spans="1:8">
      <c r="A14" s="2">
        <f t="shared" si="0"/>
        <v>7</v>
      </c>
      <c r="B14" s="93" t="s">
        <v>713</v>
      </c>
      <c r="C14" s="101"/>
      <c r="D14" s="101"/>
      <c r="E14" s="1057"/>
      <c r="F14" s="102"/>
      <c r="G14" s="247"/>
    </row>
    <row r="15" spans="1:8">
      <c r="A15" s="2">
        <f t="shared" si="0"/>
        <v>8</v>
      </c>
      <c r="B15" s="92">
        <v>350</v>
      </c>
      <c r="C15" s="401">
        <v>379687530</v>
      </c>
      <c r="D15" s="282" t="s">
        <v>714</v>
      </c>
      <c r="E15" s="851">
        <v>278004205.29510671</v>
      </c>
      <c r="F15" s="927">
        <f>E15/C15</f>
        <v>0.73219208778098854</v>
      </c>
      <c r="G15" s="247"/>
      <c r="H15" s="247"/>
    </row>
    <row r="16" spans="1:8">
      <c r="A16" s="2">
        <f t="shared" si="0"/>
        <v>9</v>
      </c>
      <c r="B16" s="92"/>
      <c r="C16" s="928"/>
      <c r="D16" s="928"/>
      <c r="E16" s="928"/>
      <c r="F16" s="927"/>
      <c r="G16" s="247"/>
    </row>
    <row r="17" spans="1:8">
      <c r="A17" s="2">
        <f t="shared" si="0"/>
        <v>10</v>
      </c>
      <c r="B17" s="93" t="s">
        <v>715</v>
      </c>
      <c r="C17" s="928">
        <f>C12+C15</f>
        <v>9473903981</v>
      </c>
      <c r="D17" s="246" t="str">
        <f>"L "&amp;A12&amp;" + L "&amp;A15&amp;""</f>
        <v>L 5 + L 8</v>
      </c>
      <c r="E17" s="928">
        <f>E12+E15</f>
        <v>5597801718.4694176</v>
      </c>
      <c r="F17" s="927">
        <f>E17/C17</f>
        <v>0.59086536339146556</v>
      </c>
      <c r="G17" s="247"/>
    </row>
    <row r="18" spans="1:8">
      <c r="A18" s="2">
        <f t="shared" si="0"/>
        <v>11</v>
      </c>
      <c r="B18" s="100"/>
      <c r="C18" s="929"/>
      <c r="D18" s="929"/>
      <c r="E18" s="928"/>
      <c r="F18" s="927"/>
      <c r="G18" s="247"/>
    </row>
    <row r="19" spans="1:8">
      <c r="A19" s="2">
        <f t="shared" si="0"/>
        <v>12</v>
      </c>
      <c r="B19" s="93" t="s">
        <v>716</v>
      </c>
      <c r="C19" s="929"/>
      <c r="D19" s="929"/>
      <c r="E19" s="928"/>
      <c r="F19" s="927"/>
      <c r="G19" s="247"/>
    </row>
    <row r="20" spans="1:8">
      <c r="A20" s="2">
        <f t="shared" si="0"/>
        <v>13</v>
      </c>
      <c r="B20" s="92">
        <v>354</v>
      </c>
      <c r="C20" s="406">
        <v>2598053334</v>
      </c>
      <c r="D20" s="282" t="s">
        <v>717</v>
      </c>
      <c r="E20" s="851">
        <v>2498952320.5850968</v>
      </c>
      <c r="F20" s="930">
        <f>E20/C20</f>
        <v>0.96185566627212926</v>
      </c>
      <c r="G20" s="247"/>
      <c r="H20" s="247"/>
    </row>
    <row r="21" spans="1:8">
      <c r="A21" s="2">
        <f t="shared" si="0"/>
        <v>14</v>
      </c>
      <c r="B21" s="92">
        <v>355</v>
      </c>
      <c r="C21" s="406">
        <v>2365912988</v>
      </c>
      <c r="D21" s="282" t="s">
        <v>718</v>
      </c>
      <c r="E21" s="851">
        <v>632230698.139871</v>
      </c>
      <c r="F21" s="930">
        <f t="shared" ref="F21:F26" si="1">E21/C21</f>
        <v>0.26722483089892529</v>
      </c>
      <c r="G21" s="247"/>
      <c r="H21" s="247"/>
    </row>
    <row r="22" spans="1:8">
      <c r="A22" s="2">
        <f t="shared" si="0"/>
        <v>15</v>
      </c>
      <c r="B22" s="92">
        <v>356</v>
      </c>
      <c r="C22" s="406">
        <v>2191977444</v>
      </c>
      <c r="D22" s="282" t="s">
        <v>719</v>
      </c>
      <c r="E22" s="851">
        <v>1693990750.0441651</v>
      </c>
      <c r="F22" s="930">
        <f t="shared" si="1"/>
        <v>0.77281395147611986</v>
      </c>
      <c r="G22" s="247"/>
      <c r="H22" s="247"/>
    </row>
    <row r="23" spans="1:8">
      <c r="A23" s="2">
        <f t="shared" si="0"/>
        <v>16</v>
      </c>
      <c r="B23" s="92">
        <v>357</v>
      </c>
      <c r="C23" s="406">
        <v>330140963</v>
      </c>
      <c r="D23" s="282" t="s">
        <v>720</v>
      </c>
      <c r="E23" s="851">
        <v>215308526.7923716</v>
      </c>
      <c r="F23" s="930">
        <f t="shared" si="1"/>
        <v>0.65217149921614426</v>
      </c>
      <c r="G23" s="247"/>
      <c r="H23" s="247"/>
    </row>
    <row r="24" spans="1:8">
      <c r="A24" s="2">
        <f t="shared" si="0"/>
        <v>17</v>
      </c>
      <c r="B24" s="92">
        <v>358</v>
      </c>
      <c r="C24" s="406">
        <v>437739243</v>
      </c>
      <c r="D24" s="282" t="s">
        <v>721</v>
      </c>
      <c r="E24" s="851">
        <v>58752899.030000001</v>
      </c>
      <c r="F24" s="930">
        <f t="shared" si="1"/>
        <v>0.13421894419916106</v>
      </c>
      <c r="G24" s="247"/>
      <c r="H24" s="247"/>
    </row>
    <row r="25" spans="1:8">
      <c r="A25" s="2">
        <f t="shared" si="0"/>
        <v>18</v>
      </c>
      <c r="B25" s="92">
        <v>359</v>
      </c>
      <c r="C25" s="103">
        <v>251650170</v>
      </c>
      <c r="D25" s="282" t="s">
        <v>722</v>
      </c>
      <c r="E25" s="1058">
        <v>226348866.10201344</v>
      </c>
      <c r="F25" s="104">
        <f t="shared" si="1"/>
        <v>0.89945842715708657</v>
      </c>
      <c r="G25" s="247"/>
      <c r="H25" s="247"/>
    </row>
    <row r="26" spans="1:8">
      <c r="A26" s="2">
        <f t="shared" si="0"/>
        <v>19</v>
      </c>
      <c r="B26" s="94" t="s">
        <v>723</v>
      </c>
      <c r="C26" s="928">
        <f>SUM(C20:C25)</f>
        <v>8175474142</v>
      </c>
      <c r="D26" s="931" t="str">
        <f>"Sum L"&amp;A20&amp;" to L"&amp;A25&amp;""</f>
        <v>Sum L13 to L18</v>
      </c>
      <c r="E26" s="928">
        <f>SUM(E20:E25)</f>
        <v>5325584060.6935177</v>
      </c>
      <c r="F26" s="927">
        <f t="shared" si="1"/>
        <v>0.65140981039060541</v>
      </c>
      <c r="G26" s="247"/>
    </row>
    <row r="27" spans="1:8">
      <c r="A27" s="2">
        <f t="shared" si="0"/>
        <v>20</v>
      </c>
      <c r="B27" s="105"/>
      <c r="C27" s="928"/>
      <c r="D27" s="928"/>
      <c r="E27" s="928"/>
      <c r="F27" s="927"/>
      <c r="G27" s="247"/>
    </row>
    <row r="28" spans="1:8">
      <c r="A28" s="2">
        <f t="shared" si="0"/>
        <v>21</v>
      </c>
      <c r="B28" s="106" t="s">
        <v>724</v>
      </c>
      <c r="C28" s="88">
        <f>C17+C26</f>
        <v>17649378123</v>
      </c>
      <c r="D28" s="246" t="str">
        <f>"L "&amp;A17&amp;" + L "&amp;A26&amp;""</f>
        <v>L 10 + L 19</v>
      </c>
      <c r="E28" s="88">
        <f>E17+E26</f>
        <v>10923385779.162935</v>
      </c>
      <c r="F28" s="89">
        <f>E28/C28</f>
        <v>0.6189105192849822</v>
      </c>
      <c r="G28" s="247" t="s">
        <v>144</v>
      </c>
    </row>
    <row r="29" spans="1:8">
      <c r="A29" s="2"/>
      <c r="B29" s="70"/>
      <c r="C29" s="67"/>
      <c r="D29" s="67"/>
      <c r="E29" s="67"/>
      <c r="F29" s="69"/>
    </row>
    <row r="30" spans="1:8">
      <c r="A30" s="2"/>
      <c r="B30" s="68"/>
      <c r="E30" s="313"/>
    </row>
    <row r="31" spans="1:8">
      <c r="A31" s="91" t="s">
        <v>725</v>
      </c>
    </row>
    <row r="32" spans="1:8">
      <c r="A32" s="2"/>
      <c r="B32" s="73"/>
    </row>
    <row r="33" spans="1:9">
      <c r="A33" s="30" t="s">
        <v>273</v>
      </c>
      <c r="B33" s="91"/>
      <c r="C33" s="97" t="s">
        <v>249</v>
      </c>
      <c r="D33" s="97"/>
      <c r="E33" s="97" t="s">
        <v>418</v>
      </c>
      <c r="F33" s="97" t="s">
        <v>704</v>
      </c>
    </row>
    <row r="34" spans="1:9">
      <c r="A34" s="2">
        <f>A28+1</f>
        <v>22</v>
      </c>
      <c r="B34" s="90" t="s">
        <v>705</v>
      </c>
      <c r="C34" s="90" t="s">
        <v>659</v>
      </c>
      <c r="D34" s="90" t="s">
        <v>706</v>
      </c>
      <c r="E34" s="90" t="s">
        <v>707</v>
      </c>
      <c r="F34" s="90" t="s">
        <v>708</v>
      </c>
    </row>
    <row r="35" spans="1:9">
      <c r="A35" s="2">
        <f t="shared" ref="A35:A42" si="2">A34+1</f>
        <v>23</v>
      </c>
      <c r="B35" s="91" t="s">
        <v>726</v>
      </c>
      <c r="C35" s="67"/>
      <c r="D35" s="67"/>
      <c r="E35" s="67"/>
      <c r="F35" s="69"/>
    </row>
    <row r="36" spans="1:9">
      <c r="A36" s="2">
        <f t="shared" si="2"/>
        <v>24</v>
      </c>
      <c r="B36" s="92">
        <v>360</v>
      </c>
      <c r="C36" s="401">
        <v>130716113</v>
      </c>
      <c r="D36" s="282" t="s">
        <v>727</v>
      </c>
      <c r="E36" s="529">
        <v>0</v>
      </c>
      <c r="F36" s="927">
        <f>E36/C36</f>
        <v>0</v>
      </c>
      <c r="H36" s="247"/>
    </row>
    <row r="37" spans="1:9">
      <c r="A37" s="2">
        <f t="shared" si="2"/>
        <v>25</v>
      </c>
      <c r="B37" s="93" t="s">
        <v>728</v>
      </c>
      <c r="C37" s="928"/>
      <c r="D37" s="928"/>
      <c r="E37" s="928"/>
      <c r="F37" s="927"/>
    </row>
    <row r="38" spans="1:9">
      <c r="A38" s="2">
        <f t="shared" si="2"/>
        <v>26</v>
      </c>
      <c r="B38" s="92">
        <v>361</v>
      </c>
      <c r="C38" s="401">
        <v>950757411</v>
      </c>
      <c r="D38" s="282" t="s">
        <v>729</v>
      </c>
      <c r="E38" s="401">
        <v>0</v>
      </c>
      <c r="F38" s="927">
        <f>E38/C38</f>
        <v>0</v>
      </c>
      <c r="H38" s="247"/>
    </row>
    <row r="39" spans="1:9">
      <c r="A39" s="2">
        <f t="shared" si="2"/>
        <v>27</v>
      </c>
      <c r="B39" s="92">
        <v>362</v>
      </c>
      <c r="C39" s="86">
        <v>3463676916</v>
      </c>
      <c r="D39" s="282" t="s">
        <v>730</v>
      </c>
      <c r="E39" s="86">
        <v>0</v>
      </c>
      <c r="F39" s="87">
        <f>E39/C39</f>
        <v>0</v>
      </c>
      <c r="H39" s="247"/>
    </row>
    <row r="40" spans="1:9">
      <c r="A40" s="2">
        <f t="shared" si="2"/>
        <v>28</v>
      </c>
      <c r="B40" s="94" t="s">
        <v>731</v>
      </c>
      <c r="C40" s="928">
        <f>SUM(C38:C39)</f>
        <v>4414434327</v>
      </c>
      <c r="D40" s="246" t="str">
        <f>"L "&amp;A38&amp;" + L "&amp;A39&amp;""</f>
        <v>L 26 + L 27</v>
      </c>
      <c r="E40" s="928">
        <f>SUM(E38:E39)</f>
        <v>0</v>
      </c>
      <c r="F40" s="927">
        <f>E40/C40</f>
        <v>0</v>
      </c>
    </row>
    <row r="41" spans="1:9">
      <c r="A41" s="2">
        <f t="shared" si="2"/>
        <v>29</v>
      </c>
      <c r="B41" s="95"/>
      <c r="C41" s="77"/>
      <c r="D41" s="928"/>
      <c r="E41" s="928"/>
      <c r="F41" s="927"/>
    </row>
    <row r="42" spans="1:9">
      <c r="A42" s="2">
        <f t="shared" si="2"/>
        <v>30</v>
      </c>
      <c r="B42" s="96" t="s">
        <v>732</v>
      </c>
      <c r="C42" s="88">
        <f>C36+C40</f>
        <v>4545150440</v>
      </c>
      <c r="D42" s="246" t="str">
        <f>"L "&amp;A36&amp;" + L "&amp;A40&amp;""</f>
        <v>L 24 + L 28</v>
      </c>
      <c r="E42" s="88">
        <f>E36+E40</f>
        <v>0</v>
      </c>
      <c r="F42" s="89">
        <f>E42/C42</f>
        <v>0</v>
      </c>
      <c r="G42" s="247" t="s">
        <v>165</v>
      </c>
      <c r="H42" s="247"/>
    </row>
    <row r="43" spans="1:9">
      <c r="A43" s="2"/>
      <c r="B43" s="74"/>
      <c r="C43" s="75"/>
      <c r="D43" s="75"/>
      <c r="E43" s="75"/>
      <c r="F43" s="76"/>
      <c r="H43" s="627"/>
      <c r="I43" s="247"/>
    </row>
    <row r="44" spans="1:9">
      <c r="A44" s="37"/>
      <c r="E44" s="71"/>
    </row>
    <row r="45" spans="1:9">
      <c r="A45" s="47" t="s">
        <v>228</v>
      </c>
    </row>
    <row r="46" spans="1:9">
      <c r="A46" s="246" t="s">
        <v>733</v>
      </c>
      <c r="E46" s="71"/>
    </row>
    <row r="47" spans="1:9">
      <c r="A47" s="246" t="s">
        <v>734</v>
      </c>
    </row>
    <row r="48" spans="1:9">
      <c r="A48" s="246" t="s">
        <v>735</v>
      </c>
      <c r="C48" s="71"/>
      <c r="D48" s="71"/>
    </row>
    <row r="49" spans="1:4">
      <c r="A49" s="246" t="s">
        <v>736</v>
      </c>
      <c r="C49" s="72"/>
      <c r="D49" s="72"/>
    </row>
    <row r="50" spans="1:4">
      <c r="A50" s="37"/>
      <c r="C50" s="71"/>
      <c r="D50" s="71"/>
    </row>
    <row r="51" spans="1:4">
      <c r="A51" s="47" t="s">
        <v>433</v>
      </c>
    </row>
    <row r="52" spans="1:4">
      <c r="A52" s="246" t="s">
        <v>737</v>
      </c>
    </row>
    <row r="53" spans="1:4">
      <c r="A53" s="246" t="s">
        <v>738</v>
      </c>
    </row>
    <row r="54" spans="1:4">
      <c r="A54" s="246" t="s">
        <v>739</v>
      </c>
    </row>
  </sheetData>
  <pageMargins left="0.7" right="0.7" top="0.75" bottom="0.75" header="0.3" footer="0.3"/>
  <pageSetup scale="85" orientation="portrait" cellComments="asDisplayed" r:id="rId1"/>
  <headerFooter>
    <oddHeader>&amp;CSchedule 7
Transmission Plant Study Summary
&amp;RTO2024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54"/>
  <sheetViews>
    <sheetView zoomScaleNormal="100" zoomScalePageLayoutView="60" workbookViewId="0"/>
  </sheetViews>
  <sheetFormatPr defaultColWidth="8.54296875" defaultRowHeight="12.5"/>
  <cols>
    <col min="1" max="1" width="4.54296875" customWidth="1"/>
    <col min="2" max="2" width="7.54296875" customWidth="1"/>
    <col min="3" max="3" width="10.54296875" customWidth="1"/>
    <col min="4" max="4" width="13.54296875" customWidth="1"/>
    <col min="5" max="6" width="14.54296875" customWidth="1"/>
    <col min="7" max="10" width="13.54296875" customWidth="1"/>
    <col min="11" max="12" width="11.54296875" customWidth="1"/>
    <col min="13" max="13" width="13.54296875" customWidth="1"/>
    <col min="14" max="14" width="14.54296875" customWidth="1"/>
    <col min="15" max="15" width="13.54296875" customWidth="1"/>
  </cols>
  <sheetData>
    <row r="1" spans="1:18" ht="13">
      <c r="A1" s="47" t="s">
        <v>118</v>
      </c>
      <c r="B1" s="1"/>
      <c r="C1" s="116"/>
      <c r="D1" s="116"/>
      <c r="E1" s="116"/>
      <c r="F1" s="116"/>
      <c r="G1" s="116"/>
      <c r="H1" s="116"/>
      <c r="I1" s="116"/>
      <c r="J1" s="273" t="s">
        <v>700</v>
      </c>
      <c r="K1" s="107"/>
      <c r="L1" s="116"/>
      <c r="M1" s="116"/>
      <c r="N1" s="116"/>
      <c r="O1" s="116"/>
      <c r="P1" s="116"/>
      <c r="Q1" s="116"/>
      <c r="R1" s="116"/>
    </row>
    <row r="2" spans="1:18" ht="13">
      <c r="A2" s="116"/>
      <c r="B2" s="116"/>
      <c r="C2" s="699" t="s">
        <v>195</v>
      </c>
      <c r="D2" s="273" t="s">
        <v>637</v>
      </c>
      <c r="E2" s="207"/>
      <c r="F2" s="116"/>
      <c r="G2" s="116"/>
      <c r="H2" s="116"/>
      <c r="I2" s="116"/>
      <c r="L2" s="116"/>
      <c r="M2" s="116"/>
      <c r="N2" s="116"/>
      <c r="O2" s="116"/>
      <c r="P2" s="116"/>
      <c r="Q2" s="116"/>
      <c r="R2" s="116"/>
    </row>
    <row r="3" spans="1:18" ht="13">
      <c r="A3" s="116"/>
      <c r="B3" s="1" t="s">
        <v>740</v>
      </c>
      <c r="C3" s="116"/>
      <c r="D3" s="116"/>
      <c r="E3" s="116"/>
      <c r="F3" s="116"/>
      <c r="G3" s="117" t="s">
        <v>641</v>
      </c>
      <c r="H3" s="862">
        <v>2022</v>
      </c>
      <c r="I3" s="116"/>
      <c r="J3" s="116"/>
      <c r="K3" s="116"/>
      <c r="L3" s="116"/>
      <c r="M3" s="116"/>
      <c r="N3" s="116"/>
      <c r="O3" s="116"/>
      <c r="P3" s="116"/>
      <c r="Q3" s="116"/>
      <c r="R3" s="116"/>
    </row>
    <row r="4" spans="1:18">
      <c r="A4" s="116"/>
      <c r="B4" s="116"/>
      <c r="C4" s="116"/>
      <c r="D4" s="116"/>
      <c r="E4" s="116"/>
      <c r="F4" s="116"/>
      <c r="G4" s="116"/>
      <c r="H4" s="116"/>
      <c r="I4" s="116"/>
      <c r="J4" s="116"/>
      <c r="K4" s="116"/>
      <c r="L4" s="116"/>
      <c r="M4" s="116"/>
      <c r="N4" s="116"/>
      <c r="O4" s="116"/>
      <c r="P4" s="116"/>
      <c r="Q4" s="116"/>
      <c r="R4" s="116"/>
    </row>
    <row r="5" spans="1:18">
      <c r="A5" s="116"/>
      <c r="B5" s="116"/>
      <c r="C5" s="247" t="s">
        <v>741</v>
      </c>
      <c r="D5" s="116"/>
      <c r="E5" s="116"/>
      <c r="F5" s="116"/>
      <c r="G5" s="116"/>
      <c r="H5" s="116"/>
      <c r="I5" s="116"/>
      <c r="J5" s="247"/>
      <c r="K5" s="116"/>
      <c r="L5" s="116"/>
      <c r="M5" s="116"/>
      <c r="N5" s="116"/>
      <c r="O5" s="116"/>
      <c r="P5" s="116"/>
      <c r="Q5" s="116"/>
      <c r="R5" s="116"/>
    </row>
    <row r="6" spans="1:18">
      <c r="A6" s="116"/>
      <c r="B6" s="116"/>
      <c r="C6" s="116"/>
      <c r="D6" s="116"/>
      <c r="E6" s="116"/>
      <c r="F6" s="116"/>
      <c r="G6" s="116"/>
      <c r="H6" s="116"/>
      <c r="I6" s="116"/>
      <c r="J6" s="116"/>
      <c r="K6" s="116"/>
      <c r="L6" s="116"/>
      <c r="M6" s="116"/>
      <c r="N6" s="116"/>
      <c r="O6" s="116"/>
      <c r="P6" s="116"/>
      <c r="Q6" s="116"/>
      <c r="R6" s="116"/>
    </row>
    <row r="7" spans="1:18" ht="13">
      <c r="A7" s="116"/>
      <c r="B7" s="116"/>
      <c r="C7" s="48" t="s">
        <v>336</v>
      </c>
      <c r="D7" s="48" t="s">
        <v>337</v>
      </c>
      <c r="E7" s="48" t="s">
        <v>338</v>
      </c>
      <c r="F7" s="48" t="s">
        <v>339</v>
      </c>
      <c r="G7" s="48" t="s">
        <v>340</v>
      </c>
      <c r="H7" s="48" t="s">
        <v>341</v>
      </c>
      <c r="I7" s="48" t="s">
        <v>342</v>
      </c>
      <c r="J7" s="48" t="s">
        <v>343</v>
      </c>
      <c r="K7" s="48" t="s">
        <v>344</v>
      </c>
      <c r="L7" s="48" t="s">
        <v>589</v>
      </c>
      <c r="M7" s="48" t="s">
        <v>590</v>
      </c>
      <c r="N7" s="48" t="s">
        <v>591</v>
      </c>
      <c r="O7" s="116"/>
      <c r="P7" s="116"/>
      <c r="Q7" s="116"/>
      <c r="R7" s="116"/>
    </row>
    <row r="8" spans="1:18">
      <c r="A8" s="116"/>
      <c r="B8" s="116"/>
      <c r="C8" s="129"/>
      <c r="D8" s="116"/>
      <c r="E8" s="116"/>
      <c r="F8" s="116"/>
      <c r="G8" s="116"/>
      <c r="H8" s="116"/>
      <c r="I8" s="116"/>
      <c r="J8" s="116"/>
      <c r="K8" s="116"/>
      <c r="L8" s="116"/>
      <c r="M8" s="116"/>
      <c r="N8" s="240" t="s">
        <v>742</v>
      </c>
      <c r="O8" s="116"/>
      <c r="P8" s="116"/>
      <c r="Q8" s="116"/>
      <c r="R8" s="116"/>
    </row>
    <row r="9" spans="1:18" ht="13">
      <c r="A9" s="116"/>
      <c r="B9" s="116"/>
      <c r="C9" s="119"/>
      <c r="D9" s="257" t="s">
        <v>244</v>
      </c>
      <c r="E9" s="116"/>
      <c r="F9" s="116"/>
      <c r="G9" s="116"/>
      <c r="H9" s="116"/>
      <c r="I9" s="116"/>
      <c r="J9" s="116"/>
      <c r="K9" s="116"/>
      <c r="L9" s="116"/>
      <c r="M9" s="116"/>
      <c r="N9" s="116"/>
      <c r="O9" s="116"/>
      <c r="P9" s="116"/>
      <c r="Q9" s="116"/>
      <c r="R9" s="116"/>
    </row>
    <row r="10" spans="1:18" ht="13">
      <c r="A10" s="116"/>
      <c r="B10" s="116"/>
      <c r="C10" s="2"/>
      <c r="D10" s="257" t="s">
        <v>743</v>
      </c>
      <c r="E10" s="116"/>
      <c r="F10" s="116"/>
      <c r="G10" s="116"/>
      <c r="H10" s="116"/>
      <c r="I10" s="116"/>
      <c r="J10" s="116"/>
      <c r="K10" s="116"/>
      <c r="L10" s="116"/>
      <c r="M10" s="116"/>
      <c r="N10" s="116"/>
      <c r="O10" s="116"/>
      <c r="P10" s="116"/>
      <c r="Q10" s="116"/>
      <c r="R10" s="116"/>
    </row>
    <row r="11" spans="1:18" ht="12.75" customHeight="1">
      <c r="A11" s="30" t="s">
        <v>273</v>
      </c>
      <c r="B11" s="30"/>
      <c r="C11" s="3" t="s">
        <v>643</v>
      </c>
      <c r="D11" s="48">
        <v>350.1</v>
      </c>
      <c r="E11" s="48">
        <v>350.2</v>
      </c>
      <c r="F11" s="48">
        <v>352</v>
      </c>
      <c r="G11" s="48">
        <v>353</v>
      </c>
      <c r="H11" s="48">
        <v>354</v>
      </c>
      <c r="I11" s="48">
        <v>355</v>
      </c>
      <c r="J11" s="48">
        <v>356</v>
      </c>
      <c r="K11" s="48">
        <v>357</v>
      </c>
      <c r="L11" s="48">
        <v>358</v>
      </c>
      <c r="M11" s="48">
        <v>359</v>
      </c>
      <c r="N11" s="3" t="s">
        <v>249</v>
      </c>
      <c r="O11" s="116"/>
      <c r="P11" s="116"/>
      <c r="Q11" s="116"/>
      <c r="R11" s="116"/>
    </row>
    <row r="12" spans="1:18" ht="12.75" customHeight="1">
      <c r="A12" s="2">
        <v>1</v>
      </c>
      <c r="B12" s="2"/>
      <c r="C12" s="525" t="s">
        <v>2928</v>
      </c>
      <c r="D12" s="267">
        <v>0</v>
      </c>
      <c r="E12" s="267">
        <v>31666908.780313153</v>
      </c>
      <c r="F12" s="267">
        <v>154021242.74163252</v>
      </c>
      <c r="G12" s="267">
        <v>728729446.49480116</v>
      </c>
      <c r="H12" s="267">
        <v>682627656.55054283</v>
      </c>
      <c r="I12" s="267">
        <v>57518721.463868231</v>
      </c>
      <c r="J12" s="267">
        <v>521796139.38900387</v>
      </c>
      <c r="K12" s="267">
        <v>16596271.752613697</v>
      </c>
      <c r="L12" s="267">
        <v>21077785.667505272</v>
      </c>
      <c r="M12" s="267">
        <v>28978355.820570529</v>
      </c>
      <c r="N12" s="118">
        <f t="shared" ref="N12:N24" si="0">SUM(D12:M12)</f>
        <v>2243012528.660851</v>
      </c>
      <c r="O12" s="116"/>
      <c r="P12" s="116"/>
      <c r="Q12" s="116"/>
      <c r="R12" s="116"/>
    </row>
    <row r="13" spans="1:18" ht="12.75" customHeight="1">
      <c r="A13" s="2">
        <f>A12+1</f>
        <v>2</v>
      </c>
      <c r="B13" s="2"/>
      <c r="C13" s="403" t="s">
        <v>2994</v>
      </c>
      <c r="D13" s="118">
        <f>D12+D70+D119</f>
        <v>0</v>
      </c>
      <c r="E13" s="118">
        <f>E12+E70+E119</f>
        <v>31924409.986958232</v>
      </c>
      <c r="F13" s="118">
        <f>F12+F70+F119</f>
        <v>155286875.07653114</v>
      </c>
      <c r="G13" s="118">
        <f t="shared" ref="F13:M23" si="1">G12+G70+G119</f>
        <v>735932375.14409602</v>
      </c>
      <c r="H13" s="118">
        <f t="shared" si="1"/>
        <v>687101102.90684342</v>
      </c>
      <c r="I13" s="118">
        <f t="shared" si="1"/>
        <v>58499713.536257669</v>
      </c>
      <c r="J13" s="118">
        <f t="shared" si="1"/>
        <v>521018275.57781529</v>
      </c>
      <c r="K13" s="118">
        <f t="shared" si="1"/>
        <v>16892321.071546186</v>
      </c>
      <c r="L13" s="118">
        <f t="shared" si="1"/>
        <v>21280751.064587973</v>
      </c>
      <c r="M13" s="118">
        <f t="shared" si="1"/>
        <v>29271850.673574276</v>
      </c>
      <c r="N13" s="118">
        <f t="shared" si="0"/>
        <v>2257207675.0382104</v>
      </c>
      <c r="O13" s="116"/>
      <c r="P13" s="116"/>
      <c r="Q13" s="116"/>
      <c r="R13" s="116"/>
    </row>
    <row r="14" spans="1:18" ht="12.75" customHeight="1">
      <c r="A14" s="2">
        <f t="shared" ref="A14:A25" si="2">A13+1</f>
        <v>3</v>
      </c>
      <c r="B14" s="2"/>
      <c r="C14" s="403" t="s">
        <v>2995</v>
      </c>
      <c r="D14" s="118">
        <f t="shared" ref="D14:E23" si="3">D13+D71+D120</f>
        <v>0</v>
      </c>
      <c r="E14" s="118">
        <f t="shared" si="3"/>
        <v>32181248.326011423</v>
      </c>
      <c r="F14" s="118">
        <f t="shared" si="1"/>
        <v>156070407.98780954</v>
      </c>
      <c r="G14" s="118">
        <f t="shared" si="1"/>
        <v>744033010.80373621</v>
      </c>
      <c r="H14" s="118">
        <f t="shared" si="1"/>
        <v>687123328.31354451</v>
      </c>
      <c r="I14" s="118">
        <f t="shared" si="1"/>
        <v>60051576.62404871</v>
      </c>
      <c r="J14" s="118">
        <f t="shared" si="1"/>
        <v>519836444.48808104</v>
      </c>
      <c r="K14" s="118">
        <f t="shared" si="1"/>
        <v>17186608.195241664</v>
      </c>
      <c r="L14" s="118">
        <f t="shared" si="1"/>
        <v>21518442.843707252</v>
      </c>
      <c r="M14" s="118">
        <f t="shared" si="1"/>
        <v>29592087.84723001</v>
      </c>
      <c r="N14" s="118">
        <f t="shared" si="0"/>
        <v>2267593155.42941</v>
      </c>
      <c r="O14" s="116"/>
      <c r="P14" s="116"/>
      <c r="Q14" s="116"/>
      <c r="R14" s="116"/>
    </row>
    <row r="15" spans="1:18" ht="12.75" customHeight="1">
      <c r="A15" s="2">
        <f t="shared" si="2"/>
        <v>4</v>
      </c>
      <c r="B15" s="2"/>
      <c r="C15" s="403" t="s">
        <v>2996</v>
      </c>
      <c r="D15" s="118">
        <f t="shared" si="3"/>
        <v>0</v>
      </c>
      <c r="E15" s="118">
        <f t="shared" si="3"/>
        <v>32434359.32796124</v>
      </c>
      <c r="F15" s="118">
        <f t="shared" si="1"/>
        <v>157046855.86434704</v>
      </c>
      <c r="G15" s="118">
        <f t="shared" si="1"/>
        <v>748581540.22501075</v>
      </c>
      <c r="H15" s="118">
        <f t="shared" si="1"/>
        <v>692165221.46574199</v>
      </c>
      <c r="I15" s="118">
        <f t="shared" si="1"/>
        <v>61274669.261204883</v>
      </c>
      <c r="J15" s="118">
        <f t="shared" si="1"/>
        <v>523764124.47892606</v>
      </c>
      <c r="K15" s="118">
        <f t="shared" si="1"/>
        <v>17482652.902963586</v>
      </c>
      <c r="L15" s="118">
        <f t="shared" si="1"/>
        <v>21709596.41677409</v>
      </c>
      <c r="M15" s="118">
        <f t="shared" si="1"/>
        <v>29885079.670160338</v>
      </c>
      <c r="N15" s="118">
        <f t="shared" si="0"/>
        <v>2284344099.61309</v>
      </c>
      <c r="O15" s="116"/>
      <c r="P15" s="116"/>
      <c r="Q15" s="116"/>
      <c r="R15" s="116"/>
    </row>
    <row r="16" spans="1:18" ht="12.75" customHeight="1">
      <c r="A16" s="2">
        <f t="shared" si="2"/>
        <v>5</v>
      </c>
      <c r="B16" s="2"/>
      <c r="C16" s="403" t="s">
        <v>2997</v>
      </c>
      <c r="D16" s="118">
        <f t="shared" si="3"/>
        <v>0</v>
      </c>
      <c r="E16" s="118">
        <f t="shared" si="3"/>
        <v>32691423.988469671</v>
      </c>
      <c r="F16" s="118">
        <f t="shared" si="1"/>
        <v>158664081.91220173</v>
      </c>
      <c r="G16" s="118">
        <f t="shared" si="1"/>
        <v>753532688.86599338</v>
      </c>
      <c r="H16" s="118">
        <f t="shared" si="1"/>
        <v>695890726.15671062</v>
      </c>
      <c r="I16" s="118">
        <f t="shared" si="1"/>
        <v>62560985.81407588</v>
      </c>
      <c r="J16" s="118">
        <f t="shared" si="1"/>
        <v>526409700.33589482</v>
      </c>
      <c r="K16" s="118">
        <f t="shared" si="1"/>
        <v>17778702.221463956</v>
      </c>
      <c r="L16" s="118">
        <f t="shared" si="1"/>
        <v>21942847.830427784</v>
      </c>
      <c r="M16" s="118">
        <f t="shared" si="1"/>
        <v>30183194.290436972</v>
      </c>
      <c r="N16" s="118">
        <f t="shared" si="0"/>
        <v>2299654351.4156747</v>
      </c>
      <c r="O16" s="116"/>
      <c r="P16" s="116"/>
      <c r="Q16" s="116"/>
      <c r="R16" s="116"/>
    </row>
    <row r="17" spans="1:18" ht="12.75" customHeight="1">
      <c r="A17" s="2">
        <f t="shared" si="2"/>
        <v>6</v>
      </c>
      <c r="B17" s="2"/>
      <c r="C17" s="403" t="s">
        <v>2998</v>
      </c>
      <c r="D17" s="118">
        <f t="shared" si="3"/>
        <v>0</v>
      </c>
      <c r="E17" s="118">
        <f t="shared" si="3"/>
        <v>32945973.413929578</v>
      </c>
      <c r="F17" s="118">
        <f t="shared" si="1"/>
        <v>159737141.78897664</v>
      </c>
      <c r="G17" s="118">
        <f t="shared" si="1"/>
        <v>756874255.57096732</v>
      </c>
      <c r="H17" s="118">
        <f t="shared" si="1"/>
        <v>698317101.39524543</v>
      </c>
      <c r="I17" s="118">
        <f t="shared" si="1"/>
        <v>63279013.789503001</v>
      </c>
      <c r="J17" s="118">
        <f t="shared" si="1"/>
        <v>520827455.1606009</v>
      </c>
      <c r="K17" s="118">
        <f t="shared" si="1"/>
        <v>17884786.223521385</v>
      </c>
      <c r="L17" s="118">
        <f t="shared" si="1"/>
        <v>22135794.802655481</v>
      </c>
      <c r="M17" s="118">
        <f t="shared" si="1"/>
        <v>30481689.347495653</v>
      </c>
      <c r="N17" s="118">
        <f t="shared" si="0"/>
        <v>2302483211.4928951</v>
      </c>
      <c r="O17" s="116"/>
      <c r="P17" s="116"/>
      <c r="Q17" s="116"/>
      <c r="R17" s="116"/>
    </row>
    <row r="18" spans="1:18" ht="12.75" customHeight="1">
      <c r="A18" s="2">
        <f t="shared" si="2"/>
        <v>7</v>
      </c>
      <c r="B18" s="2"/>
      <c r="C18" s="403" t="s">
        <v>2999</v>
      </c>
      <c r="D18" s="118">
        <f t="shared" si="3"/>
        <v>0</v>
      </c>
      <c r="E18" s="118">
        <f t="shared" si="3"/>
        <v>33200440.184103247</v>
      </c>
      <c r="F18" s="118">
        <f t="shared" si="1"/>
        <v>161441720.27468202</v>
      </c>
      <c r="G18" s="118">
        <f t="shared" si="1"/>
        <v>757251374.53709209</v>
      </c>
      <c r="H18" s="118">
        <f t="shared" si="1"/>
        <v>702968506.53543055</v>
      </c>
      <c r="I18" s="118">
        <f t="shared" si="1"/>
        <v>64583683.833362617</v>
      </c>
      <c r="J18" s="118">
        <f t="shared" si="1"/>
        <v>525242453.63987756</v>
      </c>
      <c r="K18" s="118">
        <f t="shared" si="1"/>
        <v>18184604.978709523</v>
      </c>
      <c r="L18" s="118">
        <f t="shared" si="1"/>
        <v>22327238.595872633</v>
      </c>
      <c r="M18" s="118">
        <f t="shared" si="1"/>
        <v>30775562.445683789</v>
      </c>
      <c r="N18" s="118">
        <f t="shared" si="0"/>
        <v>2315975585.0248141</v>
      </c>
      <c r="O18" s="116"/>
      <c r="P18" s="116"/>
      <c r="Q18" s="116"/>
      <c r="R18" s="116"/>
    </row>
    <row r="19" spans="1:18" ht="12.75" customHeight="1">
      <c r="A19" s="2">
        <f t="shared" si="2"/>
        <v>8</v>
      </c>
      <c r="B19" s="2"/>
      <c r="C19" s="403" t="s">
        <v>3000</v>
      </c>
      <c r="D19" s="118">
        <f t="shared" si="3"/>
        <v>0</v>
      </c>
      <c r="E19" s="118">
        <f t="shared" si="3"/>
        <v>33442524.537303191</v>
      </c>
      <c r="F19" s="118">
        <f t="shared" si="1"/>
        <v>163358128.29262605</v>
      </c>
      <c r="G19" s="118">
        <f t="shared" si="1"/>
        <v>762922855.58415771</v>
      </c>
      <c r="H19" s="118">
        <f t="shared" si="1"/>
        <v>708023739.84542418</v>
      </c>
      <c r="I19" s="118">
        <f t="shared" si="1"/>
        <v>59782096.472558245</v>
      </c>
      <c r="J19" s="118">
        <f t="shared" si="1"/>
        <v>525030438.71565044</v>
      </c>
      <c r="K19" s="118">
        <f t="shared" si="1"/>
        <v>18479901.576708127</v>
      </c>
      <c r="L19" s="118">
        <f t="shared" si="1"/>
        <v>22991460.064223729</v>
      </c>
      <c r="M19" s="118">
        <f t="shared" si="1"/>
        <v>31070914.550006885</v>
      </c>
      <c r="N19" s="118">
        <f t="shared" si="0"/>
        <v>2325102059.6386585</v>
      </c>
      <c r="O19" s="116"/>
      <c r="P19" s="116"/>
      <c r="Q19" s="116"/>
      <c r="R19" s="116"/>
    </row>
    <row r="20" spans="1:18" ht="12.75" customHeight="1">
      <c r="A20" s="2">
        <f t="shared" si="2"/>
        <v>9</v>
      </c>
      <c r="B20" s="2"/>
      <c r="C20" s="403" t="s">
        <v>3001</v>
      </c>
      <c r="D20" s="118">
        <f t="shared" si="3"/>
        <v>0</v>
      </c>
      <c r="E20" s="118">
        <f t="shared" si="3"/>
        <v>33523577.998216268</v>
      </c>
      <c r="F20" s="118">
        <f t="shared" si="1"/>
        <v>166160544.08052519</v>
      </c>
      <c r="G20" s="118">
        <f t="shared" si="1"/>
        <v>772395531.99477553</v>
      </c>
      <c r="H20" s="118">
        <f t="shared" si="1"/>
        <v>710672118.74828827</v>
      </c>
      <c r="I20" s="118">
        <f t="shared" si="1"/>
        <v>60967751.618358567</v>
      </c>
      <c r="J20" s="118">
        <f t="shared" si="1"/>
        <v>530694081.43179095</v>
      </c>
      <c r="K20" s="118">
        <f t="shared" si="1"/>
        <v>18779155.931873452</v>
      </c>
      <c r="L20" s="118">
        <f t="shared" si="1"/>
        <v>23184914.493658382</v>
      </c>
      <c r="M20" s="118">
        <f t="shared" si="1"/>
        <v>31365211.603049856</v>
      </c>
      <c r="N20" s="118">
        <f t="shared" si="0"/>
        <v>2347742887.9005365</v>
      </c>
      <c r="O20" s="116"/>
      <c r="P20" s="116"/>
      <c r="Q20" s="116"/>
      <c r="R20" s="116"/>
    </row>
    <row r="21" spans="1:18" ht="12.75" customHeight="1">
      <c r="A21" s="2">
        <f t="shared" si="2"/>
        <v>10</v>
      </c>
      <c r="B21" s="2"/>
      <c r="C21" s="403" t="s">
        <v>3002</v>
      </c>
      <c r="D21" s="118">
        <f t="shared" si="3"/>
        <v>0</v>
      </c>
      <c r="E21" s="118">
        <f t="shared" si="3"/>
        <v>33732998.349720739</v>
      </c>
      <c r="F21" s="118">
        <f t="shared" si="1"/>
        <v>167729018.47262523</v>
      </c>
      <c r="G21" s="118">
        <f t="shared" si="1"/>
        <v>779534947.25325692</v>
      </c>
      <c r="H21" s="118">
        <f t="shared" si="1"/>
        <v>713910095.1934073</v>
      </c>
      <c r="I21" s="118">
        <f t="shared" si="1"/>
        <v>62064543.291931108</v>
      </c>
      <c r="J21" s="118">
        <f t="shared" si="1"/>
        <v>537939307.54011941</v>
      </c>
      <c r="K21" s="118">
        <f t="shared" si="1"/>
        <v>19075190.006314229</v>
      </c>
      <c r="L21" s="118">
        <f t="shared" si="1"/>
        <v>23373091.16792205</v>
      </c>
      <c r="M21" s="118">
        <f t="shared" si="1"/>
        <v>31659517.736520611</v>
      </c>
      <c r="N21" s="118">
        <f t="shared" si="0"/>
        <v>2369018709.0118179</v>
      </c>
      <c r="O21" s="116"/>
      <c r="P21" s="116"/>
      <c r="Q21" s="116"/>
      <c r="R21" s="116"/>
    </row>
    <row r="22" spans="1:18" ht="12.75" customHeight="1">
      <c r="A22" s="2">
        <f t="shared" si="2"/>
        <v>11</v>
      </c>
      <c r="B22" s="2"/>
      <c r="C22" s="403" t="s">
        <v>3003</v>
      </c>
      <c r="D22" s="118">
        <f t="shared" si="3"/>
        <v>0</v>
      </c>
      <c r="E22" s="118">
        <f t="shared" si="3"/>
        <v>33975812.135035709</v>
      </c>
      <c r="F22" s="118">
        <f t="shared" si="1"/>
        <v>169218675.20196024</v>
      </c>
      <c r="G22" s="118">
        <f t="shared" si="1"/>
        <v>788057938.3250016</v>
      </c>
      <c r="H22" s="118">
        <f t="shared" si="1"/>
        <v>717804551.09489441</v>
      </c>
      <c r="I22" s="118">
        <f t="shared" si="1"/>
        <v>63133507.862203151</v>
      </c>
      <c r="J22" s="118">
        <f t="shared" si="1"/>
        <v>542969526.2342999</v>
      </c>
      <c r="K22" s="118">
        <f t="shared" si="1"/>
        <v>19110028.720559321</v>
      </c>
      <c r="L22" s="118">
        <f t="shared" si="1"/>
        <v>23617203.017695144</v>
      </c>
      <c r="M22" s="118">
        <f t="shared" si="1"/>
        <v>31953712.831458274</v>
      </c>
      <c r="N22" s="118">
        <f t="shared" si="0"/>
        <v>2389840955.4231071</v>
      </c>
      <c r="O22" s="116"/>
      <c r="P22" s="116"/>
      <c r="Q22" s="116"/>
      <c r="R22" s="116"/>
    </row>
    <row r="23" spans="1:18" ht="12.75" customHeight="1">
      <c r="A23" s="2">
        <f t="shared" si="2"/>
        <v>12</v>
      </c>
      <c r="B23" s="2"/>
      <c r="C23" s="403" t="s">
        <v>3004</v>
      </c>
      <c r="D23" s="118">
        <f t="shared" si="3"/>
        <v>0</v>
      </c>
      <c r="E23" s="118">
        <f t="shared" si="3"/>
        <v>34224027.976807296</v>
      </c>
      <c r="F23" s="118">
        <f t="shared" si="1"/>
        <v>171035183.53846794</v>
      </c>
      <c r="G23" s="118">
        <f t="shared" si="1"/>
        <v>796267571.82370007</v>
      </c>
      <c r="H23" s="118">
        <f t="shared" si="1"/>
        <v>722520311.84186065</v>
      </c>
      <c r="I23" s="118">
        <f t="shared" si="1"/>
        <v>64448409.045379959</v>
      </c>
      <c r="J23" s="118">
        <f t="shared" si="1"/>
        <v>546914748.63090551</v>
      </c>
      <c r="K23" s="118">
        <f t="shared" si="1"/>
        <v>19405722.102914892</v>
      </c>
      <c r="L23" s="118">
        <f t="shared" si="1"/>
        <v>23807570.549752191</v>
      </c>
      <c r="M23" s="118">
        <f t="shared" si="1"/>
        <v>32247956.604302242</v>
      </c>
      <c r="N23" s="118">
        <f t="shared" si="0"/>
        <v>2410871502.1140909</v>
      </c>
      <c r="O23" s="116"/>
      <c r="P23" s="116"/>
      <c r="Q23" s="116"/>
      <c r="R23" s="116"/>
    </row>
    <row r="24" spans="1:18" ht="13">
      <c r="A24" s="2">
        <f t="shared" si="2"/>
        <v>13</v>
      </c>
      <c r="B24" s="2"/>
      <c r="C24" s="403" t="s">
        <v>3005</v>
      </c>
      <c r="D24" s="61">
        <v>0</v>
      </c>
      <c r="E24" s="61">
        <v>34482005.686058253</v>
      </c>
      <c r="F24" s="61">
        <v>172544098.19415319</v>
      </c>
      <c r="G24" s="61">
        <v>801212096.80215645</v>
      </c>
      <c r="H24" s="61">
        <v>727667022.45801735</v>
      </c>
      <c r="I24" s="61">
        <v>65648941.393292017</v>
      </c>
      <c r="J24" s="61">
        <v>550692434.10115838</v>
      </c>
      <c r="K24" s="61">
        <v>19762098.187156551</v>
      </c>
      <c r="L24" s="61">
        <v>24027402.722204335</v>
      </c>
      <c r="M24" s="61">
        <v>32542305.579423867</v>
      </c>
      <c r="N24" s="189">
        <f t="shared" si="0"/>
        <v>2428578405.12362</v>
      </c>
      <c r="O24" s="116"/>
      <c r="P24" s="116"/>
      <c r="Q24" s="116"/>
      <c r="R24" s="116"/>
    </row>
    <row r="25" spans="1:18" ht="13">
      <c r="A25" s="2">
        <f t="shared" si="2"/>
        <v>14</v>
      </c>
      <c r="B25" s="116"/>
      <c r="C25" s="583" t="s">
        <v>644</v>
      </c>
      <c r="D25" s="118">
        <f t="shared" ref="D25:M25" si="4">AVERAGE(D12:D24)</f>
        <v>0</v>
      </c>
      <c r="E25" s="118">
        <f t="shared" si="4"/>
        <v>33109670.053145226</v>
      </c>
      <c r="F25" s="118">
        <f t="shared" si="4"/>
        <v>162485690.26357988</v>
      </c>
      <c r="G25" s="118">
        <f t="shared" si="4"/>
        <v>763486587.18651903</v>
      </c>
      <c r="H25" s="118">
        <f t="shared" si="4"/>
        <v>703599344.80815005</v>
      </c>
      <c r="I25" s="118">
        <f t="shared" si="4"/>
        <v>61831816.462003395</v>
      </c>
      <c r="J25" s="118">
        <f t="shared" si="4"/>
        <v>530241163.82493252</v>
      </c>
      <c r="K25" s="118">
        <f t="shared" si="4"/>
        <v>18201387.990122043</v>
      </c>
      <c r="L25" s="118">
        <f t="shared" si="4"/>
        <v>22538007.633614335</v>
      </c>
      <c r="M25" s="118">
        <f t="shared" si="4"/>
        <v>30769802.999993324</v>
      </c>
      <c r="N25" s="118">
        <f>SUM(D25:M25)</f>
        <v>2326263471.2220597</v>
      </c>
      <c r="O25" s="116"/>
      <c r="P25" s="116"/>
      <c r="Q25" s="116"/>
      <c r="R25" s="116"/>
    </row>
    <row r="26" spans="1:18">
      <c r="A26" s="116"/>
      <c r="B26" s="116"/>
      <c r="C26" s="116"/>
      <c r="D26" s="116"/>
      <c r="E26" s="116"/>
      <c r="F26" s="116"/>
      <c r="G26" s="116"/>
      <c r="H26" s="116"/>
      <c r="I26" s="116"/>
      <c r="J26" s="116"/>
      <c r="K26" s="116"/>
      <c r="L26" s="116"/>
      <c r="M26" s="116"/>
      <c r="N26" s="116"/>
      <c r="O26" s="116"/>
      <c r="P26" s="116"/>
      <c r="Q26" s="116"/>
      <c r="R26" s="116"/>
    </row>
    <row r="27" spans="1:18" ht="13">
      <c r="A27" s="116"/>
      <c r="B27" s="206" t="s">
        <v>744</v>
      </c>
      <c r="C27" s="116"/>
      <c r="D27" s="116"/>
      <c r="E27" s="116"/>
      <c r="F27" s="116"/>
      <c r="G27" s="116"/>
      <c r="H27" s="116"/>
      <c r="I27" s="116"/>
      <c r="J27" s="116"/>
      <c r="K27" s="116"/>
      <c r="L27" s="116"/>
      <c r="M27" s="116"/>
      <c r="N27" s="116"/>
      <c r="O27" s="116"/>
      <c r="P27" s="116"/>
      <c r="Q27" s="116"/>
      <c r="R27" s="116"/>
    </row>
    <row r="28" spans="1:18" ht="13">
      <c r="A28" s="116"/>
      <c r="B28" s="206"/>
      <c r="C28" s="116"/>
      <c r="D28" s="116"/>
      <c r="E28" s="116"/>
      <c r="F28" s="116"/>
      <c r="G28" s="116"/>
      <c r="H28" s="116"/>
      <c r="I28" s="116"/>
      <c r="J28" s="116"/>
      <c r="K28" s="116"/>
      <c r="L28" s="116"/>
      <c r="M28" s="116"/>
      <c r="N28" s="116"/>
      <c r="O28" s="116"/>
      <c r="P28" s="116"/>
      <c r="Q28" s="116"/>
      <c r="R28" s="116"/>
    </row>
    <row r="29" spans="1:18" ht="13">
      <c r="A29" s="116"/>
      <c r="B29" s="116"/>
      <c r="C29" s="48" t="s">
        <v>336</v>
      </c>
      <c r="D29" s="48" t="s">
        <v>337</v>
      </c>
      <c r="E29" s="48" t="s">
        <v>338</v>
      </c>
      <c r="F29" s="48" t="s">
        <v>339</v>
      </c>
      <c r="G29" s="48" t="s">
        <v>340</v>
      </c>
      <c r="H29" s="116"/>
      <c r="I29" s="116"/>
      <c r="J29" s="116"/>
      <c r="K29" s="116"/>
      <c r="L29" s="116"/>
      <c r="M29" s="116"/>
      <c r="N29" s="116"/>
      <c r="O29" s="116"/>
      <c r="P29" s="116"/>
      <c r="Q29" s="116"/>
      <c r="R29" s="116"/>
    </row>
    <row r="30" spans="1:18" ht="13">
      <c r="A30" s="116"/>
      <c r="B30" s="116"/>
      <c r="C30" s="116"/>
      <c r="D30" s="257" t="s">
        <v>244</v>
      </c>
      <c r="E30" s="116"/>
      <c r="F30" s="116"/>
      <c r="G30" s="240" t="s">
        <v>745</v>
      </c>
      <c r="H30" s="116"/>
      <c r="I30" s="116"/>
      <c r="J30" s="116"/>
      <c r="K30" s="116"/>
      <c r="L30" s="116"/>
      <c r="M30" s="116"/>
      <c r="N30" s="116"/>
      <c r="O30" s="209"/>
      <c r="P30" s="116"/>
      <c r="Q30" s="116"/>
      <c r="R30" s="116"/>
    </row>
    <row r="31" spans="1:18">
      <c r="A31" s="116"/>
      <c r="B31" s="116"/>
      <c r="C31" s="116"/>
      <c r="D31" s="257" t="s">
        <v>743</v>
      </c>
      <c r="E31" s="116"/>
      <c r="F31" s="116"/>
      <c r="G31" s="116"/>
      <c r="H31" s="116"/>
      <c r="I31" s="116"/>
      <c r="J31" s="116"/>
      <c r="K31" s="116"/>
      <c r="L31" s="116"/>
      <c r="M31" s="116"/>
      <c r="N31" s="116"/>
      <c r="O31" s="127"/>
      <c r="P31" s="116"/>
      <c r="Q31" s="116"/>
      <c r="R31" s="116"/>
    </row>
    <row r="32" spans="1:18" ht="13">
      <c r="A32" s="116"/>
      <c r="B32" s="116"/>
      <c r="C32" s="3" t="s">
        <v>643</v>
      </c>
      <c r="D32" s="48">
        <v>360</v>
      </c>
      <c r="E32" s="48">
        <v>361</v>
      </c>
      <c r="F32" s="48">
        <v>362</v>
      </c>
      <c r="G32" s="3" t="s">
        <v>249</v>
      </c>
      <c r="H32" s="503" t="s">
        <v>100</v>
      </c>
      <c r="I32" s="116"/>
      <c r="J32" s="116"/>
      <c r="K32" s="116"/>
      <c r="L32" s="116"/>
      <c r="M32" s="116"/>
      <c r="N32" s="116"/>
      <c r="O32" s="127"/>
      <c r="P32" s="116"/>
      <c r="Q32" s="116"/>
      <c r="R32" s="116"/>
    </row>
    <row r="33" spans="1:18" ht="13">
      <c r="A33" s="2">
        <f>A25+1</f>
        <v>15</v>
      </c>
      <c r="C33" s="403" t="s">
        <v>2928</v>
      </c>
      <c r="D33" s="120">
        <v>0</v>
      </c>
      <c r="E33" s="120">
        <v>0</v>
      </c>
      <c r="F33" s="120">
        <v>0</v>
      </c>
      <c r="G33" s="118">
        <f>SUM(D33:F33)</f>
        <v>0</v>
      </c>
      <c r="H33" s="246" t="s">
        <v>746</v>
      </c>
      <c r="I33" s="116"/>
      <c r="J33" s="116"/>
      <c r="K33" s="116"/>
      <c r="L33" s="116"/>
      <c r="M33" s="116"/>
      <c r="N33" s="116"/>
      <c r="O33" s="127"/>
      <c r="P33" s="116"/>
      <c r="Q33" s="116"/>
      <c r="R33" s="116"/>
    </row>
    <row r="34" spans="1:18" ht="13">
      <c r="A34" s="2">
        <v>16</v>
      </c>
      <c r="C34" s="403" t="s">
        <v>3005</v>
      </c>
      <c r="D34" s="208">
        <v>0</v>
      </c>
      <c r="E34" s="208">
        <v>0</v>
      </c>
      <c r="F34" s="208">
        <v>0</v>
      </c>
      <c r="G34" s="189">
        <f>SUM(D34:F34)</f>
        <v>0</v>
      </c>
      <c r="H34" s="246" t="s">
        <v>747</v>
      </c>
      <c r="I34" s="116"/>
      <c r="J34" s="116"/>
      <c r="K34" s="116"/>
      <c r="L34" s="116"/>
      <c r="O34" s="127"/>
      <c r="P34" s="116"/>
      <c r="Q34" s="116"/>
      <c r="R34" s="116"/>
    </row>
    <row r="35" spans="1:18" ht="13">
      <c r="A35" s="2">
        <f>A34+1</f>
        <v>17</v>
      </c>
      <c r="C35" s="117" t="s">
        <v>748</v>
      </c>
      <c r="D35" s="118">
        <f>AVERAGE(D33:D34)</f>
        <v>0</v>
      </c>
      <c r="E35" s="118">
        <f>AVERAGE(E33:E34)</f>
        <v>0</v>
      </c>
      <c r="F35" s="118">
        <f>AVERAGE(F33:F34)</f>
        <v>0</v>
      </c>
      <c r="G35" s="118">
        <f>AVERAGE(G33:G34)</f>
        <v>0</v>
      </c>
      <c r="H35" s="127" t="str">
        <f>"Average of Line "&amp;A33&amp;" and Line "&amp;A34&amp;""</f>
        <v>Average of Line 15 and Line 16</v>
      </c>
      <c r="I35" s="116"/>
      <c r="J35" s="116"/>
      <c r="K35" s="116"/>
      <c r="M35" s="345"/>
      <c r="N35" s="319"/>
      <c r="O35" s="127"/>
      <c r="P35" s="116"/>
      <c r="Q35" s="116"/>
      <c r="R35" s="116"/>
    </row>
    <row r="36" spans="1:18">
      <c r="C36" s="117"/>
      <c r="I36" s="116"/>
      <c r="J36" s="116"/>
      <c r="K36" s="116"/>
      <c r="M36" s="319"/>
      <c r="N36" s="590"/>
      <c r="O36" s="127"/>
      <c r="P36" s="116"/>
      <c r="Q36" s="116"/>
      <c r="R36" s="116"/>
    </row>
    <row r="37" spans="1:18" ht="13">
      <c r="B37" s="206" t="s">
        <v>749</v>
      </c>
      <c r="I37" s="116"/>
      <c r="J37" s="116"/>
      <c r="K37" s="116"/>
      <c r="L37" s="116"/>
      <c r="M37" s="345"/>
      <c r="N37" s="590"/>
      <c r="O37" s="127"/>
      <c r="P37" s="116"/>
      <c r="Q37" s="116"/>
      <c r="R37" s="116"/>
    </row>
    <row r="38" spans="1:18" ht="14.5">
      <c r="B38" s="192"/>
      <c r="C38" s="48" t="s">
        <v>336</v>
      </c>
      <c r="D38" s="48" t="s">
        <v>337</v>
      </c>
      <c r="E38" s="48" t="s">
        <v>338</v>
      </c>
      <c r="F38" s="48" t="s">
        <v>339</v>
      </c>
      <c r="G38" s="48" t="s">
        <v>340</v>
      </c>
      <c r="J38" s="116"/>
      <c r="K38" s="119"/>
      <c r="L38" s="116"/>
      <c r="O38" s="116"/>
      <c r="P38" s="116"/>
      <c r="Q38" s="116"/>
      <c r="R38" s="116"/>
    </row>
    <row r="39" spans="1:18" ht="14.5">
      <c r="B39" s="192"/>
      <c r="C39" s="48"/>
      <c r="D39" s="48"/>
      <c r="E39" s="253" t="s">
        <v>750</v>
      </c>
      <c r="F39" s="48"/>
      <c r="G39" s="48"/>
      <c r="J39" s="116"/>
      <c r="K39" s="119"/>
      <c r="L39" s="116"/>
      <c r="O39" s="116"/>
      <c r="P39" s="116"/>
      <c r="Q39" s="116"/>
      <c r="R39" s="116"/>
    </row>
    <row r="40" spans="1:18" ht="13">
      <c r="E40" s="119" t="s">
        <v>249</v>
      </c>
      <c r="J40" s="116"/>
      <c r="K40" s="119"/>
      <c r="L40" s="116"/>
      <c r="O40" s="116"/>
      <c r="P40" s="116"/>
      <c r="Q40" s="116"/>
      <c r="R40" s="116"/>
    </row>
    <row r="41" spans="1:18" ht="13">
      <c r="B41" s="116"/>
      <c r="D41" s="116"/>
      <c r="E41" s="119" t="s">
        <v>751</v>
      </c>
      <c r="F41" s="2" t="s">
        <v>656</v>
      </c>
      <c r="G41" s="2" t="s">
        <v>657</v>
      </c>
      <c r="J41" s="116"/>
      <c r="K41" s="119"/>
      <c r="L41" s="116"/>
      <c r="O41" s="116"/>
      <c r="P41" s="116"/>
      <c r="Q41" s="116"/>
      <c r="R41" s="116"/>
    </row>
    <row r="42" spans="1:18" ht="13">
      <c r="B42" s="116"/>
      <c r="D42" s="116"/>
      <c r="E42" s="119" t="s">
        <v>752</v>
      </c>
      <c r="F42" s="119" t="s">
        <v>752</v>
      </c>
      <c r="G42" s="119" t="s">
        <v>752</v>
      </c>
      <c r="J42" s="116"/>
      <c r="K42" s="119"/>
      <c r="L42" s="116"/>
      <c r="Q42" s="116"/>
      <c r="R42" s="116"/>
    </row>
    <row r="43" spans="1:18" ht="13">
      <c r="B43" s="116"/>
      <c r="C43" s="3" t="s">
        <v>643</v>
      </c>
      <c r="D43" s="116"/>
      <c r="E43" s="190" t="s">
        <v>753</v>
      </c>
      <c r="F43" s="190" t="s">
        <v>753</v>
      </c>
      <c r="G43" s="190" t="s">
        <v>753</v>
      </c>
      <c r="H43" s="209" t="s">
        <v>651</v>
      </c>
      <c r="J43" s="116"/>
      <c r="K43" s="190"/>
      <c r="L43" s="116"/>
      <c r="O43" s="116"/>
      <c r="P43" s="116"/>
      <c r="Q43" s="116"/>
      <c r="R43" s="116"/>
    </row>
    <row r="44" spans="1:18" ht="13">
      <c r="A44" s="2">
        <f>A35+1</f>
        <v>18</v>
      </c>
      <c r="B44" s="116"/>
      <c r="C44" s="403" t="s">
        <v>2928</v>
      </c>
      <c r="D44" s="327" t="s">
        <v>754</v>
      </c>
      <c r="E44" s="118">
        <f>SUM(F44:G44)</f>
        <v>1987496918</v>
      </c>
      <c r="F44" s="120">
        <v>1325390156</v>
      </c>
      <c r="G44" s="120">
        <v>662106762</v>
      </c>
      <c r="H44" s="246" t="s">
        <v>755</v>
      </c>
      <c r="J44" s="116"/>
      <c r="L44" s="116"/>
      <c r="O44" s="116"/>
      <c r="P44" s="116"/>
      <c r="Q44" s="116"/>
      <c r="R44" s="116"/>
    </row>
    <row r="45" spans="1:18" ht="13">
      <c r="A45" s="2">
        <f>A44+1</f>
        <v>19</v>
      </c>
      <c r="B45" s="116"/>
      <c r="C45" s="403" t="s">
        <v>3005</v>
      </c>
      <c r="D45" s="117" t="s">
        <v>756</v>
      </c>
      <c r="E45" s="189">
        <f>SUM(F45:G45)</f>
        <v>2199382355</v>
      </c>
      <c r="F45" s="120">
        <v>1381864848</v>
      </c>
      <c r="G45" s="314">
        <v>817517507</v>
      </c>
      <c r="H45" s="246" t="s">
        <v>757</v>
      </c>
      <c r="J45" s="116"/>
      <c r="K45" s="598"/>
      <c r="L45" s="116"/>
      <c r="O45" s="116"/>
      <c r="P45" s="116"/>
      <c r="Q45" s="116"/>
      <c r="R45" s="116"/>
    </row>
    <row r="46" spans="1:18" ht="13">
      <c r="A46" s="2">
        <f>A45+1</f>
        <v>20</v>
      </c>
      <c r="B46" s="116"/>
      <c r="D46" s="117" t="s">
        <v>748</v>
      </c>
      <c r="E46" s="118">
        <f>AVERAGE(E44:E45)</f>
        <v>2093439636.5</v>
      </c>
      <c r="H46" s="127" t="str">
        <f>"Average of Line "&amp;A44&amp;" and Line "&amp;A45&amp;""</f>
        <v>Average of Line 18 and Line 19</v>
      </c>
      <c r="J46" s="116"/>
      <c r="K46" s="598"/>
      <c r="L46" s="116"/>
      <c r="O46" s="116"/>
      <c r="P46" s="116"/>
      <c r="Q46" s="116"/>
      <c r="R46" s="116"/>
    </row>
    <row r="47" spans="1:18">
      <c r="I47" s="116"/>
      <c r="J47" s="116"/>
      <c r="K47" s="116"/>
      <c r="L47" s="116"/>
      <c r="O47" s="116"/>
      <c r="P47" s="116"/>
      <c r="Q47" s="116"/>
      <c r="R47" s="116"/>
    </row>
    <row r="48" spans="1:18" ht="13">
      <c r="B48" s="1" t="s">
        <v>758</v>
      </c>
      <c r="C48" s="350"/>
      <c r="D48" s="319"/>
      <c r="E48" s="116"/>
      <c r="F48" s="116"/>
      <c r="G48" s="116"/>
      <c r="H48" s="116"/>
      <c r="I48" s="116"/>
      <c r="J48" s="116"/>
      <c r="K48" s="116"/>
      <c r="L48" s="116"/>
      <c r="M48" s="116"/>
      <c r="N48" s="116"/>
      <c r="O48" s="116"/>
      <c r="P48" s="116"/>
      <c r="Q48" s="116"/>
      <c r="R48" s="116"/>
    </row>
    <row r="49" spans="1:18" ht="13">
      <c r="B49" s="1"/>
      <c r="C49" s="350"/>
      <c r="D49" s="319"/>
      <c r="E49" s="116"/>
      <c r="F49" s="116"/>
      <c r="G49" s="116"/>
      <c r="H49" s="116"/>
      <c r="I49" s="116"/>
      <c r="J49" s="116"/>
      <c r="K49" s="116"/>
      <c r="L49" s="116"/>
      <c r="M49" s="116"/>
      <c r="N49" s="116"/>
      <c r="O49" s="116"/>
      <c r="P49" s="116"/>
      <c r="Q49" s="116"/>
      <c r="R49" s="116"/>
    </row>
    <row r="50" spans="1:18" ht="13">
      <c r="B50" s="116"/>
      <c r="C50" s="1"/>
      <c r="D50" s="350"/>
      <c r="E50" s="319"/>
      <c r="F50" s="190" t="s">
        <v>79</v>
      </c>
      <c r="G50" s="209" t="s">
        <v>651</v>
      </c>
      <c r="H50" s="116"/>
      <c r="I50" s="116"/>
      <c r="J50" s="116"/>
      <c r="K50" s="116"/>
      <c r="L50" s="116"/>
      <c r="M50" s="116"/>
      <c r="N50" s="116"/>
      <c r="O50" s="116"/>
      <c r="P50" s="116"/>
      <c r="Q50" s="116"/>
      <c r="R50" s="116"/>
    </row>
    <row r="51" spans="1:18" ht="13">
      <c r="A51" s="2">
        <f>A46+1</f>
        <v>21</v>
      </c>
      <c r="B51" s="116"/>
      <c r="C51" s="350"/>
      <c r="D51" s="350"/>
      <c r="E51" s="327" t="s">
        <v>759</v>
      </c>
      <c r="F51" s="584">
        <f>E46</f>
        <v>2093439636.5</v>
      </c>
      <c r="G51" s="127" t="str">
        <f>"Line "&amp;A46&amp;""</f>
        <v>Line 20</v>
      </c>
      <c r="H51" s="116"/>
      <c r="I51" s="116"/>
      <c r="J51" s="116"/>
      <c r="K51" s="116"/>
      <c r="L51" s="116"/>
      <c r="M51" s="116"/>
      <c r="N51" s="116"/>
      <c r="O51" s="116"/>
      <c r="P51" s="116"/>
      <c r="Q51" s="116"/>
      <c r="R51" s="116"/>
    </row>
    <row r="52" spans="1:18" ht="13">
      <c r="A52" s="2">
        <f>A51+1</f>
        <v>22</v>
      </c>
      <c r="B52" s="116"/>
      <c r="C52" s="350"/>
      <c r="D52" s="350"/>
      <c r="E52" s="327" t="s">
        <v>668</v>
      </c>
      <c r="F52" s="598">
        <f>'27-Allocators'!G15</f>
        <v>5.9842511582503061E-2</v>
      </c>
      <c r="G52" s="127" t="str">
        <f>"27-Allocators, Line "&amp;'27-Allocators'!A15&amp;""</f>
        <v>27-Allocators, Line 9</v>
      </c>
      <c r="H52" s="116"/>
      <c r="I52" s="116"/>
      <c r="J52" s="116"/>
      <c r="K52" s="116"/>
      <c r="L52" s="116"/>
      <c r="M52" s="116"/>
      <c r="N52" s="116"/>
      <c r="O52" s="116"/>
      <c r="P52" s="116"/>
      <c r="Q52" s="116"/>
      <c r="R52" s="116"/>
    </row>
    <row r="53" spans="1:18" ht="13">
      <c r="A53" s="2">
        <f>A52+1</f>
        <v>23</v>
      </c>
      <c r="B53" s="116"/>
      <c r="C53" s="350"/>
      <c r="D53" s="350"/>
      <c r="E53" s="327" t="s">
        <v>760</v>
      </c>
      <c r="F53" s="584">
        <f>F51*F52</f>
        <v>125276685.69452225</v>
      </c>
      <c r="G53" s="127" t="str">
        <f>"Line "&amp;A51&amp;" * Line "&amp;A52&amp;""</f>
        <v>Line 21 * Line 22</v>
      </c>
      <c r="H53" s="116"/>
      <c r="I53" s="116"/>
      <c r="J53" s="116"/>
      <c r="K53" s="116"/>
      <c r="L53" s="116"/>
      <c r="M53" s="116"/>
      <c r="O53" s="116"/>
      <c r="P53" s="116"/>
      <c r="Q53" s="116"/>
      <c r="R53" s="116"/>
    </row>
    <row r="54" spans="1:18" ht="13">
      <c r="B54" s="350"/>
      <c r="C54" s="350"/>
      <c r="D54" s="327"/>
      <c r="E54" s="584"/>
      <c r="F54" s="116"/>
      <c r="G54" s="116"/>
      <c r="H54" s="116"/>
      <c r="I54" s="116"/>
      <c r="J54" s="116"/>
      <c r="K54" s="116"/>
      <c r="L54" s="116"/>
      <c r="M54" s="116"/>
      <c r="O54" s="116"/>
      <c r="P54" s="116"/>
      <c r="Q54" s="116"/>
      <c r="R54" s="116"/>
    </row>
    <row r="55" spans="1:18" ht="13">
      <c r="B55" s="1" t="s">
        <v>761</v>
      </c>
      <c r="C55" s="350"/>
      <c r="D55" s="319"/>
      <c r="E55" s="116"/>
      <c r="F55" s="116"/>
      <c r="G55" s="116"/>
      <c r="H55" s="116"/>
      <c r="I55" s="116"/>
      <c r="J55" s="116"/>
      <c r="K55" s="116"/>
      <c r="L55" s="116"/>
      <c r="M55" s="116"/>
      <c r="O55" s="116"/>
      <c r="P55" s="116"/>
      <c r="Q55" s="116"/>
      <c r="R55" s="116"/>
    </row>
    <row r="56" spans="1:18" ht="13">
      <c r="B56" s="116"/>
      <c r="C56" s="116"/>
      <c r="D56" s="116"/>
      <c r="E56" s="116"/>
      <c r="F56" s="116"/>
      <c r="G56" s="116"/>
      <c r="H56" s="116"/>
      <c r="I56" s="116"/>
      <c r="J56" s="116"/>
      <c r="K56" s="116"/>
      <c r="L56" s="116"/>
      <c r="M56" s="116"/>
      <c r="O56" s="319"/>
      <c r="P56" s="578"/>
      <c r="Q56" s="116"/>
      <c r="R56" s="116"/>
    </row>
    <row r="57" spans="1:18" ht="13">
      <c r="B57" s="116"/>
      <c r="C57" s="116"/>
      <c r="D57" s="116"/>
      <c r="E57" s="116"/>
      <c r="F57" s="190" t="s">
        <v>79</v>
      </c>
      <c r="G57" s="209" t="s">
        <v>651</v>
      </c>
      <c r="H57" s="116"/>
      <c r="I57" s="116"/>
      <c r="J57" s="116"/>
      <c r="K57" s="116"/>
      <c r="L57" s="116"/>
      <c r="M57" s="116"/>
      <c r="O57" s="326"/>
      <c r="P57" s="326"/>
      <c r="Q57" s="116"/>
      <c r="R57" s="116"/>
    </row>
    <row r="58" spans="1:18" ht="13">
      <c r="A58" s="2">
        <f>A53+1</f>
        <v>24</v>
      </c>
      <c r="B58" s="350"/>
      <c r="C58" s="350"/>
      <c r="E58" s="327" t="s">
        <v>762</v>
      </c>
      <c r="F58" s="584">
        <f>E45</f>
        <v>2199382355</v>
      </c>
      <c r="G58" s="127" t="str">
        <f>"Line "&amp;A45&amp;""</f>
        <v>Line 19</v>
      </c>
      <c r="H58" s="116"/>
      <c r="I58" s="116"/>
      <c r="J58" s="116"/>
      <c r="K58" s="116"/>
      <c r="L58" s="116"/>
      <c r="M58" s="116"/>
      <c r="O58" s="599"/>
      <c r="P58" s="344"/>
      <c r="Q58" s="116"/>
      <c r="R58" s="116"/>
    </row>
    <row r="59" spans="1:18" ht="13">
      <c r="A59" s="2">
        <f>A58+1</f>
        <v>25</v>
      </c>
      <c r="B59" s="350"/>
      <c r="C59" s="350"/>
      <c r="E59" s="327" t="s">
        <v>668</v>
      </c>
      <c r="F59" s="598">
        <f>'27-Allocators'!G15</f>
        <v>5.9842511582503061E-2</v>
      </c>
      <c r="G59" s="127" t="str">
        <f>"27-Allocators, Line "&amp;'27-Allocators'!A15&amp;""</f>
        <v>27-Allocators, Line 9</v>
      </c>
      <c r="H59" s="116"/>
      <c r="I59" s="116"/>
      <c r="J59" s="116"/>
      <c r="K59" s="116"/>
      <c r="L59" s="116"/>
      <c r="M59" s="116"/>
      <c r="O59" s="599"/>
      <c r="P59" s="344"/>
      <c r="Q59" s="116"/>
      <c r="R59" s="116"/>
    </row>
    <row r="60" spans="1:18" ht="13">
      <c r="A60" s="2">
        <f>A59+1</f>
        <v>26</v>
      </c>
      <c r="B60" s="350"/>
      <c r="C60" s="350"/>
      <c r="E60" s="327" t="s">
        <v>763</v>
      </c>
      <c r="F60" s="584">
        <f>F58*F59</f>
        <v>131616564.05344036</v>
      </c>
      <c r="G60" s="127" t="str">
        <f>"Line "&amp;A58&amp;" * Line "&amp;A59&amp;""</f>
        <v>Line 24 * Line 25</v>
      </c>
      <c r="H60" s="116"/>
      <c r="I60" s="116"/>
      <c r="J60" s="116"/>
      <c r="K60" s="116"/>
      <c r="L60" s="116"/>
      <c r="M60" s="116"/>
      <c r="Q60" s="116"/>
      <c r="R60" s="116"/>
    </row>
    <row r="61" spans="1:18">
      <c r="B61" s="116"/>
      <c r="C61" s="116"/>
      <c r="D61" s="116"/>
      <c r="E61" s="116"/>
      <c r="F61" s="116"/>
      <c r="G61" s="116"/>
      <c r="H61" s="116"/>
      <c r="I61" s="116"/>
      <c r="J61" s="116"/>
      <c r="K61" s="116"/>
      <c r="L61" s="116"/>
      <c r="M61" s="116"/>
      <c r="Q61" s="116"/>
      <c r="R61" s="116"/>
    </row>
    <row r="62" spans="1:18">
      <c r="Q62" s="116"/>
      <c r="R62" s="116"/>
    </row>
    <row r="63" spans="1:18" ht="13">
      <c r="B63" s="1" t="s">
        <v>764</v>
      </c>
      <c r="Q63" s="116"/>
      <c r="R63" s="116"/>
    </row>
    <row r="64" spans="1:18">
      <c r="Q64" s="116"/>
      <c r="R64" s="116"/>
    </row>
    <row r="65" spans="1:14" ht="13">
      <c r="C65" s="1" t="s">
        <v>765</v>
      </c>
      <c r="D65" s="247"/>
      <c r="E65" s="247"/>
      <c r="F65" s="247"/>
      <c r="G65" s="247"/>
      <c r="H65" s="247"/>
      <c r="I65" s="247"/>
      <c r="J65" s="247"/>
      <c r="K65" s="247"/>
      <c r="L65" s="247"/>
    </row>
    <row r="66" spans="1:14">
      <c r="A66" s="247"/>
      <c r="C66" s="247"/>
      <c r="D66" s="247"/>
      <c r="E66" s="247"/>
      <c r="F66" s="247"/>
      <c r="G66" s="247"/>
      <c r="H66" s="247"/>
      <c r="I66" s="247"/>
      <c r="J66" s="247"/>
      <c r="K66" s="247"/>
      <c r="L66" s="247"/>
    </row>
    <row r="67" spans="1:14" ht="13">
      <c r="A67" s="206"/>
      <c r="C67" s="48" t="s">
        <v>336</v>
      </c>
      <c r="D67" s="48" t="s">
        <v>337</v>
      </c>
      <c r="E67" s="48" t="s">
        <v>338</v>
      </c>
      <c r="F67" s="48" t="s">
        <v>339</v>
      </c>
      <c r="G67" s="48" t="s">
        <v>340</v>
      </c>
      <c r="H67" s="48" t="s">
        <v>341</v>
      </c>
      <c r="I67" s="48" t="s">
        <v>342</v>
      </c>
      <c r="J67" s="48" t="s">
        <v>343</v>
      </c>
      <c r="K67" s="48" t="s">
        <v>344</v>
      </c>
      <c r="L67" s="48" t="s">
        <v>589</v>
      </c>
      <c r="M67" s="48" t="s">
        <v>590</v>
      </c>
      <c r="N67" s="48" t="s">
        <v>591</v>
      </c>
    </row>
    <row r="68" spans="1:14">
      <c r="A68" s="116"/>
      <c r="C68" s="129"/>
      <c r="D68" s="116"/>
      <c r="E68" s="116"/>
      <c r="F68" s="116"/>
      <c r="G68" s="116"/>
      <c r="H68" s="116"/>
      <c r="I68" s="116"/>
      <c r="J68" s="116"/>
      <c r="K68" s="116"/>
      <c r="L68" s="116"/>
      <c r="N68" s="129" t="s">
        <v>642</v>
      </c>
    </row>
    <row r="69" spans="1:14" ht="13">
      <c r="A69" s="30"/>
      <c r="C69" s="3" t="s">
        <v>643</v>
      </c>
      <c r="D69" s="48">
        <v>350.1</v>
      </c>
      <c r="E69" s="48">
        <v>350.2</v>
      </c>
      <c r="F69" s="48">
        <v>352</v>
      </c>
      <c r="G69" s="48">
        <v>353</v>
      </c>
      <c r="H69" s="48">
        <v>354</v>
      </c>
      <c r="I69" s="48">
        <v>355</v>
      </c>
      <c r="J69" s="48">
        <v>356</v>
      </c>
      <c r="K69" s="48">
        <v>357</v>
      </c>
      <c r="L69" s="48">
        <v>358</v>
      </c>
      <c r="M69" s="48">
        <v>359</v>
      </c>
      <c r="N69" s="3" t="s">
        <v>249</v>
      </c>
    </row>
    <row r="70" spans="1:14" ht="13">
      <c r="A70" s="2">
        <f>A60+1</f>
        <v>27</v>
      </c>
      <c r="C70" s="403" t="s">
        <v>2994</v>
      </c>
      <c r="D70" s="249">
        <f>'17-Depreciation'!C48</f>
        <v>0</v>
      </c>
      <c r="E70" s="249">
        <f>'17-Depreciation'!D48</f>
        <v>257105.19988419194</v>
      </c>
      <c r="F70" s="249">
        <f>'17-Depreciation'!E48</f>
        <v>1807119.9146662892</v>
      </c>
      <c r="G70" s="249">
        <f>'17-Depreciation'!F48</f>
        <v>8472150.1416069623</v>
      </c>
      <c r="H70" s="249">
        <f>'17-Depreciation'!G48</f>
        <v>4983648.7003791463</v>
      </c>
      <c r="I70" s="249">
        <f>'17-Depreciation'!H48</f>
        <v>1659926.8323828687</v>
      </c>
      <c r="J70" s="249">
        <f>'17-Depreciation'!I48</f>
        <v>4114904.5128104575</v>
      </c>
      <c r="K70" s="249">
        <f>'17-Depreciation'!J48</f>
        <v>296049.31893248681</v>
      </c>
      <c r="L70" s="249">
        <f>'17-Depreciation'!K48</f>
        <v>189478.09937175</v>
      </c>
      <c r="M70" s="249">
        <f>'17-Depreciation'!L48</f>
        <v>290137.73921781918</v>
      </c>
      <c r="N70" s="118">
        <f t="shared" ref="N70:N82" si="5">SUM(D70:M70)</f>
        <v>22070520.45925197</v>
      </c>
    </row>
    <row r="71" spans="1:14" ht="13">
      <c r="A71" s="2">
        <f t="shared" ref="A71:A82" si="6">A70+1</f>
        <v>28</v>
      </c>
      <c r="C71" s="403" t="s">
        <v>2995</v>
      </c>
      <c r="D71" s="249">
        <f>'17-Depreciation'!C49</f>
        <v>0</v>
      </c>
      <c r="E71" s="249">
        <f>'17-Depreciation'!D49</f>
        <v>257107.08022598724</v>
      </c>
      <c r="F71" s="249">
        <f>'17-Depreciation'!E49</f>
        <v>1813378.3748355757</v>
      </c>
      <c r="G71" s="249">
        <f>'17-Depreciation'!F49</f>
        <v>8481455.8095104601</v>
      </c>
      <c r="H71" s="249">
        <f>'17-Depreciation'!G49</f>
        <v>4986507.5874468507</v>
      </c>
      <c r="I71" s="249">
        <f>'17-Depreciation'!H49</f>
        <v>1674153.3555859399</v>
      </c>
      <c r="J71" s="249">
        <f>'17-Depreciation'!I49</f>
        <v>4150229.9845903628</v>
      </c>
      <c r="K71" s="249">
        <f>'17-Depreciation'!J49</f>
        <v>296049.31893248681</v>
      </c>
      <c r="L71" s="249">
        <f>'17-Depreciation'!K49</f>
        <v>189478.09937175</v>
      </c>
      <c r="M71" s="249">
        <f>'17-Depreciation'!L49</f>
        <v>290441.48929366888</v>
      </c>
      <c r="N71" s="118">
        <f t="shared" si="5"/>
        <v>22138801.099793084</v>
      </c>
    </row>
    <row r="72" spans="1:14" ht="13">
      <c r="A72" s="2">
        <f t="shared" si="6"/>
        <v>29</v>
      </c>
      <c r="C72" s="403" t="s">
        <v>2996</v>
      </c>
      <c r="D72" s="249">
        <f>'17-Depreciation'!C50</f>
        <v>0</v>
      </c>
      <c r="E72" s="249">
        <f>'17-Depreciation'!D50</f>
        <v>257106.63804428047</v>
      </c>
      <c r="F72" s="249">
        <f>'17-Depreciation'!E50</f>
        <v>1825280.8077983614</v>
      </c>
      <c r="G72" s="249">
        <f>'17-Depreciation'!F50</f>
        <v>8484831.4180671219</v>
      </c>
      <c r="H72" s="249">
        <f>'17-Depreciation'!G50</f>
        <v>5012452.529424143</v>
      </c>
      <c r="I72" s="249">
        <f>'17-Depreciation'!H50</f>
        <v>1676829.6964988851</v>
      </c>
      <c r="J72" s="249">
        <f>'17-Depreciation'!I50</f>
        <v>4188792.0430836994</v>
      </c>
      <c r="K72" s="249">
        <f>'17-Depreciation'!J50</f>
        <v>296049.3185014982</v>
      </c>
      <c r="L72" s="249">
        <f>'17-Depreciation'!K50</f>
        <v>189478.09937175</v>
      </c>
      <c r="M72" s="249">
        <f>'17-Depreciation'!L50</f>
        <v>292832.31531348097</v>
      </c>
      <c r="N72" s="118">
        <f t="shared" si="5"/>
        <v>22223652.866103224</v>
      </c>
    </row>
    <row r="73" spans="1:14" ht="13">
      <c r="A73" s="2">
        <f t="shared" si="6"/>
        <v>30</v>
      </c>
      <c r="C73" s="403" t="s">
        <v>2997</v>
      </c>
      <c r="D73" s="249">
        <f>'17-Depreciation'!C51</f>
        <v>0</v>
      </c>
      <c r="E73" s="249">
        <f>'17-Depreciation'!D51</f>
        <v>257100.57114743875</v>
      </c>
      <c r="F73" s="249">
        <f>'17-Depreciation'!E51</f>
        <v>1835091.9166694956</v>
      </c>
      <c r="G73" s="249">
        <f>'17-Depreciation'!F51</f>
        <v>8511094.4276107624</v>
      </c>
      <c r="H73" s="249">
        <f>'17-Depreciation'!G51</f>
        <v>5012472.0383615103</v>
      </c>
      <c r="I73" s="249">
        <f>'17-Depreciation'!H51</f>
        <v>1686350.3179139558</v>
      </c>
      <c r="J73" s="249">
        <f>'17-Depreciation'!I51</f>
        <v>4190837.9499919717</v>
      </c>
      <c r="K73" s="249">
        <f>'17-Depreciation'!J51</f>
        <v>296049.31850037054</v>
      </c>
      <c r="L73" s="249">
        <f>'17-Depreciation'!K51</f>
        <v>189478.09937175</v>
      </c>
      <c r="M73" s="249">
        <f>'17-Depreciation'!L51</f>
        <v>292876.6184271939</v>
      </c>
      <c r="N73" s="118">
        <f t="shared" si="5"/>
        <v>22271351.257994447</v>
      </c>
    </row>
    <row r="74" spans="1:14" ht="13">
      <c r="A74" s="2">
        <f t="shared" si="6"/>
        <v>31</v>
      </c>
      <c r="C74" s="403" t="s">
        <v>2998</v>
      </c>
      <c r="D74" s="249">
        <f>'17-Depreciation'!C52</f>
        <v>0</v>
      </c>
      <c r="E74" s="249">
        <f>'17-Depreciation'!D52</f>
        <v>257100.67561224403</v>
      </c>
      <c r="F74" s="249">
        <f>'17-Depreciation'!E52</f>
        <v>1837615.4850708013</v>
      </c>
      <c r="G74" s="249">
        <f>'17-Depreciation'!F52</f>
        <v>8533785.3673957046</v>
      </c>
      <c r="H74" s="249">
        <f>'17-Depreciation'!G52</f>
        <v>5019365.5587318987</v>
      </c>
      <c r="I74" s="249">
        <f>'17-Depreciation'!H52</f>
        <v>1694779.4783700167</v>
      </c>
      <c r="J74" s="249">
        <f>'17-Depreciation'!I52</f>
        <v>4202166.2081540925</v>
      </c>
      <c r="K74" s="249">
        <f>'17-Depreciation'!J52</f>
        <v>296049.31850037054</v>
      </c>
      <c r="L74" s="249">
        <f>'17-Depreciation'!K52</f>
        <v>189478.09937175</v>
      </c>
      <c r="M74" s="249">
        <f>'17-Depreciation'!L52</f>
        <v>293331.43237707688</v>
      </c>
      <c r="N74" s="118">
        <f t="shared" si="5"/>
        <v>22323671.623583958</v>
      </c>
    </row>
    <row r="75" spans="1:14" ht="13">
      <c r="A75" s="2">
        <f t="shared" si="6"/>
        <v>32</v>
      </c>
      <c r="C75" s="403" t="s">
        <v>2999</v>
      </c>
      <c r="D75" s="249">
        <f>'17-Depreciation'!C53</f>
        <v>0</v>
      </c>
      <c r="E75" s="249">
        <f>'17-Depreciation'!D53</f>
        <v>257096.4778328898</v>
      </c>
      <c r="F75" s="249">
        <f>'17-Depreciation'!E53</f>
        <v>1925753.6623899133</v>
      </c>
      <c r="G75" s="249">
        <f>'17-Depreciation'!F53</f>
        <v>8935663.0841668285</v>
      </c>
      <c r="H75" s="249">
        <f>'17-Depreciation'!G53</f>
        <v>5043696.6666362686</v>
      </c>
      <c r="I75" s="249">
        <f>'17-Depreciation'!H53</f>
        <v>1715148.3887225639</v>
      </c>
      <c r="J75" s="249">
        <f>'17-Depreciation'!I53</f>
        <v>4278182.0963255549</v>
      </c>
      <c r="K75" s="249">
        <f>'17-Depreciation'!J53</f>
        <v>296049.27203963272</v>
      </c>
      <c r="L75" s="249">
        <f>'17-Depreciation'!K53</f>
        <v>189478.09937175</v>
      </c>
      <c r="M75" s="249">
        <f>'17-Depreciation'!L53</f>
        <v>293751.49258082343</v>
      </c>
      <c r="N75" s="118">
        <f t="shared" si="5"/>
        <v>22934819.240066227</v>
      </c>
    </row>
    <row r="76" spans="1:14" ht="13">
      <c r="A76" s="2">
        <f t="shared" si="6"/>
        <v>33</v>
      </c>
      <c r="C76" s="403" t="s">
        <v>3000</v>
      </c>
      <c r="D76" s="249">
        <f>'17-Depreciation'!C54</f>
        <v>0</v>
      </c>
      <c r="E76" s="249">
        <f>'17-Depreciation'!D54</f>
        <v>257092.1509610191</v>
      </c>
      <c r="F76" s="249">
        <f>'17-Depreciation'!E54</f>
        <v>1929425.2353787534</v>
      </c>
      <c r="G76" s="249">
        <f>'17-Depreciation'!F54</f>
        <v>8995306.734223742</v>
      </c>
      <c r="H76" s="249">
        <f>'17-Depreciation'!G54</f>
        <v>5048870.9012330305</v>
      </c>
      <c r="I76" s="249">
        <f>'17-Depreciation'!H54</f>
        <v>1724235.3974592111</v>
      </c>
      <c r="J76" s="249">
        <f>'17-Depreciation'!I54</f>
        <v>4299034.9348725649</v>
      </c>
      <c r="K76" s="249">
        <f>'17-Depreciation'!J54</f>
        <v>296049.27296155348</v>
      </c>
      <c r="L76" s="249">
        <f>'17-Depreciation'!K54</f>
        <v>189478.09937175</v>
      </c>
      <c r="M76" s="249">
        <f>'17-Depreciation'!L54</f>
        <v>293992.73626650759</v>
      </c>
      <c r="N76" s="118">
        <f t="shared" si="5"/>
        <v>23033485.462728132</v>
      </c>
    </row>
    <row r="77" spans="1:14" ht="13">
      <c r="A77" s="2">
        <f t="shared" si="6"/>
        <v>34</v>
      </c>
      <c r="C77" s="403" t="s">
        <v>3001</v>
      </c>
      <c r="D77" s="249">
        <f>'17-Depreciation'!C55</f>
        <v>0</v>
      </c>
      <c r="E77" s="249">
        <f>'17-Depreciation'!D55</f>
        <v>258588.345440698</v>
      </c>
      <c r="F77" s="249">
        <f>'17-Depreciation'!E55</f>
        <v>1930863.0184127076</v>
      </c>
      <c r="G77" s="249">
        <f>'17-Depreciation'!F55</f>
        <v>9022261.3231828827</v>
      </c>
      <c r="H77" s="249">
        <f>'17-Depreciation'!G55</f>
        <v>5048907.2010104498</v>
      </c>
      <c r="I77" s="249">
        <f>'17-Depreciation'!H55</f>
        <v>1860089.6422249216</v>
      </c>
      <c r="J77" s="249">
        <f>'17-Depreciation'!I55</f>
        <v>4331676.7912457967</v>
      </c>
      <c r="K77" s="249">
        <f>'17-Depreciation'!J55</f>
        <v>296049.27277746814</v>
      </c>
      <c r="L77" s="249">
        <f>'17-Depreciation'!K55</f>
        <v>189478.09937175</v>
      </c>
      <c r="M77" s="249">
        <f>'17-Depreciation'!L55</f>
        <v>294110.16977988248</v>
      </c>
      <c r="N77" s="118">
        <f t="shared" si="5"/>
        <v>23232023.863446556</v>
      </c>
    </row>
    <row r="78" spans="1:14" ht="13">
      <c r="A78" s="2">
        <f t="shared" si="6"/>
        <v>35</v>
      </c>
      <c r="C78" s="403" t="s">
        <v>3002</v>
      </c>
      <c r="D78" s="249">
        <f>'17-Depreciation'!C56</f>
        <v>0</v>
      </c>
      <c r="E78" s="249">
        <f>'17-Depreciation'!D56</f>
        <v>258307.61704045802</v>
      </c>
      <c r="F78" s="249">
        <f>'17-Depreciation'!E56</f>
        <v>1921154.5373014321</v>
      </c>
      <c r="G78" s="249">
        <f>'17-Depreciation'!F56</f>
        <v>9021103.5295100454</v>
      </c>
      <c r="H78" s="249">
        <f>'17-Depreciation'!G56</f>
        <v>5061658.2316720923</v>
      </c>
      <c r="I78" s="249">
        <f>'17-Depreciation'!H56</f>
        <v>1874282.6604087262</v>
      </c>
      <c r="J78" s="249">
        <f>'17-Depreciation'!I56</f>
        <v>4322440.4436664069</v>
      </c>
      <c r="K78" s="249">
        <f>'17-Depreciation'!J56</f>
        <v>296049.27356135065</v>
      </c>
      <c r="L78" s="249">
        <f>'17-Depreciation'!K56</f>
        <v>189478.09937175</v>
      </c>
      <c r="M78" s="249">
        <f>'17-Depreciation'!L56</f>
        <v>294191.08536996966</v>
      </c>
      <c r="N78" s="118">
        <f t="shared" si="5"/>
        <v>23238665.477902234</v>
      </c>
    </row>
    <row r="79" spans="1:14" ht="13">
      <c r="A79" s="2">
        <f t="shared" si="6"/>
        <v>36</v>
      </c>
      <c r="C79" s="403" t="s">
        <v>3003</v>
      </c>
      <c r="D79" s="249">
        <f>'17-Depreciation'!C57</f>
        <v>0</v>
      </c>
      <c r="E79" s="249">
        <f>'17-Depreciation'!D57</f>
        <v>258227.25905241756</v>
      </c>
      <c r="F79" s="249">
        <f>'17-Depreciation'!E57</f>
        <v>1926868.4377166603</v>
      </c>
      <c r="G79" s="249">
        <f>'17-Depreciation'!F57</f>
        <v>9040694.9645377453</v>
      </c>
      <c r="H79" s="249">
        <f>'17-Depreciation'!G57</f>
        <v>5071146.4329033922</v>
      </c>
      <c r="I79" s="249">
        <f>'17-Depreciation'!H57</f>
        <v>1890492.7378803699</v>
      </c>
      <c r="J79" s="249">
        <f>'17-Depreciation'!I57</f>
        <v>4301812.6597842695</v>
      </c>
      <c r="K79" s="249">
        <f>'17-Depreciation'!J57</f>
        <v>296049.27355763334</v>
      </c>
      <c r="L79" s="249">
        <f>'17-Depreciation'!K57</f>
        <v>189478.09937175</v>
      </c>
      <c r="M79" s="249">
        <f>'17-Depreciation'!L57</f>
        <v>294211.77340187813</v>
      </c>
      <c r="N79" s="118">
        <f t="shared" si="5"/>
        <v>23268981.638206117</v>
      </c>
    </row>
    <row r="80" spans="1:14" ht="13">
      <c r="A80" s="2">
        <f t="shared" si="6"/>
        <v>37</v>
      </c>
      <c r="C80" s="403" t="s">
        <v>3004</v>
      </c>
      <c r="D80" s="249">
        <f>'17-Depreciation'!C58</f>
        <v>0</v>
      </c>
      <c r="E80" s="249">
        <f>'17-Depreciation'!D58</f>
        <v>258207.94373058798</v>
      </c>
      <c r="F80" s="249">
        <f>'17-Depreciation'!E58</f>
        <v>1932871.3011822337</v>
      </c>
      <c r="G80" s="249">
        <f>'17-Depreciation'!F58</f>
        <v>9048330.8702533562</v>
      </c>
      <c r="H80" s="249">
        <f>'17-Depreciation'!G58</f>
        <v>5077280.9866650114</v>
      </c>
      <c r="I80" s="249">
        <f>'17-Depreciation'!H58</f>
        <v>1907612.1656653779</v>
      </c>
      <c r="J80" s="249">
        <f>'17-Depreciation'!I58</f>
        <v>4296795.360067388</v>
      </c>
      <c r="K80" s="249">
        <f>'17-Depreciation'!J58</f>
        <v>296049.20967210137</v>
      </c>
      <c r="L80" s="249">
        <f>'17-Depreciation'!K58</f>
        <v>189478.09937175</v>
      </c>
      <c r="M80" s="249">
        <f>'17-Depreciation'!L58</f>
        <v>294219.17189913848</v>
      </c>
      <c r="N80" s="118">
        <f t="shared" si="5"/>
        <v>23300845.108506944</v>
      </c>
    </row>
    <row r="81" spans="1:14" ht="13">
      <c r="A81" s="2">
        <f t="shared" si="6"/>
        <v>38</v>
      </c>
      <c r="C81" s="403" t="s">
        <v>3005</v>
      </c>
      <c r="D81" s="53">
        <f>'17-Depreciation'!C59</f>
        <v>0</v>
      </c>
      <c r="E81" s="53">
        <f>'17-Depreciation'!D59</f>
        <v>258191.50291263452</v>
      </c>
      <c r="F81" s="53">
        <f>'17-Depreciation'!E59</f>
        <v>1934837.7042557921</v>
      </c>
      <c r="G81" s="53">
        <f>'17-Depreciation'!F59</f>
        <v>9056617.2645158824</v>
      </c>
      <c r="H81" s="53">
        <f>'17-Depreciation'!G59</f>
        <v>5080982.2313725986</v>
      </c>
      <c r="I81" s="53">
        <f>'17-Depreciation'!H59</f>
        <v>1918588.537548406</v>
      </c>
      <c r="J81" s="53">
        <f>'17-Depreciation'!I59</f>
        <v>4298913.0631579431</v>
      </c>
      <c r="K81" s="53">
        <f>'17-Depreciation'!J59</f>
        <v>296049.20958507492</v>
      </c>
      <c r="L81" s="53">
        <f>'17-Depreciation'!K59</f>
        <v>189478.09937175</v>
      </c>
      <c r="M81" s="53">
        <f>'17-Depreciation'!L59</f>
        <v>294227.80591101816</v>
      </c>
      <c r="N81" s="189">
        <f t="shared" si="5"/>
        <v>23327885.418631099</v>
      </c>
    </row>
    <row r="82" spans="1:14" ht="13">
      <c r="A82" s="2">
        <f t="shared" si="6"/>
        <v>39</v>
      </c>
      <c r="C82" s="583" t="s">
        <v>409</v>
      </c>
      <c r="D82" s="118">
        <f t="shared" ref="D82:M82" si="7">SUM(D70:D81)</f>
        <v>0</v>
      </c>
      <c r="E82" s="118">
        <f t="shared" si="7"/>
        <v>3091231.4618848478</v>
      </c>
      <c r="F82" s="118">
        <f t="shared" si="7"/>
        <v>22620260.395678014</v>
      </c>
      <c r="G82" s="118">
        <f t="shared" si="7"/>
        <v>105603294.93458149</v>
      </c>
      <c r="H82" s="118">
        <f t="shared" si="7"/>
        <v>60446989.0658364</v>
      </c>
      <c r="I82" s="118">
        <f t="shared" si="7"/>
        <v>21282489.21066124</v>
      </c>
      <c r="J82" s="118">
        <f t="shared" si="7"/>
        <v>50975786.04775051</v>
      </c>
      <c r="K82" s="118">
        <f t="shared" si="7"/>
        <v>3552591.3775220271</v>
      </c>
      <c r="L82" s="118">
        <f t="shared" si="7"/>
        <v>2273737.1924609994</v>
      </c>
      <c r="M82" s="118">
        <f t="shared" si="7"/>
        <v>3518323.829838458</v>
      </c>
      <c r="N82" s="118">
        <f t="shared" si="5"/>
        <v>273364703.51621395</v>
      </c>
    </row>
    <row r="84" spans="1:14" ht="13">
      <c r="C84" s="1" t="s">
        <v>766</v>
      </c>
      <c r="D84" s="247"/>
      <c r="E84" s="247"/>
      <c r="F84" s="247"/>
      <c r="G84" s="247"/>
      <c r="H84" s="247"/>
      <c r="I84" s="247"/>
      <c r="J84" s="247"/>
      <c r="K84" s="247"/>
      <c r="L84" s="247"/>
    </row>
    <row r="85" spans="1:14">
      <c r="C85" s="247"/>
      <c r="D85" s="247"/>
      <c r="E85" s="247"/>
      <c r="F85" s="247"/>
      <c r="G85" s="247"/>
      <c r="H85" s="247"/>
      <c r="I85" s="247"/>
      <c r="J85" s="247"/>
      <c r="K85" s="247"/>
      <c r="L85" s="247"/>
    </row>
    <row r="86" spans="1:14" ht="13">
      <c r="C86" s="48" t="s">
        <v>336</v>
      </c>
      <c r="D86" s="48" t="s">
        <v>337</v>
      </c>
      <c r="E86" s="48" t="s">
        <v>338</v>
      </c>
      <c r="F86" s="48" t="s">
        <v>339</v>
      </c>
      <c r="G86" s="48" t="s">
        <v>340</v>
      </c>
      <c r="H86" s="48" t="s">
        <v>341</v>
      </c>
      <c r="I86" s="48" t="s">
        <v>342</v>
      </c>
      <c r="J86" s="48" t="s">
        <v>343</v>
      </c>
      <c r="K86" s="48" t="s">
        <v>344</v>
      </c>
      <c r="L86" s="48" t="s">
        <v>589</v>
      </c>
      <c r="M86" s="48" t="s">
        <v>590</v>
      </c>
      <c r="N86" s="48"/>
    </row>
    <row r="87" spans="1:14">
      <c r="C87" s="129"/>
      <c r="D87" s="116"/>
      <c r="E87" s="116"/>
      <c r="F87" s="116"/>
      <c r="G87" s="116"/>
      <c r="H87" s="116"/>
      <c r="I87" s="116"/>
      <c r="J87" s="116"/>
      <c r="K87" s="116"/>
      <c r="L87" s="116"/>
      <c r="N87" s="129"/>
    </row>
    <row r="88" spans="1:14" ht="13">
      <c r="C88" s="3" t="s">
        <v>643</v>
      </c>
      <c r="D88" s="48">
        <v>350.1</v>
      </c>
      <c r="E88" s="48">
        <v>350.2</v>
      </c>
      <c r="F88" s="48">
        <v>352</v>
      </c>
      <c r="G88" s="48">
        <v>353</v>
      </c>
      <c r="H88" s="48">
        <v>354</v>
      </c>
      <c r="I88" s="48">
        <v>355</v>
      </c>
      <c r="J88" s="48">
        <v>356</v>
      </c>
      <c r="K88" s="48">
        <v>357</v>
      </c>
      <c r="L88" s="48">
        <v>358</v>
      </c>
      <c r="M88" s="48">
        <v>359</v>
      </c>
      <c r="N88" s="3"/>
    </row>
    <row r="89" spans="1:14" ht="13">
      <c r="A89" s="2">
        <f>A82+1</f>
        <v>40</v>
      </c>
      <c r="C89" s="403" t="s">
        <v>2994</v>
      </c>
      <c r="D89" s="601">
        <f>'6-PlantInService'!C167</f>
        <v>2.016533142919579E-3</v>
      </c>
      <c r="E89" s="601">
        <f>'6-PlantInService'!D167</f>
        <v>-1.4341079451399088E-3</v>
      </c>
      <c r="F89" s="601">
        <f>'6-PlantInService'!E167</f>
        <v>0.13215378691626692</v>
      </c>
      <c r="G89" s="601">
        <f>'6-PlantInService'!F167</f>
        <v>3.832115910174004E-2</v>
      </c>
      <c r="H89" s="601">
        <f>'6-PlantInService'!G167</f>
        <v>3.3113630755022376E-2</v>
      </c>
      <c r="I89" s="601">
        <f>'6-PlantInService'!H167</f>
        <v>5.1621111572127454E-2</v>
      </c>
      <c r="J89" s="601">
        <f>'6-PlantInService'!I167</f>
        <v>0.22159787332197539</v>
      </c>
      <c r="K89" s="601">
        <f>'6-PlantInService'!J167</f>
        <v>0</v>
      </c>
      <c r="L89" s="601">
        <f>'6-PlantInService'!K167</f>
        <v>1.9955170237342938E-2</v>
      </c>
      <c r="M89" s="601">
        <f>'6-PlantInService'!L167</f>
        <v>7.3579077914961474E-2</v>
      </c>
      <c r="N89" s="118"/>
    </row>
    <row r="90" spans="1:14" ht="13">
      <c r="A90" s="2">
        <f t="shared" ref="A90:A100" si="8">A89+1</f>
        <v>41</v>
      </c>
      <c r="C90" s="403" t="s">
        <v>2995</v>
      </c>
      <c r="D90" s="601">
        <f>'6-PlantInService'!C168</f>
        <v>6.1796565711007322E-8</v>
      </c>
      <c r="E90" s="601">
        <f>'6-PlantInService'!D168</f>
        <v>9.7322543238226506E-4</v>
      </c>
      <c r="F90" s="601">
        <f>'6-PlantInService'!E168</f>
        <v>0.25134090426600619</v>
      </c>
      <c r="G90" s="601">
        <f>'6-PlantInService'!F168</f>
        <v>1.1497969141496291E-2</v>
      </c>
      <c r="H90" s="601">
        <f>'6-PlantInService'!G168</f>
        <v>0.32219649518437032</v>
      </c>
      <c r="I90" s="601">
        <f>'6-PlantInService'!H168</f>
        <v>9.2980355845782344E-3</v>
      </c>
      <c r="J90" s="601">
        <f>'6-PlantInService'!I168</f>
        <v>0.24149383666861868</v>
      </c>
      <c r="K90" s="601">
        <f>'6-PlantInService'!J168</f>
        <v>4.5562434470870798E-3</v>
      </c>
      <c r="L90" s="601">
        <f>'6-PlantInService'!K168</f>
        <v>7.133468896066629E-2</v>
      </c>
      <c r="M90" s="601">
        <f>'6-PlantInService'!L168</f>
        <v>0.65304279836901402</v>
      </c>
      <c r="N90" s="118"/>
    </row>
    <row r="91" spans="1:14" ht="13">
      <c r="A91" s="2">
        <f t="shared" si="8"/>
        <v>42</v>
      </c>
      <c r="C91" s="403" t="s">
        <v>2996</v>
      </c>
      <c r="D91" s="601">
        <f>'6-PlantInService'!C169</f>
        <v>0.47839231530518295</v>
      </c>
      <c r="E91" s="601">
        <f>'6-PlantInService'!D169</f>
        <v>1.4469887978959043E-2</v>
      </c>
      <c r="F91" s="601">
        <f>'6-PlantInService'!E169</f>
        <v>0.20716354449622865</v>
      </c>
      <c r="G91" s="601">
        <f>'6-PlantInService'!F169</f>
        <v>0.11884738479868938</v>
      </c>
      <c r="H91" s="601">
        <f>'6-PlantInService'!G169</f>
        <v>-1.9107828943299378E-3</v>
      </c>
      <c r="I91" s="601">
        <f>'6-PlantInService'!H169</f>
        <v>3.4498765927032868E-2</v>
      </c>
      <c r="J91" s="601">
        <f>'6-PlantInService'!I169</f>
        <v>1.1825999443100105E-2</v>
      </c>
      <c r="K91" s="601">
        <f>'6-PlantInService'!J169</f>
        <v>1.1921399960157234E-5</v>
      </c>
      <c r="L91" s="601">
        <f>'6-PlantInService'!K169</f>
        <v>2.478951939092111E-3</v>
      </c>
      <c r="M91" s="601">
        <f>'6-PlantInService'!L169</f>
        <v>3.4959861703707158E-3</v>
      </c>
      <c r="N91" s="118"/>
    </row>
    <row r="92" spans="1:14" ht="13">
      <c r="A92" s="2">
        <f t="shared" si="8"/>
        <v>43</v>
      </c>
      <c r="C92" s="403" t="s">
        <v>2997</v>
      </c>
      <c r="D92" s="601">
        <f>'6-PlantInService'!C170</f>
        <v>9.2084057316432518E-15</v>
      </c>
      <c r="E92" s="601">
        <f>'6-PlantInService'!D170</f>
        <v>1.3004760978865788E-4</v>
      </c>
      <c r="F92" s="601">
        <f>'6-PlantInService'!E170</f>
        <v>5.3171671298590989E-2</v>
      </c>
      <c r="G92" s="601">
        <f>'6-PlantInService'!F170</f>
        <v>0.10748419382217465</v>
      </c>
      <c r="H92" s="601">
        <f>'6-PlantInService'!G170</f>
        <v>8.3527961072599813E-2</v>
      </c>
      <c r="I92" s="601">
        <f>'6-PlantInService'!H170</f>
        <v>3.0415569852545093E-2</v>
      </c>
      <c r="J92" s="601">
        <f>'6-PlantInService'!I170</f>
        <v>6.9986308540179273E-2</v>
      </c>
      <c r="K92" s="601">
        <f>'6-PlantInService'!J170</f>
        <v>0</v>
      </c>
      <c r="L92" s="601">
        <f>'6-PlantInService'!K170</f>
        <v>6.4764933426180421E-2</v>
      </c>
      <c r="M92" s="601">
        <f>'6-PlantInService'!L170</f>
        <v>0.11480318236878702</v>
      </c>
      <c r="N92" s="118"/>
    </row>
    <row r="93" spans="1:14" ht="13">
      <c r="A93" s="2">
        <f t="shared" si="8"/>
        <v>44</v>
      </c>
      <c r="C93" s="403" t="s">
        <v>2998</v>
      </c>
      <c r="D93" s="601">
        <f>'6-PlantInService'!C171</f>
        <v>7.2797589252933555E-4</v>
      </c>
      <c r="E93" s="601">
        <f>'6-PlantInService'!D171</f>
        <v>9.2391556783135969E-3</v>
      </c>
      <c r="F93" s="601">
        <f>'6-PlantInService'!E171</f>
        <v>0.18659508125324126</v>
      </c>
      <c r="G93" s="601">
        <f>'6-PlantInService'!F171</f>
        <v>0.1567668359375374</v>
      </c>
      <c r="H93" s="601">
        <f>'6-PlantInService'!G171</f>
        <v>0.16829268820673382</v>
      </c>
      <c r="I93" s="601">
        <f>'6-PlantInService'!H171</f>
        <v>7.4264865024950347E-2</v>
      </c>
      <c r="J93" s="601">
        <f>'6-PlantInService'!I171</f>
        <v>0.44314478240147681</v>
      </c>
      <c r="K93" s="601">
        <f>'6-PlantInService'!J171</f>
        <v>0.49116477563781941</v>
      </c>
      <c r="L93" s="601">
        <f>'6-PlantInService'!K171</f>
        <v>5.1323808412660045E-3</v>
      </c>
      <c r="M93" s="601">
        <f>'6-PlantInService'!L171</f>
        <v>0.11317303106132488</v>
      </c>
      <c r="N93" s="118"/>
    </row>
    <row r="94" spans="1:14" ht="13">
      <c r="A94" s="2">
        <f t="shared" si="8"/>
        <v>45</v>
      </c>
      <c r="C94" s="403" t="s">
        <v>2999</v>
      </c>
      <c r="D94" s="601">
        <f>'6-PlantInService'!C172</f>
        <v>1.3812608597464878E-14</v>
      </c>
      <c r="E94" s="601">
        <f>'6-PlantInService'!D172</f>
        <v>9.5232834889777858E-3</v>
      </c>
      <c r="F94" s="601">
        <f>'6-PlantInService'!E172</f>
        <v>5.397933076004216E-2</v>
      </c>
      <c r="G94" s="601">
        <f>'6-PlantInService'!F172</f>
        <v>0.25840511905395641</v>
      </c>
      <c r="H94" s="601">
        <f>'6-PlantInService'!G172</f>
        <v>2.5460872349944597E-2</v>
      </c>
      <c r="I94" s="601">
        <f>'6-PlantInService'!H172</f>
        <v>3.1209697435903246E-2</v>
      </c>
      <c r="J94" s="601">
        <f>'6-PlantInService'!I172</f>
        <v>-6.1965369071019412E-3</v>
      </c>
      <c r="K94" s="601">
        <f>'6-PlantInService'!J172</f>
        <v>-9.7461861963726373E-3</v>
      </c>
      <c r="L94" s="601">
        <f>'6-PlantInService'!K172</f>
        <v>2.9083479997365309E-3</v>
      </c>
      <c r="M94" s="601">
        <f>'6-PlantInService'!L172</f>
        <v>2.6652741092308856E-3</v>
      </c>
      <c r="N94" s="118"/>
    </row>
    <row r="95" spans="1:14" ht="13">
      <c r="A95" s="2">
        <f t="shared" si="8"/>
        <v>46</v>
      </c>
      <c r="C95" s="403" t="s">
        <v>3000</v>
      </c>
      <c r="D95" s="601">
        <f>'6-PlantInService'!C173</f>
        <v>-9.2084057316432518E-15</v>
      </c>
      <c r="E95" s="601">
        <f>'6-PlantInService'!D173</f>
        <v>5.4349582214116045E-2</v>
      </c>
      <c r="F95" s="601">
        <f>'6-PlantInService'!E173</f>
        <v>3.1769418974392388E-3</v>
      </c>
      <c r="G95" s="601">
        <f>'6-PlantInService'!F173</f>
        <v>0.10035510252194407</v>
      </c>
      <c r="H95" s="601">
        <f>'6-PlantInService'!G173</f>
        <v>-4.1293901694820784E-4</v>
      </c>
      <c r="I95" s="601">
        <f>'6-PlantInService'!H173</f>
        <v>0.49617466147633393</v>
      </c>
      <c r="J95" s="601">
        <f>'6-PlantInService'!I173</f>
        <v>0.20430950109014023</v>
      </c>
      <c r="K95" s="601">
        <f>'6-PlantInService'!J173</f>
        <v>1.94607855911301E-3</v>
      </c>
      <c r="L95" s="601">
        <f>'6-PlantInService'!K173</f>
        <v>0.70240792114638717</v>
      </c>
      <c r="M95" s="601">
        <f>'6-PlantInService'!L173</f>
        <v>2.9793761703878655E-2</v>
      </c>
      <c r="N95" s="118"/>
    </row>
    <row r="96" spans="1:14" ht="13">
      <c r="A96" s="2">
        <f t="shared" si="8"/>
        <v>47</v>
      </c>
      <c r="C96" s="403" t="s">
        <v>3001</v>
      </c>
      <c r="D96" s="601">
        <f>'6-PlantInService'!C174</f>
        <v>7.1925021760564254E-4</v>
      </c>
      <c r="E96" s="601">
        <f>'6-PlantInService'!D174</f>
        <v>0.64292889310735757</v>
      </c>
      <c r="F96" s="601">
        <f>'6-PlantInService'!E174</f>
        <v>-0.21270847806778634</v>
      </c>
      <c r="G96" s="601">
        <f>'6-PlantInService'!F174</f>
        <v>-1.3599224668006598E-2</v>
      </c>
      <c r="H96" s="601">
        <f>'6-PlantInService'!G174</f>
        <v>0.15580133765431697</v>
      </c>
      <c r="I96" s="601">
        <f>'6-PlantInService'!H174</f>
        <v>5.1278945252947752E-2</v>
      </c>
      <c r="J96" s="601">
        <f>'6-PlantInService'!I174</f>
        <v>-6.0325933448808933E-2</v>
      </c>
      <c r="K96" s="601">
        <f>'6-PlantInService'!J174</f>
        <v>-8.2868999531575584E-3</v>
      </c>
      <c r="L96" s="601">
        <f>'6-PlantInService'!K174</f>
        <v>5.883190615762781E-3</v>
      </c>
      <c r="M96" s="601">
        <f>'6-PlantInService'!L174</f>
        <v>4.0959881173795211E-3</v>
      </c>
      <c r="N96" s="118"/>
    </row>
    <row r="97" spans="1:14" ht="13">
      <c r="A97" s="2">
        <f t="shared" si="8"/>
        <v>48</v>
      </c>
      <c r="C97" s="403" t="s">
        <v>3002</v>
      </c>
      <c r="D97" s="601">
        <f>'6-PlantInService'!C175</f>
        <v>2.1345831206343669E-3</v>
      </c>
      <c r="E97" s="601">
        <f>'6-PlantInService'!D175</f>
        <v>0.17704146203001564</v>
      </c>
      <c r="F97" s="601">
        <f>'6-PlantInService'!E175</f>
        <v>8.607402736464892E-2</v>
      </c>
      <c r="G97" s="601">
        <f>'6-PlantInService'!F175</f>
        <v>5.6813153614824898E-2</v>
      </c>
      <c r="H97" s="601">
        <f>'6-PlantInService'!G175</f>
        <v>0.11836230467275582</v>
      </c>
      <c r="I97" s="601">
        <f>'6-PlantInService'!H175</f>
        <v>5.9114588533047081E-2</v>
      </c>
      <c r="J97" s="601">
        <f>'6-PlantInService'!I175</f>
        <v>-0.13237558874148669</v>
      </c>
      <c r="K97" s="601">
        <f>'6-PlantInService'!J175</f>
        <v>3.9298082336899304E-5</v>
      </c>
      <c r="L97" s="601">
        <f>'6-PlantInService'!K175</f>
        <v>-1.9255272731059675E-3</v>
      </c>
      <c r="M97" s="601">
        <f>'6-PlantInService'!L175</f>
        <v>2.5215508652610798E-3</v>
      </c>
      <c r="N97" s="118"/>
    </row>
    <row r="98" spans="1:14" ht="13">
      <c r="A98" s="2">
        <f t="shared" si="8"/>
        <v>49</v>
      </c>
      <c r="C98" s="403" t="s">
        <v>3003</v>
      </c>
      <c r="D98" s="601">
        <f>'6-PlantInService'!C176</f>
        <v>0</v>
      </c>
      <c r="E98" s="601">
        <f>'6-PlantInService'!D176</f>
        <v>5.581870647745623E-2</v>
      </c>
      <c r="F98" s="601">
        <f>'6-PlantInService'!E176</f>
        <v>0.10670453968963652</v>
      </c>
      <c r="G98" s="601">
        <f>'6-PlantInService'!F176</f>
        <v>1.5630851954117314E-2</v>
      </c>
      <c r="H98" s="601">
        <f>'6-PlantInService'!G176</f>
        <v>7.6370671798117101E-2</v>
      </c>
      <c r="I98" s="601">
        <f>'6-PlantInService'!H176</f>
        <v>6.2462845767633966E-2</v>
      </c>
      <c r="J98" s="601">
        <f>'6-PlantInService'!I176</f>
        <v>-3.2990163737233895E-2</v>
      </c>
      <c r="K98" s="601">
        <f>'6-PlantInService'!J176</f>
        <v>0.67537289522800947</v>
      </c>
      <c r="L98" s="601">
        <f>'6-PlantInService'!K176</f>
        <v>8.0833523017587769E-2</v>
      </c>
      <c r="M98" s="601">
        <f>'6-PlantInService'!L176</f>
        <v>-3.6554793678445868E-4</v>
      </c>
      <c r="N98" s="118"/>
    </row>
    <row r="99" spans="1:14" ht="13">
      <c r="A99" s="2">
        <f t="shared" si="8"/>
        <v>50</v>
      </c>
      <c r="C99" s="403" t="s">
        <v>3004</v>
      </c>
      <c r="D99" s="601">
        <f>'6-PlantInService'!C177</f>
        <v>0.51600928052455552</v>
      </c>
      <c r="E99" s="601">
        <f>'6-PlantInService'!D177</f>
        <v>3.6185626669402872E-2</v>
      </c>
      <c r="F99" s="601">
        <f>'6-PlantInService'!E177</f>
        <v>2.8399185896638198E-2</v>
      </c>
      <c r="G99" s="601">
        <f>'6-PlantInService'!F177</f>
        <v>2.5322495410172664E-2</v>
      </c>
      <c r="H99" s="601">
        <f>'6-PlantInService'!G177</f>
        <v>2.3463725454796303E-2</v>
      </c>
      <c r="I99" s="601">
        <f>'6-PlantInService'!H177</f>
        <v>4.5065301646014355E-2</v>
      </c>
      <c r="J99" s="601">
        <f>'6-PlantInService'!I177</f>
        <v>1.5923055387372959E-2</v>
      </c>
      <c r="K99" s="601">
        <f>'6-PlantInService'!J177</f>
        <v>9.2000922779617651E-4</v>
      </c>
      <c r="L99" s="601">
        <f>'6-PlantInService'!K177</f>
        <v>1.3159626954284351E-3</v>
      </c>
      <c r="M99" s="601">
        <f>'6-PlantInService'!L177</f>
        <v>5.3918781179488685E-4</v>
      </c>
      <c r="N99" s="118"/>
    </row>
    <row r="100" spans="1:14" ht="13">
      <c r="A100" s="2">
        <f t="shared" si="8"/>
        <v>51</v>
      </c>
      <c r="C100" s="403" t="s">
        <v>3005</v>
      </c>
      <c r="D100" s="601">
        <f>'6-PlantInService'!C178</f>
        <v>-6.9063042987324388E-15</v>
      </c>
      <c r="E100" s="601">
        <f>'6-PlantInService'!D178</f>
        <v>7.7423725837019958E-4</v>
      </c>
      <c r="F100" s="601">
        <f>'6-PlantInService'!E178</f>
        <v>0.10394946422904729</v>
      </c>
      <c r="G100" s="601">
        <f>'6-PlantInService'!F178</f>
        <v>0.12415495931135344</v>
      </c>
      <c r="H100" s="601">
        <f>'6-PlantInService'!G178</f>
        <v>-4.2659652373790002E-3</v>
      </c>
      <c r="I100" s="601">
        <f>'6-PlantInService'!H178</f>
        <v>5.4595611926885668E-2</v>
      </c>
      <c r="J100" s="601">
        <f>'6-PlantInService'!I178</f>
        <v>2.3606865981768012E-2</v>
      </c>
      <c r="K100" s="601">
        <f>'6-PlantInService'!J178</f>
        <v>-0.15597813543259204</v>
      </c>
      <c r="L100" s="601">
        <f>'6-PlantInService'!K178</f>
        <v>4.4910456393655533E-2</v>
      </c>
      <c r="M100" s="601">
        <f>'6-PlantInService'!L178</f>
        <v>2.6557094447813147E-3</v>
      </c>
      <c r="N100" s="189"/>
    </row>
    <row r="102" spans="1:14" ht="13">
      <c r="C102" s="1" t="s">
        <v>767</v>
      </c>
    </row>
    <row r="104" spans="1:14">
      <c r="C104" s="246" t="s">
        <v>768</v>
      </c>
    </row>
    <row r="105" spans="1:14" ht="13">
      <c r="C105" s="12"/>
      <c r="D105" s="48">
        <v>350.1</v>
      </c>
      <c r="E105" s="48">
        <v>350.2</v>
      </c>
      <c r="F105" s="48">
        <v>352</v>
      </c>
      <c r="G105" s="48">
        <v>353</v>
      </c>
      <c r="H105" s="48">
        <v>354</v>
      </c>
      <c r="I105" s="48">
        <v>355</v>
      </c>
      <c r="J105" s="48">
        <v>356</v>
      </c>
      <c r="K105" s="48">
        <v>357</v>
      </c>
      <c r="L105" s="48">
        <v>358</v>
      </c>
      <c r="M105" s="48">
        <v>359</v>
      </c>
      <c r="N105" s="3" t="s">
        <v>249</v>
      </c>
    </row>
    <row r="106" spans="1:14" ht="13">
      <c r="A106" s="2">
        <f>A100+1</f>
        <v>52</v>
      </c>
      <c r="C106" s="12"/>
      <c r="D106" s="6">
        <f t="shared" ref="D106:M106" si="9">D24-D12</f>
        <v>0</v>
      </c>
      <c r="E106" s="6">
        <f t="shared" si="9"/>
        <v>2815096.9057451002</v>
      </c>
      <c r="F106" s="6">
        <f t="shared" si="9"/>
        <v>18522855.452520669</v>
      </c>
      <c r="G106" s="6">
        <f t="shared" si="9"/>
        <v>72482650.307355285</v>
      </c>
      <c r="H106" s="6">
        <f t="shared" si="9"/>
        <v>45039365.907474518</v>
      </c>
      <c r="I106" s="6">
        <f t="shared" si="9"/>
        <v>8130219.9294237867</v>
      </c>
      <c r="J106" s="6">
        <f t="shared" si="9"/>
        <v>28896294.712154508</v>
      </c>
      <c r="K106" s="6">
        <f t="shared" si="9"/>
        <v>3165826.4345428534</v>
      </c>
      <c r="L106" s="6">
        <f t="shared" si="9"/>
        <v>2949617.0546990633</v>
      </c>
      <c r="M106" s="6">
        <f t="shared" si="9"/>
        <v>3563949.7588533387</v>
      </c>
      <c r="N106" s="6">
        <f>SUM(D106:M106)</f>
        <v>185565876.46276912</v>
      </c>
    </row>
    <row r="107" spans="1:14">
      <c r="C107" s="246" t="s">
        <v>769</v>
      </c>
    </row>
    <row r="108" spans="1:14" ht="13">
      <c r="C108" s="12"/>
      <c r="D108" s="48">
        <v>350.1</v>
      </c>
      <c r="E108" s="48">
        <v>350.2</v>
      </c>
      <c r="F108" s="48">
        <v>352</v>
      </c>
      <c r="G108" s="48">
        <v>353</v>
      </c>
      <c r="H108" s="48">
        <v>354</v>
      </c>
      <c r="I108" s="48">
        <v>355</v>
      </c>
      <c r="J108" s="48">
        <v>356</v>
      </c>
      <c r="K108" s="48">
        <v>357</v>
      </c>
      <c r="L108" s="48">
        <v>358</v>
      </c>
      <c r="M108" s="48">
        <v>359</v>
      </c>
      <c r="N108" s="3" t="s">
        <v>249</v>
      </c>
    </row>
    <row r="109" spans="1:14" ht="13">
      <c r="A109" s="2">
        <f>A106+1</f>
        <v>53</v>
      </c>
      <c r="C109" s="12"/>
      <c r="D109" s="6">
        <f t="shared" ref="D109:M109" si="10">D82</f>
        <v>0</v>
      </c>
      <c r="E109" s="6">
        <f t="shared" si="10"/>
        <v>3091231.4618848478</v>
      </c>
      <c r="F109" s="6">
        <f t="shared" si="10"/>
        <v>22620260.395678014</v>
      </c>
      <c r="G109" s="6">
        <f t="shared" si="10"/>
        <v>105603294.93458149</v>
      </c>
      <c r="H109" s="6">
        <f t="shared" si="10"/>
        <v>60446989.0658364</v>
      </c>
      <c r="I109" s="6">
        <f t="shared" si="10"/>
        <v>21282489.21066124</v>
      </c>
      <c r="J109" s="6">
        <f t="shared" si="10"/>
        <v>50975786.04775051</v>
      </c>
      <c r="K109" s="6">
        <f t="shared" si="10"/>
        <v>3552591.3775220271</v>
      </c>
      <c r="L109" s="6">
        <f t="shared" si="10"/>
        <v>2273737.1924609994</v>
      </c>
      <c r="M109" s="6">
        <f t="shared" si="10"/>
        <v>3518323.829838458</v>
      </c>
      <c r="N109" s="6">
        <f>SUM(D109:M109)</f>
        <v>273364703.51621395</v>
      </c>
    </row>
    <row r="110" spans="1:14">
      <c r="C110" s="246" t="s">
        <v>770</v>
      </c>
    </row>
    <row r="111" spans="1:14" ht="13">
      <c r="D111" s="48">
        <v>350.1</v>
      </c>
      <c r="E111" s="48">
        <v>350.2</v>
      </c>
      <c r="F111" s="48">
        <v>352</v>
      </c>
      <c r="G111" s="48">
        <v>353</v>
      </c>
      <c r="H111" s="48">
        <v>354</v>
      </c>
      <c r="I111" s="48">
        <v>355</v>
      </c>
      <c r="J111" s="48">
        <v>356</v>
      </c>
      <c r="K111" s="48">
        <v>357</v>
      </c>
      <c r="L111" s="48">
        <v>358</v>
      </c>
      <c r="M111" s="48">
        <v>359</v>
      </c>
      <c r="N111" s="3" t="s">
        <v>249</v>
      </c>
    </row>
    <row r="112" spans="1:14" ht="13">
      <c r="A112" s="2">
        <f>A109+1</f>
        <v>54</v>
      </c>
      <c r="D112" s="6">
        <f t="shared" ref="D112:M112" si="11">D106-D109</f>
        <v>0</v>
      </c>
      <c r="E112" s="6">
        <f t="shared" si="11"/>
        <v>-276134.55613974761</v>
      </c>
      <c r="F112" s="6">
        <f t="shared" si="11"/>
        <v>-4097404.9431573451</v>
      </c>
      <c r="G112" s="6">
        <f t="shared" si="11"/>
        <v>-33120644.627226204</v>
      </c>
      <c r="H112" s="6">
        <f t="shared" si="11"/>
        <v>-15407623.158361882</v>
      </c>
      <c r="I112" s="6">
        <f t="shared" si="11"/>
        <v>-13152269.281237453</v>
      </c>
      <c r="J112" s="6">
        <f t="shared" si="11"/>
        <v>-22079491.335596003</v>
      </c>
      <c r="K112" s="6">
        <f t="shared" si="11"/>
        <v>-386764.94297917373</v>
      </c>
      <c r="L112" s="6">
        <f t="shared" si="11"/>
        <v>675879.86223806394</v>
      </c>
      <c r="M112" s="6">
        <f t="shared" si="11"/>
        <v>45625.929014880676</v>
      </c>
      <c r="N112" s="6">
        <f>SUM(D112:M112)</f>
        <v>-87798827.053444862</v>
      </c>
    </row>
    <row r="114" spans="1:14" ht="13">
      <c r="C114" s="1" t="s">
        <v>771</v>
      </c>
      <c r="D114" s="247"/>
      <c r="E114" s="247"/>
      <c r="F114" s="247"/>
      <c r="G114" s="247"/>
      <c r="H114" s="247"/>
      <c r="I114" s="247"/>
      <c r="J114" s="247"/>
      <c r="K114" s="247"/>
      <c r="L114" s="247"/>
    </row>
    <row r="115" spans="1:14">
      <c r="C115" s="247"/>
      <c r="D115" s="247"/>
      <c r="E115" s="247"/>
      <c r="F115" s="247"/>
      <c r="G115" s="247"/>
      <c r="H115" s="247"/>
      <c r="I115" s="247"/>
      <c r="J115" s="247"/>
      <c r="K115" s="247"/>
      <c r="L115" s="247"/>
    </row>
    <row r="116" spans="1:14" ht="13">
      <c r="C116" s="48" t="s">
        <v>336</v>
      </c>
      <c r="D116" s="48" t="s">
        <v>337</v>
      </c>
      <c r="E116" s="48" t="s">
        <v>338</v>
      </c>
      <c r="F116" s="48" t="s">
        <v>339</v>
      </c>
      <c r="G116" s="48" t="s">
        <v>340</v>
      </c>
      <c r="H116" s="48" t="s">
        <v>341</v>
      </c>
      <c r="I116" s="48" t="s">
        <v>342</v>
      </c>
      <c r="J116" s="48" t="s">
        <v>343</v>
      </c>
      <c r="K116" s="48" t="s">
        <v>344</v>
      </c>
      <c r="L116" s="48" t="s">
        <v>589</v>
      </c>
      <c r="M116" s="48" t="s">
        <v>590</v>
      </c>
      <c r="N116" s="48" t="s">
        <v>591</v>
      </c>
    </row>
    <row r="117" spans="1:14">
      <c r="C117" s="129"/>
      <c r="D117" s="116"/>
      <c r="E117" s="116"/>
      <c r="F117" s="116"/>
      <c r="G117" s="116"/>
      <c r="H117" s="116"/>
      <c r="I117" s="116"/>
      <c r="J117" s="116"/>
      <c r="K117" s="116"/>
      <c r="L117" s="116"/>
      <c r="N117" s="129" t="s">
        <v>642</v>
      </c>
    </row>
    <row r="118" spans="1:14" ht="13">
      <c r="C118" s="3" t="s">
        <v>643</v>
      </c>
      <c r="D118" s="48">
        <v>350.1</v>
      </c>
      <c r="E118" s="48">
        <v>350.2</v>
      </c>
      <c r="F118" s="48">
        <v>352</v>
      </c>
      <c r="G118" s="48">
        <v>353</v>
      </c>
      <c r="H118" s="48">
        <v>354</v>
      </c>
      <c r="I118" s="48">
        <v>355</v>
      </c>
      <c r="J118" s="48">
        <v>356</v>
      </c>
      <c r="K118" s="48">
        <v>357</v>
      </c>
      <c r="L118" s="48">
        <v>358</v>
      </c>
      <c r="M118" s="48">
        <v>359</v>
      </c>
      <c r="N118" s="3" t="s">
        <v>249</v>
      </c>
    </row>
    <row r="119" spans="1:14" ht="13">
      <c r="A119" s="2">
        <f>A112+1</f>
        <v>55</v>
      </c>
      <c r="C119" s="403" t="s">
        <v>2994</v>
      </c>
      <c r="D119" s="118">
        <f>D$112*D89</f>
        <v>0</v>
      </c>
      <c r="E119" s="118">
        <f t="shared" ref="E119:M119" si="12">E$112*E89</f>
        <v>396.00676088769427</v>
      </c>
      <c r="F119" s="118">
        <f t="shared" si="12"/>
        <v>-541487.57976767456</v>
      </c>
      <c r="G119" s="118">
        <f t="shared" si="12"/>
        <v>-1269221.4923121268</v>
      </c>
      <c r="H119" s="118">
        <f t="shared" si="12"/>
        <v>-510202.34407852701</v>
      </c>
      <c r="I119" s="118">
        <f t="shared" si="12"/>
        <v>-678934.75999342313</v>
      </c>
      <c r="J119" s="118">
        <f t="shared" si="12"/>
        <v>-4892768.3239990566</v>
      </c>
      <c r="K119" s="118">
        <f t="shared" si="12"/>
        <v>0</v>
      </c>
      <c r="L119" s="118">
        <f t="shared" si="12"/>
        <v>13487.297710952458</v>
      </c>
      <c r="M119" s="118">
        <f t="shared" si="12"/>
        <v>3357.1137859284067</v>
      </c>
      <c r="N119" s="118">
        <f>SUM(D119:M119)</f>
        <v>-7875374.0818930399</v>
      </c>
    </row>
    <row r="120" spans="1:14" ht="13">
      <c r="A120" s="2">
        <f t="shared" ref="A120:A131" si="13">A119+1</f>
        <v>56</v>
      </c>
      <c r="C120" s="403" t="s">
        <v>2995</v>
      </c>
      <c r="D120" s="118">
        <f t="shared" ref="D120:M130" si="14">D$112*D90</f>
        <v>0</v>
      </c>
      <c r="E120" s="118">
        <f t="shared" si="14"/>
        <v>-268.74117279479071</v>
      </c>
      <c r="F120" s="118">
        <f t="shared" si="14"/>
        <v>-1029845.4635571708</v>
      </c>
      <c r="G120" s="118">
        <f t="shared" si="14"/>
        <v>-380820.14987031178</v>
      </c>
      <c r="H120" s="118">
        <f t="shared" si="14"/>
        <v>-4964282.1807457367</v>
      </c>
      <c r="I120" s="118">
        <f t="shared" si="14"/>
        <v>-122290.26779490104</v>
      </c>
      <c r="J120" s="118">
        <f t="shared" si="14"/>
        <v>-5332061.0743246023</v>
      </c>
      <c r="K120" s="118">
        <f t="shared" si="14"/>
        <v>-1762.1952370118684</v>
      </c>
      <c r="L120" s="118">
        <f t="shared" si="14"/>
        <v>48213.679747530274</v>
      </c>
      <c r="M120" s="118">
        <f t="shared" si="14"/>
        <v>29795.684362063668</v>
      </c>
      <c r="N120" s="118">
        <f t="shared" ref="N120:N130" si="15">SUM(D120:M120)</f>
        <v>-11753320.708592936</v>
      </c>
    </row>
    <row r="121" spans="1:14" ht="13">
      <c r="A121" s="2">
        <f t="shared" si="13"/>
        <v>57</v>
      </c>
      <c r="C121" s="403" t="s">
        <v>2996</v>
      </c>
      <c r="D121" s="118">
        <f t="shared" si="14"/>
        <v>0</v>
      </c>
      <c r="E121" s="118">
        <f t="shared" si="14"/>
        <v>-3995.636094461725</v>
      </c>
      <c r="F121" s="118">
        <f t="shared" si="14"/>
        <v>-848832.93126084388</v>
      </c>
      <c r="G121" s="118">
        <f t="shared" si="14"/>
        <v>-3936301.9967925968</v>
      </c>
      <c r="H121" s="118">
        <f t="shared" si="14"/>
        <v>29440.622773279694</v>
      </c>
      <c r="I121" s="118">
        <f t="shared" si="14"/>
        <v>-453737.05934271571</v>
      </c>
      <c r="J121" s="118">
        <f t="shared" si="14"/>
        <v>-261112.05223869192</v>
      </c>
      <c r="K121" s="118">
        <f t="shared" si="14"/>
        <v>-4.6107795758221366</v>
      </c>
      <c r="L121" s="118">
        <f t="shared" si="14"/>
        <v>1675.4736950883575</v>
      </c>
      <c r="M121" s="118">
        <f t="shared" si="14"/>
        <v>159.50761684633881</v>
      </c>
      <c r="N121" s="118">
        <f t="shared" si="15"/>
        <v>-5472708.6824236726</v>
      </c>
    </row>
    <row r="122" spans="1:14" ht="13">
      <c r="A122" s="2">
        <f t="shared" si="13"/>
        <v>58</v>
      </c>
      <c r="C122" s="403" t="s">
        <v>2997</v>
      </c>
      <c r="D122" s="118">
        <f t="shared" si="14"/>
        <v>0</v>
      </c>
      <c r="E122" s="118">
        <f t="shared" si="14"/>
        <v>-35.910639006026138</v>
      </c>
      <c r="F122" s="118">
        <f t="shared" si="14"/>
        <v>-217865.86881478425</v>
      </c>
      <c r="G122" s="118">
        <f t="shared" si="14"/>
        <v>-3559945.786628149</v>
      </c>
      <c r="H122" s="118">
        <f t="shared" si="14"/>
        <v>-1286967.3473929386</v>
      </c>
      <c r="I122" s="118">
        <f t="shared" si="14"/>
        <v>-400033.76504296082</v>
      </c>
      <c r="J122" s="118">
        <f t="shared" si="14"/>
        <v>-1545262.0930232368</v>
      </c>
      <c r="K122" s="118">
        <f t="shared" si="14"/>
        <v>0</v>
      </c>
      <c r="L122" s="118">
        <f t="shared" si="14"/>
        <v>43773.314281944207</v>
      </c>
      <c r="M122" s="118">
        <f t="shared" si="14"/>
        <v>5238.0018494406777</v>
      </c>
      <c r="N122" s="118">
        <f t="shared" si="15"/>
        <v>-6961099.4554096907</v>
      </c>
    </row>
    <row r="123" spans="1:14" ht="13">
      <c r="A123" s="2">
        <f t="shared" si="13"/>
        <v>59</v>
      </c>
      <c r="C123" s="403" t="s">
        <v>2998</v>
      </c>
      <c r="D123" s="118">
        <f t="shared" si="14"/>
        <v>0</v>
      </c>
      <c r="E123" s="118">
        <f t="shared" si="14"/>
        <v>-2551.2501523371538</v>
      </c>
      <c r="F123" s="118">
        <f t="shared" si="14"/>
        <v>-764555.60829587723</v>
      </c>
      <c r="G123" s="118">
        <f t="shared" si="14"/>
        <v>-5192218.6624218496</v>
      </c>
      <c r="H123" s="118">
        <f t="shared" si="14"/>
        <v>-2592990.3201970477</v>
      </c>
      <c r="I123" s="118">
        <f t="shared" si="14"/>
        <v>-976751.50294290017</v>
      </c>
      <c r="J123" s="118">
        <f t="shared" si="14"/>
        <v>-9784411.3834479824</v>
      </c>
      <c r="K123" s="118">
        <f t="shared" si="14"/>
        <v>-189965.31644293989</v>
      </c>
      <c r="L123" s="118">
        <f t="shared" si="14"/>
        <v>3468.872855948146</v>
      </c>
      <c r="M123" s="118">
        <f t="shared" si="14"/>
        <v>5163.6246816028952</v>
      </c>
      <c r="N123" s="118">
        <f t="shared" si="15"/>
        <v>-19494811.546363384</v>
      </c>
    </row>
    <row r="124" spans="1:14" ht="13">
      <c r="A124" s="2">
        <f t="shared" si="13"/>
        <v>60</v>
      </c>
      <c r="C124" s="403" t="s">
        <v>2999</v>
      </c>
      <c r="D124" s="118">
        <f t="shared" si="14"/>
        <v>0</v>
      </c>
      <c r="E124" s="118">
        <f t="shared" si="14"/>
        <v>-2629.7076592218677</v>
      </c>
      <c r="F124" s="118">
        <f t="shared" si="14"/>
        <v>-221175.17668452207</v>
      </c>
      <c r="G124" s="118">
        <f t="shared" si="14"/>
        <v>-8558544.1180421691</v>
      </c>
      <c r="H124" s="118">
        <f t="shared" si="14"/>
        <v>-392291.52645110205</v>
      </c>
      <c r="I124" s="118">
        <f t="shared" si="14"/>
        <v>-410478.34486294555</v>
      </c>
      <c r="J124" s="118">
        <f t="shared" si="14"/>
        <v>136816.38295105816</v>
      </c>
      <c r="K124" s="118">
        <f t="shared" si="14"/>
        <v>3769.4831485044733</v>
      </c>
      <c r="L124" s="118">
        <f t="shared" si="14"/>
        <v>1965.6938454022754</v>
      </c>
      <c r="M124" s="118">
        <f t="shared" si="14"/>
        <v>121.60560731296772</v>
      </c>
      <c r="N124" s="118">
        <f t="shared" si="15"/>
        <v>-9442445.7081476822</v>
      </c>
    </row>
    <row r="125" spans="1:14" ht="13">
      <c r="A125" s="2">
        <f t="shared" si="13"/>
        <v>61</v>
      </c>
      <c r="C125" s="403" t="s">
        <v>3000</v>
      </c>
      <c r="D125" s="118">
        <f t="shared" si="14"/>
        <v>0</v>
      </c>
      <c r="E125" s="118">
        <f t="shared" si="14"/>
        <v>-15007.797761075655</v>
      </c>
      <c r="F125" s="118">
        <f t="shared" si="14"/>
        <v>-13017.217434691212</v>
      </c>
      <c r="G125" s="118">
        <f t="shared" si="14"/>
        <v>-3323825.6871581618</v>
      </c>
      <c r="H125" s="118">
        <f t="shared" si="14"/>
        <v>6362.4087605223967</v>
      </c>
      <c r="I125" s="118">
        <f t="shared" si="14"/>
        <v>-6525822.7582635796</v>
      </c>
      <c r="J125" s="118">
        <f t="shared" si="14"/>
        <v>-4511049.8590996936</v>
      </c>
      <c r="K125" s="118">
        <f t="shared" si="14"/>
        <v>-752.67496294833586</v>
      </c>
      <c r="L125" s="118">
        <f t="shared" si="14"/>
        <v>474743.36897934502</v>
      </c>
      <c r="M125" s="118">
        <f t="shared" si="14"/>
        <v>1359.3680565874379</v>
      </c>
      <c r="N125" s="118">
        <f t="shared" si="15"/>
        <v>-13907010.848883696</v>
      </c>
    </row>
    <row r="126" spans="1:14" ht="13">
      <c r="A126" s="2">
        <f t="shared" si="13"/>
        <v>62</v>
      </c>
      <c r="C126" s="403" t="s">
        <v>3001</v>
      </c>
      <c r="D126" s="118">
        <f t="shared" si="14"/>
        <v>0</v>
      </c>
      <c r="E126" s="118">
        <f t="shared" si="14"/>
        <v>-177534.88452761943</v>
      </c>
      <c r="F126" s="118">
        <f t="shared" si="14"/>
        <v>871552.76948642347</v>
      </c>
      <c r="G126" s="118">
        <f t="shared" si="14"/>
        <v>450415.08743485477</v>
      </c>
      <c r="H126" s="118">
        <f t="shared" si="14"/>
        <v>-2400528.2981464132</v>
      </c>
      <c r="I126" s="118">
        <f t="shared" si="14"/>
        <v>-674434.49642460188</v>
      </c>
      <c r="J126" s="118">
        <f t="shared" si="14"/>
        <v>1331965.924894718</v>
      </c>
      <c r="K126" s="118">
        <f t="shared" si="14"/>
        <v>3205.0823878571005</v>
      </c>
      <c r="L126" s="118">
        <f t="shared" si="14"/>
        <v>3976.3300629020191</v>
      </c>
      <c r="M126" s="118">
        <f t="shared" si="14"/>
        <v>186.88326308935277</v>
      </c>
      <c r="N126" s="118">
        <f t="shared" si="15"/>
        <v>-591195.6015687898</v>
      </c>
    </row>
    <row r="127" spans="1:14" ht="13">
      <c r="A127" s="2">
        <f t="shared" si="13"/>
        <v>63</v>
      </c>
      <c r="C127" s="403" t="s">
        <v>3002</v>
      </c>
      <c r="D127" s="118">
        <f t="shared" si="14"/>
        <v>0</v>
      </c>
      <c r="E127" s="118">
        <f t="shared" si="14"/>
        <v>-48887.265535990351</v>
      </c>
      <c r="F127" s="118">
        <f t="shared" si="14"/>
        <v>-352680.14520137309</v>
      </c>
      <c r="G127" s="118">
        <f t="shared" si="14"/>
        <v>-1881688.2710286272</v>
      </c>
      <c r="H127" s="118">
        <f t="shared" si="14"/>
        <v>-1823681.7865530374</v>
      </c>
      <c r="I127" s="118">
        <f t="shared" si="14"/>
        <v>-777490.98683618696</v>
      </c>
      <c r="J127" s="118">
        <f t="shared" si="14"/>
        <v>2922785.6646620752</v>
      </c>
      <c r="K127" s="118">
        <f t="shared" si="14"/>
        <v>-15.199120574221734</v>
      </c>
      <c r="L127" s="118">
        <f t="shared" si="14"/>
        <v>-1301.4251080824963</v>
      </c>
      <c r="M127" s="118">
        <f t="shared" si="14"/>
        <v>115.04810078581298</v>
      </c>
      <c r="N127" s="118">
        <f t="shared" si="15"/>
        <v>-1962844.3666210109</v>
      </c>
    </row>
    <row r="128" spans="1:14" ht="13">
      <c r="A128" s="2">
        <f t="shared" si="13"/>
        <v>64</v>
      </c>
      <c r="C128" s="403" t="s">
        <v>3003</v>
      </c>
      <c r="D128" s="118">
        <f t="shared" si="14"/>
        <v>0</v>
      </c>
      <c r="E128" s="118">
        <f t="shared" si="14"/>
        <v>-15413.473737447232</v>
      </c>
      <c r="F128" s="118">
        <f t="shared" si="14"/>
        <v>-437211.70838164579</v>
      </c>
      <c r="G128" s="118">
        <f t="shared" si="14"/>
        <v>-517703.89279310382</v>
      </c>
      <c r="H128" s="118">
        <f t="shared" si="14"/>
        <v>-1176690.5314163237</v>
      </c>
      <c r="I128" s="118">
        <f t="shared" si="14"/>
        <v>-821528.16760832514</v>
      </c>
      <c r="J128" s="118">
        <f t="shared" si="14"/>
        <v>728406.03439614922</v>
      </c>
      <c r="K128" s="118">
        <f t="shared" si="14"/>
        <v>-261210.55931254057</v>
      </c>
      <c r="L128" s="118">
        <f t="shared" si="14"/>
        <v>54633.750401344594</v>
      </c>
      <c r="M128" s="118">
        <f t="shared" si="14"/>
        <v>-16.678464215263801</v>
      </c>
      <c r="N128" s="118">
        <f t="shared" si="15"/>
        <v>-2446735.2269161073</v>
      </c>
    </row>
    <row r="129" spans="1:14" ht="13">
      <c r="A129" s="2">
        <f t="shared" si="13"/>
        <v>65</v>
      </c>
      <c r="C129" s="403" t="s">
        <v>3004</v>
      </c>
      <c r="D129" s="118">
        <f t="shared" si="14"/>
        <v>0</v>
      </c>
      <c r="E129" s="118">
        <f t="shared" si="14"/>
        <v>-9992.1019589941752</v>
      </c>
      <c r="F129" s="118">
        <f t="shared" si="14"/>
        <v>-116362.96467452971</v>
      </c>
      <c r="G129" s="118">
        <f t="shared" si="14"/>
        <v>-838697.37155489542</v>
      </c>
      <c r="H129" s="118">
        <f t="shared" si="14"/>
        <v>-361520.23969876469</v>
      </c>
      <c r="I129" s="118">
        <f t="shared" si="14"/>
        <v>-592710.98248857423</v>
      </c>
      <c r="J129" s="118">
        <f t="shared" si="14"/>
        <v>-351572.96346171648</v>
      </c>
      <c r="K129" s="118">
        <f t="shared" si="14"/>
        <v>-355.82731652890186</v>
      </c>
      <c r="L129" s="118">
        <f t="shared" si="14"/>
        <v>889.43268529660202</v>
      </c>
      <c r="M129" s="118">
        <f t="shared" si="14"/>
        <v>24.600944826642348</v>
      </c>
      <c r="N129" s="118">
        <f t="shared" si="15"/>
        <v>-2270298.4175238805</v>
      </c>
    </row>
    <row r="130" spans="1:14" ht="13">
      <c r="A130" s="2">
        <f t="shared" si="13"/>
        <v>66</v>
      </c>
      <c r="C130" s="403" t="s">
        <v>3005</v>
      </c>
      <c r="D130" s="189">
        <f t="shared" si="14"/>
        <v>0</v>
      </c>
      <c r="E130" s="189">
        <f t="shared" si="14"/>
        <v>-213.79366168691016</v>
      </c>
      <c r="F130" s="189">
        <f t="shared" si="14"/>
        <v>-425923.04857065598</v>
      </c>
      <c r="G130" s="189">
        <f t="shared" si="14"/>
        <v>-4112092.2860590662</v>
      </c>
      <c r="H130" s="189">
        <f t="shared" si="14"/>
        <v>65728.384784207432</v>
      </c>
      <c r="I130" s="189">
        <f t="shared" si="14"/>
        <v>-718056.18963633943</v>
      </c>
      <c r="J130" s="189">
        <f t="shared" si="14"/>
        <v>-521227.59290502284</v>
      </c>
      <c r="K130" s="189">
        <f t="shared" si="14"/>
        <v>60326.874656584296</v>
      </c>
      <c r="L130" s="189">
        <f t="shared" si="14"/>
        <v>30354.073080392478</v>
      </c>
      <c r="M130" s="189">
        <f t="shared" si="14"/>
        <v>121.16921061174044</v>
      </c>
      <c r="N130" s="189">
        <f t="shared" si="15"/>
        <v>-5620982.4091009758</v>
      </c>
    </row>
    <row r="131" spans="1:14" ht="13">
      <c r="A131" s="2">
        <f t="shared" si="13"/>
        <v>67</v>
      </c>
      <c r="C131" s="583" t="s">
        <v>409</v>
      </c>
      <c r="D131" s="118">
        <f>SUM(D119:D130)</f>
        <v>0</v>
      </c>
      <c r="E131" s="118">
        <f t="shared" ref="E131:M131" si="16">SUM(E119:E130)</f>
        <v>-276134.55613974761</v>
      </c>
      <c r="F131" s="118">
        <f t="shared" si="16"/>
        <v>-4097404.9431573441</v>
      </c>
      <c r="G131" s="118">
        <f t="shared" si="16"/>
        <v>-33120644.627226204</v>
      </c>
      <c r="H131" s="118">
        <f t="shared" si="16"/>
        <v>-15407623.158361882</v>
      </c>
      <c r="I131" s="118">
        <f t="shared" si="16"/>
        <v>-13152269.281237453</v>
      </c>
      <c r="J131" s="118">
        <f t="shared" si="16"/>
        <v>-22079491.335596003</v>
      </c>
      <c r="K131" s="118">
        <f t="shared" si="16"/>
        <v>-386764.94297917368</v>
      </c>
      <c r="L131" s="118">
        <f t="shared" si="16"/>
        <v>675879.86223806406</v>
      </c>
      <c r="M131" s="118">
        <f t="shared" si="16"/>
        <v>45625.929014880676</v>
      </c>
      <c r="N131" s="118">
        <f>SUM(N119:N130)</f>
        <v>-87798827.053444877</v>
      </c>
    </row>
    <row r="133" spans="1:14" ht="13">
      <c r="B133" s="209" t="s">
        <v>228</v>
      </c>
    </row>
    <row r="134" spans="1:14">
      <c r="B134" s="501" t="s">
        <v>772</v>
      </c>
    </row>
    <row r="135" spans="1:14">
      <c r="B135" s="600" t="s">
        <v>773</v>
      </c>
    </row>
    <row r="136" spans="1:14">
      <c r="B136" s="319" t="s">
        <v>774</v>
      </c>
      <c r="C136" s="319"/>
      <c r="D136" s="319"/>
      <c r="E136" s="319"/>
      <c r="F136" s="319"/>
      <c r="G136" s="319"/>
      <c r="H136" s="319"/>
      <c r="I136" s="319"/>
      <c r="L136" s="319"/>
      <c r="M136" s="319"/>
    </row>
    <row r="137" spans="1:14">
      <c r="B137" s="320" t="s">
        <v>775</v>
      </c>
      <c r="C137" s="319"/>
      <c r="D137" s="319"/>
      <c r="E137" s="319"/>
      <c r="F137" s="319"/>
      <c r="G137" s="319"/>
      <c r="H137" s="319"/>
      <c r="I137" s="319"/>
      <c r="J137" s="319"/>
      <c r="K137" s="319"/>
      <c r="L137" s="319"/>
      <c r="M137" s="319"/>
    </row>
    <row r="138" spans="1:14">
      <c r="B138" s="320" t="s">
        <v>776</v>
      </c>
      <c r="C138" s="319"/>
      <c r="D138" s="319"/>
      <c r="E138" s="319"/>
      <c r="F138" s="319"/>
      <c r="G138" s="319"/>
      <c r="H138" s="319"/>
      <c r="I138" s="319"/>
      <c r="J138" s="319"/>
      <c r="K138" s="319"/>
      <c r="L138" s="319"/>
      <c r="M138" s="319"/>
    </row>
    <row r="139" spans="1:14">
      <c r="B139" s="320" t="s">
        <v>777</v>
      </c>
      <c r="C139" s="319"/>
      <c r="D139" s="319"/>
      <c r="E139" s="319"/>
      <c r="F139" s="319"/>
      <c r="G139" s="319"/>
      <c r="H139" s="319"/>
      <c r="I139" s="319"/>
      <c r="J139" s="319"/>
      <c r="K139" s="319"/>
      <c r="L139" s="319"/>
      <c r="M139" s="319"/>
    </row>
    <row r="140" spans="1:14">
      <c r="B140" s="319" t="s">
        <v>778</v>
      </c>
      <c r="C140" s="319"/>
      <c r="D140" s="319"/>
      <c r="E140" s="319"/>
      <c r="F140" s="319"/>
      <c r="G140" s="319"/>
      <c r="H140" s="319"/>
      <c r="I140" s="319"/>
      <c r="J140" s="319"/>
      <c r="K140" s="319"/>
      <c r="L140" s="319"/>
      <c r="M140" s="319"/>
    </row>
    <row r="141" spans="1:14">
      <c r="B141" s="320" t="s">
        <v>779</v>
      </c>
      <c r="C141" s="319"/>
      <c r="D141" s="319"/>
      <c r="E141" s="319"/>
      <c r="F141" s="319"/>
      <c r="G141" s="319"/>
      <c r="H141" s="319"/>
      <c r="I141" s="319"/>
      <c r="J141" s="319"/>
      <c r="K141" s="319"/>
      <c r="L141" s="319"/>
      <c r="M141" s="319"/>
    </row>
    <row r="142" spans="1:14">
      <c r="B142" s="320" t="s">
        <v>780</v>
      </c>
      <c r="C142" s="319"/>
      <c r="D142" s="319"/>
      <c r="E142" s="319"/>
      <c r="F142" s="319"/>
      <c r="G142" s="319"/>
      <c r="H142" s="319"/>
      <c r="I142" s="319"/>
      <c r="J142" s="319"/>
      <c r="K142" s="319"/>
      <c r="L142" s="319"/>
      <c r="M142" s="319"/>
    </row>
    <row r="143" spans="1:14">
      <c r="B143" s="320" t="s">
        <v>781</v>
      </c>
      <c r="C143" s="319"/>
      <c r="D143" s="319"/>
      <c r="E143" s="319"/>
      <c r="F143" s="319"/>
      <c r="G143" s="319"/>
      <c r="H143" s="319"/>
      <c r="I143" s="319"/>
      <c r="J143" s="319"/>
      <c r="K143" s="319"/>
      <c r="L143" s="319"/>
      <c r="M143" s="319"/>
    </row>
    <row r="144" spans="1:14">
      <c r="B144" s="247" t="str">
        <f>"2) Amounts on Line "&amp;A33&amp;" derived from Plant Study for previous year Prior Year."</f>
        <v>2) Amounts on Line 15 derived from Plant Study for previous year Prior Year.</v>
      </c>
    </row>
    <row r="145" spans="2:2">
      <c r="B145" s="246"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47" t="s">
        <v>782</v>
      </c>
    </row>
    <row r="148" spans="2:2">
      <c r="B148" s="247" t="str">
        <f>"5) Line "&amp;A24&amp;" - Line "&amp;A12&amp;"."</f>
        <v>5) Line 13 - Line 1.</v>
      </c>
    </row>
    <row r="149" spans="2:2">
      <c r="B149" t="str">
        <f>"6) Line "&amp;A82&amp;"."</f>
        <v>6) Line 39.</v>
      </c>
    </row>
    <row r="150" spans="2:2">
      <c r="B150" s="247" t="str">
        <f>"7) Line "&amp;A106&amp;" - Line "&amp;A109&amp;"."</f>
        <v>7) Line 52 - Line 53.</v>
      </c>
    </row>
    <row r="151" spans="2:2">
      <c r="B151" s="247" t="s">
        <v>783</v>
      </c>
    </row>
    <row r="152" spans="2:2">
      <c r="B152" s="246" t="s">
        <v>784</v>
      </c>
    </row>
    <row r="153" spans="2:2">
      <c r="B153" s="247"/>
    </row>
    <row r="154" spans="2:2">
      <c r="B154" s="247"/>
    </row>
  </sheetData>
  <phoneticPr fontId="23" type="noConversion"/>
  <pageMargins left="0.75" right="0.75" top="1" bottom="1" header="0.5" footer="0.5"/>
  <pageSetup scale="65" orientation="landscape" cellComments="asDisplayed" r:id="rId1"/>
  <headerFooter alignWithMargins="0">
    <oddHeader>&amp;CSchedule 8
Accumulated Depreciation
&amp;RTO2024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2"/>
  <sheetViews>
    <sheetView zoomScaleNormal="100" zoomScaleSheetLayoutView="70" zoomScalePageLayoutView="80" workbookViewId="0"/>
  </sheetViews>
  <sheetFormatPr defaultRowHeight="13"/>
  <cols>
    <col min="1" max="1" width="5.81640625" customWidth="1"/>
    <col min="2" max="2" width="9.54296875" style="283" customWidth="1"/>
    <col min="3" max="3" width="50.54296875" style="283" customWidth="1"/>
    <col min="4" max="4" width="23.453125" style="283" bestFit="1" customWidth="1"/>
    <col min="5" max="5" width="26.1796875" style="283" customWidth="1"/>
    <col min="6" max="6" width="15.54296875" style="283" customWidth="1"/>
    <col min="7" max="7" width="19.453125" style="283" customWidth="1"/>
    <col min="8" max="9" width="17.453125" style="283" customWidth="1"/>
    <col min="10" max="10" width="29.453125" style="283" customWidth="1"/>
    <col min="11" max="11" width="25.54296875" customWidth="1"/>
  </cols>
  <sheetData>
    <row r="1" spans="1:10">
      <c r="A1" s="1" t="s">
        <v>785</v>
      </c>
      <c r="B1" s="116"/>
      <c r="C1" s="116"/>
      <c r="D1" s="116"/>
      <c r="E1" s="116"/>
      <c r="F1" s="207" t="s">
        <v>96</v>
      </c>
      <c r="G1" s="207"/>
      <c r="H1" s="116"/>
      <c r="I1" s="116"/>
      <c r="J1" s="116"/>
    </row>
    <row r="2" spans="1:10">
      <c r="A2" s="116"/>
      <c r="B2" s="323"/>
      <c r="C2" s="319"/>
      <c r="D2" s="319"/>
      <c r="E2" s="116"/>
      <c r="F2" s="116"/>
      <c r="G2" s="116"/>
      <c r="H2" s="116"/>
      <c r="I2" s="116"/>
      <c r="J2" s="116"/>
    </row>
    <row r="3" spans="1:10">
      <c r="A3" s="116"/>
      <c r="B3" s="323" t="s">
        <v>786</v>
      </c>
      <c r="C3" s="319"/>
      <c r="D3" s="319"/>
      <c r="E3" s="116"/>
      <c r="F3" s="116"/>
      <c r="G3" s="116"/>
      <c r="H3" s="116"/>
      <c r="I3" s="116"/>
      <c r="J3" s="116"/>
    </row>
    <row r="4" spans="1:10">
      <c r="A4" s="116"/>
      <c r="B4" s="323"/>
      <c r="C4" s="319"/>
      <c r="D4" s="319"/>
      <c r="E4" s="116"/>
      <c r="F4" s="116"/>
      <c r="G4" s="116"/>
      <c r="H4" s="116"/>
      <c r="I4" s="116"/>
      <c r="J4" s="116"/>
    </row>
    <row r="5" spans="1:10">
      <c r="A5" s="116"/>
      <c r="B5" s="324" t="s">
        <v>787</v>
      </c>
      <c r="C5" s="319"/>
      <c r="D5" s="319"/>
      <c r="E5" s="116"/>
      <c r="F5" s="116"/>
      <c r="G5" s="116"/>
      <c r="H5" s="116"/>
      <c r="I5" s="116"/>
      <c r="J5" s="116"/>
    </row>
    <row r="6" spans="1:10">
      <c r="A6" s="116"/>
      <c r="B6" s="323"/>
      <c r="C6" s="48" t="s">
        <v>336</v>
      </c>
      <c r="D6" s="48" t="s">
        <v>337</v>
      </c>
      <c r="E6" s="116"/>
      <c r="I6" s="116"/>
      <c r="J6" s="116"/>
    </row>
    <row r="7" spans="1:10">
      <c r="A7" s="116"/>
      <c r="C7" s="319"/>
      <c r="D7" s="116"/>
      <c r="E7" s="116"/>
      <c r="I7" s="116"/>
      <c r="J7" s="116"/>
    </row>
    <row r="8" spans="1:10">
      <c r="A8" s="116"/>
      <c r="B8" s="323"/>
      <c r="C8" s="116"/>
      <c r="D8" s="2" t="s">
        <v>249</v>
      </c>
      <c r="J8" s="116"/>
    </row>
    <row r="9" spans="1:10">
      <c r="A9" s="32" t="s">
        <v>273</v>
      </c>
      <c r="B9" s="323"/>
      <c r="C9" s="209" t="s">
        <v>705</v>
      </c>
      <c r="D9" s="3" t="s">
        <v>788</v>
      </c>
      <c r="E9" s="190" t="s">
        <v>651</v>
      </c>
      <c r="J9" s="116"/>
    </row>
    <row r="10" spans="1:10" ht="14.5">
      <c r="A10" s="197">
        <v>1</v>
      </c>
      <c r="B10" s="323"/>
      <c r="C10" s="247" t="s">
        <v>789</v>
      </c>
      <c r="D10" s="249">
        <f>+D68</f>
        <v>417413304.22040492</v>
      </c>
      <c r="E10" s="246" t="str">
        <f>"Line "&amp;A68&amp;", Col. 2"</f>
        <v>Line 353, Col. 2</v>
      </c>
      <c r="J10" s="116"/>
    </row>
    <row r="11" spans="1:10">
      <c r="A11" s="2">
        <f>A10+1</f>
        <v>2</v>
      </c>
      <c r="B11" s="323"/>
      <c r="C11" s="247" t="s">
        <v>790</v>
      </c>
      <c r="D11" s="249">
        <f>+D87</f>
        <v>-1343542297</v>
      </c>
      <c r="E11" s="246" t="str">
        <f>"Line "&amp;A87&amp;", Col. 2"</f>
        <v>Line 452, Col. 2</v>
      </c>
      <c r="J11"/>
    </row>
    <row r="12" spans="1:10">
      <c r="A12" s="2">
        <f t="shared" ref="A12:A24" si="0">A11+1</f>
        <v>3</v>
      </c>
      <c r="B12" s="323"/>
      <c r="C12" s="247" t="s">
        <v>791</v>
      </c>
      <c r="D12" s="249">
        <f>+D130</f>
        <v>-16578669.854363687</v>
      </c>
      <c r="E12" s="246" t="str">
        <f>"Line "&amp;A130&amp;", Col. 2"</f>
        <v>Line 803, Col. 2</v>
      </c>
      <c r="J12"/>
    </row>
    <row r="13" spans="1:10">
      <c r="A13" s="2">
        <f t="shared" si="0"/>
        <v>4</v>
      </c>
      <c r="B13" s="323"/>
      <c r="C13" s="247" t="s">
        <v>792</v>
      </c>
      <c r="D13" s="989">
        <f>'9-ADIT-2'!M49</f>
        <v>-492356964</v>
      </c>
      <c r="E13" s="246" t="s">
        <v>2896</v>
      </c>
      <c r="F13" s="988"/>
      <c r="J13"/>
    </row>
    <row r="14" spans="1:10">
      <c r="A14" s="2">
        <f t="shared" si="0"/>
        <v>5</v>
      </c>
      <c r="B14" s="323"/>
      <c r="C14" s="247" t="s">
        <v>793</v>
      </c>
      <c r="D14" s="249">
        <f>SUM(D10:D13)</f>
        <v>-1435064626.6339588</v>
      </c>
      <c r="E14" s="293" t="str">
        <f>"Sum of Lines "&amp;A10&amp;" to "&amp;A13&amp;""</f>
        <v>Sum of Lines 1 to 4</v>
      </c>
      <c r="H14" s="698"/>
      <c r="I14" s="698"/>
      <c r="J14"/>
    </row>
    <row r="15" spans="1:10">
      <c r="A15" s="2">
        <f t="shared" si="0"/>
        <v>6</v>
      </c>
      <c r="B15" s="323"/>
      <c r="C15" s="246" t="s">
        <v>794</v>
      </c>
      <c r="D15" s="116"/>
      <c r="E15" s="116"/>
      <c r="G15" s="128"/>
      <c r="H15" s="127"/>
      <c r="I15" s="116"/>
      <c r="J15" s="116"/>
    </row>
    <row r="16" spans="1:10">
      <c r="A16" s="2">
        <f t="shared" si="0"/>
        <v>7</v>
      </c>
      <c r="B16" s="324" t="s">
        <v>795</v>
      </c>
      <c r="E16" s="116"/>
      <c r="G16" s="284"/>
      <c r="H16" s="285"/>
      <c r="I16" s="284"/>
      <c r="J16" s="116"/>
    </row>
    <row r="17" spans="1:10">
      <c r="A17" s="2">
        <f t="shared" si="0"/>
        <v>8</v>
      </c>
      <c r="B17" s="324"/>
      <c r="D17" s="2" t="s">
        <v>796</v>
      </c>
      <c r="E17" s="116"/>
      <c r="G17" s="284"/>
      <c r="H17" s="285"/>
      <c r="I17" s="284"/>
      <c r="J17" s="116"/>
    </row>
    <row r="18" spans="1:10">
      <c r="A18" s="2">
        <f t="shared" si="0"/>
        <v>9</v>
      </c>
      <c r="B18" s="323"/>
      <c r="D18" s="3" t="s">
        <v>788</v>
      </c>
      <c r="E18" s="190" t="s">
        <v>651</v>
      </c>
      <c r="G18" s="286"/>
      <c r="H18" s="284"/>
      <c r="I18" s="284"/>
      <c r="J18" s="116"/>
    </row>
    <row r="19" spans="1:10">
      <c r="A19" s="2">
        <f t="shared" si="0"/>
        <v>10</v>
      </c>
      <c r="B19" s="323"/>
      <c r="C19" s="247" t="s">
        <v>793</v>
      </c>
      <c r="D19" s="267">
        <v>-1448070322</v>
      </c>
      <c r="E19" s="246" t="str">
        <f>"Previous Year Informational Filing, Line "&amp;A14&amp;", Col. 2"</f>
        <v>Previous Year Informational Filing, Line 5, Col. 2</v>
      </c>
      <c r="G19" s="634"/>
      <c r="H19" s="284"/>
      <c r="I19" s="284"/>
    </row>
    <row r="20" spans="1:10">
      <c r="A20" s="2">
        <f t="shared" si="0"/>
        <v>11</v>
      </c>
      <c r="B20" s="323"/>
      <c r="D20" s="116"/>
      <c r="E20" s="116"/>
      <c r="F20" s="284"/>
      <c r="G20" s="284"/>
      <c r="H20" s="284"/>
      <c r="I20" s="284"/>
      <c r="J20" s="116"/>
    </row>
    <row r="21" spans="1:10">
      <c r="A21" s="2">
        <f t="shared" si="0"/>
        <v>12</v>
      </c>
      <c r="B21" s="324" t="s">
        <v>797</v>
      </c>
      <c r="D21" s="116"/>
      <c r="E21" s="116"/>
      <c r="F21" s="284"/>
      <c r="G21" s="284"/>
      <c r="H21" s="284"/>
      <c r="I21" s="284"/>
      <c r="J21" s="116"/>
    </row>
    <row r="22" spans="1:10">
      <c r="A22" s="2">
        <f t="shared" si="0"/>
        <v>13</v>
      </c>
      <c r="B22" s="319"/>
      <c r="C22" s="325"/>
      <c r="D22" s="326" t="s">
        <v>798</v>
      </c>
      <c r="E22" s="116"/>
      <c r="F22" s="116"/>
      <c r="G22" s="116"/>
      <c r="H22" s="116"/>
      <c r="I22" s="116"/>
      <c r="J22" s="116"/>
    </row>
    <row r="23" spans="1:10">
      <c r="A23" s="2">
        <f t="shared" si="0"/>
        <v>14</v>
      </c>
      <c r="B23" s="319"/>
      <c r="D23" s="3" t="s">
        <v>22</v>
      </c>
      <c r="E23" s="190" t="s">
        <v>651</v>
      </c>
      <c r="F23" s="116"/>
      <c r="G23" s="286"/>
      <c r="H23" s="116"/>
      <c r="I23" s="116"/>
      <c r="J23" s="116"/>
    </row>
    <row r="24" spans="1:10">
      <c r="A24" s="2">
        <f t="shared" si="0"/>
        <v>15</v>
      </c>
      <c r="B24" s="319"/>
      <c r="C24" s="327" t="s">
        <v>799</v>
      </c>
      <c r="D24" s="360">
        <f>(D14+D19)/2</f>
        <v>-1441567474.3169794</v>
      </c>
      <c r="E24" s="127" t="s">
        <v>800</v>
      </c>
      <c r="F24" s="116"/>
      <c r="G24" s="284"/>
      <c r="H24" s="116"/>
      <c r="I24" s="116"/>
      <c r="J24" s="116"/>
    </row>
    <row r="25" spans="1:10">
      <c r="A25" s="2"/>
      <c r="B25" s="319"/>
      <c r="C25" s="325"/>
      <c r="D25" s="328"/>
      <c r="E25" s="116"/>
      <c r="F25" s="116"/>
      <c r="G25" s="116"/>
      <c r="H25" s="116"/>
      <c r="I25" s="116"/>
      <c r="J25" s="116"/>
    </row>
    <row r="26" spans="1:10">
      <c r="A26" s="2"/>
      <c r="B26" s="323" t="s">
        <v>801</v>
      </c>
      <c r="C26" s="325"/>
      <c r="D26" s="328"/>
      <c r="E26" s="116"/>
      <c r="F26" s="116"/>
      <c r="G26" s="116"/>
      <c r="H26" s="116"/>
      <c r="I26" s="116"/>
      <c r="J26" s="116"/>
    </row>
    <row r="27" spans="1:10">
      <c r="A27" s="2"/>
      <c r="B27" s="323"/>
      <c r="C27" s="48" t="s">
        <v>336</v>
      </c>
      <c r="D27" s="48" t="s">
        <v>337</v>
      </c>
      <c r="E27" s="48" t="s">
        <v>338</v>
      </c>
      <c r="F27" s="48" t="s">
        <v>339</v>
      </c>
      <c r="G27" s="48" t="s">
        <v>340</v>
      </c>
      <c r="H27" s="48" t="s">
        <v>341</v>
      </c>
      <c r="I27" s="48" t="s">
        <v>342</v>
      </c>
      <c r="J27" s="116"/>
    </row>
    <row r="28" spans="1:10">
      <c r="A28" s="247"/>
      <c r="B28" s="326"/>
      <c r="C28" s="326"/>
      <c r="D28" s="326" t="s">
        <v>802</v>
      </c>
      <c r="E28" s="326" t="s">
        <v>803</v>
      </c>
      <c r="F28" s="326"/>
      <c r="G28" s="326"/>
      <c r="H28" s="326" t="s">
        <v>804</v>
      </c>
      <c r="I28" s="504" t="s">
        <v>805</v>
      </c>
      <c r="J28" s="116"/>
    </row>
    <row r="29" spans="1:10">
      <c r="A29" s="247"/>
      <c r="B29" s="329" t="s">
        <v>806</v>
      </c>
      <c r="C29" s="329" t="s">
        <v>807</v>
      </c>
      <c r="D29" s="329" t="s">
        <v>808</v>
      </c>
      <c r="E29" s="329" t="s">
        <v>809</v>
      </c>
      <c r="F29" s="329" t="s">
        <v>810</v>
      </c>
      <c r="G29" s="329" t="s">
        <v>811</v>
      </c>
      <c r="H29" s="329" t="s">
        <v>812</v>
      </c>
      <c r="I29" s="329" t="s">
        <v>813</v>
      </c>
      <c r="J29" s="116"/>
    </row>
    <row r="30" spans="1:10">
      <c r="A30" s="2"/>
      <c r="B30" s="319" t="s">
        <v>814</v>
      </c>
      <c r="C30" s="319"/>
      <c r="D30" s="319"/>
      <c r="E30" s="116"/>
      <c r="F30" s="116"/>
      <c r="G30" s="116"/>
      <c r="H30" s="116"/>
      <c r="I30" s="116"/>
      <c r="J30" s="116"/>
    </row>
    <row r="31" spans="1:10">
      <c r="A31" s="108">
        <v>100</v>
      </c>
      <c r="B31" s="542">
        <v>190</v>
      </c>
      <c r="C31" s="330" t="s">
        <v>815</v>
      </c>
      <c r="D31" s="331">
        <v>449174</v>
      </c>
      <c r="E31" s="409">
        <f>D31*$G$155</f>
        <v>353.05735415600316</v>
      </c>
      <c r="F31" s="120"/>
      <c r="G31" s="409">
        <f>D31-E31</f>
        <v>448820.94264584401</v>
      </c>
      <c r="H31" s="409"/>
      <c r="I31" s="544" t="s">
        <v>3015</v>
      </c>
      <c r="J31" s="207"/>
    </row>
    <row r="32" spans="1:10">
      <c r="A32" s="108">
        <f>A31+1</f>
        <v>101</v>
      </c>
      <c r="B32" s="542">
        <v>190</v>
      </c>
      <c r="C32" s="330" t="s">
        <v>816</v>
      </c>
      <c r="D32" s="331">
        <v>3602406</v>
      </c>
      <c r="E32" s="409">
        <f>D32*$G$147</f>
        <v>17528.344217684957</v>
      </c>
      <c r="F32" s="120"/>
      <c r="G32" s="409"/>
      <c r="H32" s="409">
        <f>D32-E32</f>
        <v>3584877.6557823149</v>
      </c>
      <c r="I32" s="544" t="s">
        <v>3016</v>
      </c>
      <c r="J32" s="207"/>
    </row>
    <row r="33" spans="1:10">
      <c r="A33" s="108">
        <f t="shared" ref="A33:A43" si="1">A32+1</f>
        <v>102</v>
      </c>
      <c r="B33" s="542">
        <v>190</v>
      </c>
      <c r="C33" s="330" t="s">
        <v>3017</v>
      </c>
      <c r="D33" s="331">
        <v>27952687</v>
      </c>
      <c r="E33" s="409">
        <f t="shared" ref="E33:E36" si="2">D33*$G$147</f>
        <v>136010.29965673148</v>
      </c>
      <c r="F33" s="120"/>
      <c r="G33" s="409"/>
      <c r="H33" s="409">
        <f t="shared" ref="H33:H34" si="3">D33-E33</f>
        <v>27816676.70034327</v>
      </c>
      <c r="I33" s="544" t="s">
        <v>3016</v>
      </c>
      <c r="J33" s="207"/>
    </row>
    <row r="34" spans="1:10">
      <c r="A34" s="108">
        <f t="shared" si="1"/>
        <v>103</v>
      </c>
      <c r="B34" s="542">
        <v>190</v>
      </c>
      <c r="C34" s="330" t="s">
        <v>819</v>
      </c>
      <c r="D34" s="331">
        <v>20756802</v>
      </c>
      <c r="E34" s="409">
        <f t="shared" si="2"/>
        <v>100997.04761604648</v>
      </c>
      <c r="F34" s="409"/>
      <c r="G34" s="409"/>
      <c r="H34" s="409">
        <f t="shared" si="3"/>
        <v>20655804.952383954</v>
      </c>
      <c r="I34" s="544" t="s">
        <v>3016</v>
      </c>
      <c r="J34" s="207"/>
    </row>
    <row r="35" spans="1:10">
      <c r="A35" s="108">
        <f t="shared" si="1"/>
        <v>104</v>
      </c>
      <c r="B35" s="542">
        <v>190</v>
      </c>
      <c r="C35" s="330" t="s">
        <v>820</v>
      </c>
      <c r="D35" s="331">
        <v>430924</v>
      </c>
      <c r="E35" s="409">
        <f>D35*$G$155</f>
        <v>338.71258639707889</v>
      </c>
      <c r="F35" s="120"/>
      <c r="G35" s="409">
        <f>D35-E35</f>
        <v>430585.28741360293</v>
      </c>
      <c r="H35" s="409"/>
      <c r="I35" s="544" t="s">
        <v>3015</v>
      </c>
      <c r="J35" s="207"/>
    </row>
    <row r="36" spans="1:10" ht="12.75" customHeight="1">
      <c r="A36" s="108">
        <f t="shared" si="1"/>
        <v>105</v>
      </c>
      <c r="B36" s="542">
        <v>190</v>
      </c>
      <c r="C36" s="330" t="s">
        <v>3018</v>
      </c>
      <c r="D36" s="331">
        <v>276821326</v>
      </c>
      <c r="E36" s="409">
        <f t="shared" si="2"/>
        <v>1346938.542997092</v>
      </c>
      <c r="F36" s="120"/>
      <c r="G36" s="409"/>
      <c r="H36" s="409">
        <f>D36-E36</f>
        <v>275474387.45700288</v>
      </c>
      <c r="I36" s="544" t="s">
        <v>3016</v>
      </c>
      <c r="J36" s="207"/>
    </row>
    <row r="37" spans="1:10">
      <c r="A37" s="108">
        <f t="shared" si="1"/>
        <v>106</v>
      </c>
      <c r="B37" s="542">
        <v>190</v>
      </c>
      <c r="C37" s="330" t="s">
        <v>3019</v>
      </c>
      <c r="D37" s="331">
        <v>63084318</v>
      </c>
      <c r="E37" s="409">
        <f>D37</f>
        <v>63084318</v>
      </c>
      <c r="F37" s="120"/>
      <c r="G37" s="409"/>
      <c r="H37" s="409"/>
      <c r="I37" s="544" t="s">
        <v>3020</v>
      </c>
      <c r="J37" s="207"/>
    </row>
    <row r="38" spans="1:10">
      <c r="A38" s="108">
        <f t="shared" si="1"/>
        <v>107</v>
      </c>
      <c r="B38" s="542">
        <v>190</v>
      </c>
      <c r="C38" s="330" t="s">
        <v>3021</v>
      </c>
      <c r="D38" s="331">
        <v>335051216</v>
      </c>
      <c r="E38" s="409">
        <f>D38</f>
        <v>335051216</v>
      </c>
      <c r="F38" s="120"/>
      <c r="G38" s="409"/>
      <c r="H38" s="409"/>
      <c r="I38" s="544" t="s">
        <v>3022</v>
      </c>
      <c r="J38" s="207"/>
    </row>
    <row r="39" spans="1:10">
      <c r="A39" s="108">
        <f t="shared" si="1"/>
        <v>108</v>
      </c>
      <c r="B39" s="542">
        <v>190</v>
      </c>
      <c r="C39" s="330" t="s">
        <v>821</v>
      </c>
      <c r="D39" s="331">
        <v>30192174</v>
      </c>
      <c r="E39" s="409">
        <v>146907.04450088026</v>
      </c>
      <c r="F39" s="120"/>
      <c r="G39" s="409"/>
      <c r="H39" s="409">
        <f>D39-E39</f>
        <v>30045266.95549912</v>
      </c>
      <c r="I39" s="544" t="s">
        <v>3016</v>
      </c>
      <c r="J39" s="207"/>
    </row>
    <row r="40" spans="1:10">
      <c r="A40" s="108">
        <f t="shared" si="1"/>
        <v>109</v>
      </c>
      <c r="B40" s="542">
        <v>190</v>
      </c>
      <c r="C40" s="330" t="s">
        <v>3023</v>
      </c>
      <c r="D40" s="331">
        <v>709968046</v>
      </c>
      <c r="E40" s="409">
        <f t="shared" ref="E40" si="4">D40*$G$147</f>
        <v>3454514.6476674718</v>
      </c>
      <c r="F40" s="120"/>
      <c r="G40" s="409"/>
      <c r="H40" s="409"/>
      <c r="I40" s="544" t="s">
        <v>3024</v>
      </c>
      <c r="J40" s="207"/>
    </row>
    <row r="41" spans="1:10">
      <c r="A41" s="108">
        <f t="shared" si="1"/>
        <v>110</v>
      </c>
      <c r="B41" s="542">
        <v>190</v>
      </c>
      <c r="C41" s="330" t="s">
        <v>3025</v>
      </c>
      <c r="D41" s="331">
        <v>11173893</v>
      </c>
      <c r="E41" s="409">
        <f t="shared" ref="E41:E42" si="5">D41</f>
        <v>11173893</v>
      </c>
      <c r="F41" s="120"/>
      <c r="G41" s="409"/>
      <c r="H41" s="409"/>
      <c r="I41" s="544" t="s">
        <v>3026</v>
      </c>
      <c r="J41" s="207"/>
    </row>
    <row r="42" spans="1:10">
      <c r="A42" s="108">
        <f t="shared" si="1"/>
        <v>111</v>
      </c>
      <c r="B42" s="542">
        <v>190</v>
      </c>
      <c r="C42" s="330" t="s">
        <v>3027</v>
      </c>
      <c r="D42" s="331">
        <v>766170975</v>
      </c>
      <c r="E42" s="409">
        <f t="shared" si="5"/>
        <v>766170975</v>
      </c>
      <c r="F42" s="267"/>
      <c r="G42" s="409"/>
      <c r="H42" s="409"/>
      <c r="I42" s="544" t="s">
        <v>3028</v>
      </c>
      <c r="J42" s="408"/>
    </row>
    <row r="43" spans="1:10">
      <c r="A43" s="108">
        <f t="shared" si="1"/>
        <v>112</v>
      </c>
      <c r="B43" s="542">
        <v>190</v>
      </c>
      <c r="C43" s="330" t="s">
        <v>3029</v>
      </c>
      <c r="D43" s="331">
        <v>2170980840</v>
      </c>
      <c r="E43" s="409"/>
      <c r="F43" s="120"/>
      <c r="G43" s="409">
        <f>D43</f>
        <v>2170980840</v>
      </c>
      <c r="H43" s="409"/>
      <c r="I43" s="546" t="s">
        <v>3030</v>
      </c>
      <c r="J43" s="207"/>
    </row>
    <row r="44" spans="1:10">
      <c r="A44" s="108">
        <f>A43+1</f>
        <v>113</v>
      </c>
      <c r="B44" s="542" t="s">
        <v>822</v>
      </c>
      <c r="C44" s="330"/>
      <c r="D44" s="331"/>
      <c r="E44" s="410"/>
      <c r="F44" s="120"/>
      <c r="G44" s="409"/>
      <c r="H44" s="120"/>
      <c r="I44" s="544"/>
      <c r="J44" s="207"/>
    </row>
    <row r="45" spans="1:10">
      <c r="A45" s="2"/>
      <c r="B45" s="332"/>
      <c r="C45" s="319"/>
      <c r="D45" s="321"/>
      <c r="E45" s="118"/>
      <c r="F45" s="118"/>
      <c r="G45" s="118"/>
      <c r="H45" s="118"/>
      <c r="I45" s="116"/>
      <c r="J45" s="116"/>
    </row>
    <row r="46" spans="1:10">
      <c r="A46" s="2"/>
      <c r="B46" s="323" t="s">
        <v>823</v>
      </c>
      <c r="C46" s="325"/>
      <c r="D46" s="328"/>
      <c r="E46" s="116"/>
      <c r="F46" s="116"/>
      <c r="G46" s="116"/>
      <c r="H46" s="116"/>
      <c r="I46" s="116"/>
      <c r="J46" s="116"/>
    </row>
    <row r="47" spans="1:10">
      <c r="A47" s="2"/>
      <c r="B47" s="323"/>
      <c r="C47" s="48" t="s">
        <v>336</v>
      </c>
      <c r="D47" s="48" t="s">
        <v>337</v>
      </c>
      <c r="E47" s="48" t="s">
        <v>338</v>
      </c>
      <c r="F47" s="48" t="s">
        <v>339</v>
      </c>
      <c r="G47" s="48" t="s">
        <v>340</v>
      </c>
      <c r="H47" s="48" t="s">
        <v>341</v>
      </c>
      <c r="I47" s="48" t="s">
        <v>342</v>
      </c>
      <c r="J47" s="116"/>
    </row>
    <row r="48" spans="1:10">
      <c r="A48" s="2"/>
      <c r="B48" s="326"/>
      <c r="C48" s="326"/>
      <c r="D48" s="326" t="s">
        <v>802</v>
      </c>
      <c r="E48" s="326" t="s">
        <v>803</v>
      </c>
      <c r="F48" s="326"/>
      <c r="G48" s="326"/>
      <c r="H48" s="326"/>
      <c r="I48" s="504" t="s">
        <v>805</v>
      </c>
      <c r="J48" s="116"/>
    </row>
    <row r="49" spans="1:10">
      <c r="A49" s="2"/>
      <c r="B49" s="329" t="s">
        <v>806</v>
      </c>
      <c r="C49" s="329" t="s">
        <v>807</v>
      </c>
      <c r="D49" s="329" t="s">
        <v>808</v>
      </c>
      <c r="E49" s="329" t="s">
        <v>809</v>
      </c>
      <c r="F49" s="329" t="s">
        <v>810</v>
      </c>
      <c r="G49" s="329" t="s">
        <v>811</v>
      </c>
      <c r="H49" s="329" t="s">
        <v>824</v>
      </c>
      <c r="I49" s="329" t="s">
        <v>813</v>
      </c>
      <c r="J49" s="118"/>
    </row>
    <row r="50" spans="1:10">
      <c r="A50" s="2"/>
      <c r="B50" s="319" t="s">
        <v>814</v>
      </c>
      <c r="C50" s="319"/>
      <c r="D50" s="319"/>
      <c r="E50" s="116"/>
      <c r="F50" s="116"/>
      <c r="G50" s="116"/>
      <c r="H50" s="116"/>
      <c r="I50" s="116"/>
      <c r="J50" s="116"/>
    </row>
    <row r="51" spans="1:10">
      <c r="A51" s="108">
        <f>A44+1</f>
        <v>114</v>
      </c>
      <c r="B51" s="542" t="s">
        <v>822</v>
      </c>
      <c r="C51" s="330"/>
      <c r="D51" s="331"/>
      <c r="E51" s="120"/>
      <c r="F51" s="120"/>
      <c r="G51" s="120"/>
      <c r="H51" s="120"/>
      <c r="I51" s="207"/>
      <c r="J51" s="207"/>
    </row>
    <row r="52" spans="1:10">
      <c r="A52" s="2"/>
      <c r="B52" s="333"/>
      <c r="C52" s="319"/>
      <c r="D52" s="321"/>
      <c r="E52" s="118"/>
      <c r="F52" s="118"/>
      <c r="G52" s="118"/>
      <c r="H52" s="118"/>
      <c r="I52" s="190" t="s">
        <v>651</v>
      </c>
      <c r="J52" s="116"/>
    </row>
    <row r="53" spans="1:10">
      <c r="A53" s="2">
        <v>250</v>
      </c>
      <c r="B53" s="319"/>
      <c r="C53" s="319" t="s">
        <v>825</v>
      </c>
      <c r="D53" s="341">
        <f>SUM(D31:D44)+SUM(D51:D51)</f>
        <v>4416634781</v>
      </c>
      <c r="E53" s="341">
        <f>SUM(E31:E44)+SUM(E51:E51)</f>
        <v>1180683989.6965964</v>
      </c>
      <c r="F53" s="341">
        <f>SUM(F31:F44)+SUM(F51:F51)</f>
        <v>0</v>
      </c>
      <c r="G53" s="341">
        <f>SUM(G31:G44)+SUM(G51:G51)</f>
        <v>2171860246.2300596</v>
      </c>
      <c r="H53" s="341">
        <f>SUM(H31:H44)+SUM(H51:H51)</f>
        <v>357577013.72101152</v>
      </c>
      <c r="I53" s="127" t="str">
        <f>"Sum of Above Lines beginning on Line "&amp;A31&amp;""</f>
        <v>Sum of Above Lines beginning on Line 100</v>
      </c>
      <c r="J53" s="116"/>
    </row>
    <row r="54" spans="1:10">
      <c r="A54" s="2"/>
      <c r="B54" s="319"/>
      <c r="C54" s="319"/>
      <c r="D54" s="335"/>
      <c r="E54" s="118"/>
      <c r="F54" s="118"/>
      <c r="G54" s="118"/>
      <c r="H54" s="118"/>
      <c r="I54" s="116"/>
      <c r="J54" s="116"/>
    </row>
    <row r="55" spans="1:10">
      <c r="A55" s="2"/>
      <c r="B55" s="319" t="s">
        <v>826</v>
      </c>
      <c r="C55" s="319"/>
      <c r="D55" s="335"/>
      <c r="E55" s="118"/>
      <c r="F55" s="118"/>
      <c r="G55" s="118"/>
      <c r="H55" s="118"/>
      <c r="I55" s="504" t="s">
        <v>805</v>
      </c>
      <c r="J55" s="116"/>
    </row>
    <row r="56" spans="1:10">
      <c r="A56" s="2"/>
      <c r="C56" s="48" t="s">
        <v>336</v>
      </c>
      <c r="D56" s="48" t="s">
        <v>337</v>
      </c>
      <c r="E56" s="48" t="s">
        <v>338</v>
      </c>
      <c r="F56" s="48" t="s">
        <v>339</v>
      </c>
      <c r="G56" s="48" t="s">
        <v>340</v>
      </c>
      <c r="H56" s="48" t="s">
        <v>341</v>
      </c>
      <c r="I56" s="48" t="s">
        <v>342</v>
      </c>
      <c r="J56" s="116"/>
    </row>
    <row r="57" spans="1:10">
      <c r="A57" s="108">
        <v>300</v>
      </c>
      <c r="B57" s="542">
        <v>190</v>
      </c>
      <c r="C57" s="330" t="s">
        <v>3031</v>
      </c>
      <c r="D57" s="331">
        <v>145674</v>
      </c>
      <c r="E57" s="409">
        <v>145674</v>
      </c>
      <c r="F57" s="409"/>
      <c r="G57" s="409"/>
      <c r="H57" s="409"/>
      <c r="I57" s="544" t="s">
        <v>3024</v>
      </c>
      <c r="J57" s="544"/>
    </row>
    <row r="58" spans="1:10">
      <c r="A58" s="108">
        <f>A57+1</f>
        <v>301</v>
      </c>
      <c r="B58" s="542">
        <v>190</v>
      </c>
      <c r="C58" s="330" t="s">
        <v>3032</v>
      </c>
      <c r="D58" s="331">
        <v>-180653</v>
      </c>
      <c r="E58" s="331">
        <v>-180653</v>
      </c>
      <c r="F58" s="409"/>
      <c r="G58" s="409"/>
      <c r="H58" s="409"/>
      <c r="I58" s="544" t="s">
        <v>3024</v>
      </c>
      <c r="J58" s="544"/>
    </row>
    <row r="59" spans="1:10">
      <c r="A59" s="108">
        <f t="shared" ref="A59:A61" si="6">A58+1</f>
        <v>302</v>
      </c>
      <c r="B59" s="542">
        <v>190</v>
      </c>
      <c r="C59" s="330" t="s">
        <v>3033</v>
      </c>
      <c r="D59" s="331">
        <v>40274008</v>
      </c>
      <c r="E59" s="331">
        <v>40274008</v>
      </c>
      <c r="F59" s="409"/>
      <c r="G59" s="409"/>
      <c r="H59" s="409"/>
      <c r="I59" s="544" t="s">
        <v>3034</v>
      </c>
      <c r="J59" s="544"/>
    </row>
    <row r="60" spans="1:10">
      <c r="A60" s="108">
        <f t="shared" si="6"/>
        <v>303</v>
      </c>
      <c r="B60" s="542">
        <v>190</v>
      </c>
      <c r="C60" s="330" t="s">
        <v>827</v>
      </c>
      <c r="D60" s="331">
        <v>1159191</v>
      </c>
      <c r="E60" s="331">
        <v>1159191</v>
      </c>
      <c r="F60" s="409"/>
      <c r="G60" s="409"/>
      <c r="H60" s="409"/>
      <c r="I60" s="544" t="s">
        <v>3034</v>
      </c>
      <c r="J60" s="544"/>
    </row>
    <row r="61" spans="1:10">
      <c r="A61" s="108">
        <f t="shared" si="6"/>
        <v>304</v>
      </c>
      <c r="B61" s="701" t="s">
        <v>822</v>
      </c>
      <c r="C61" s="330"/>
      <c r="D61" s="331"/>
      <c r="E61" s="120"/>
      <c r="F61" s="120"/>
      <c r="G61" s="120"/>
      <c r="H61" s="120"/>
      <c r="I61" s="207"/>
      <c r="J61" s="207"/>
    </row>
    <row r="62" spans="1:10">
      <c r="A62" s="2"/>
      <c r="B62" s="333"/>
      <c r="C62" s="319"/>
      <c r="D62" s="321"/>
      <c r="E62" s="118"/>
      <c r="F62" s="118"/>
      <c r="G62" s="118"/>
      <c r="H62" s="118"/>
      <c r="I62" s="116"/>
      <c r="J62" s="116"/>
    </row>
    <row r="63" spans="1:10">
      <c r="A63" s="2"/>
      <c r="B63" s="333"/>
      <c r="C63" s="48" t="s">
        <v>336</v>
      </c>
      <c r="D63" s="48" t="s">
        <v>337</v>
      </c>
      <c r="E63" s="48" t="s">
        <v>338</v>
      </c>
      <c r="F63" s="48" t="s">
        <v>339</v>
      </c>
      <c r="G63" s="48" t="s">
        <v>340</v>
      </c>
      <c r="H63" s="48" t="s">
        <v>341</v>
      </c>
      <c r="I63" s="190" t="s">
        <v>651</v>
      </c>
      <c r="J63" s="116"/>
    </row>
    <row r="64" spans="1:10">
      <c r="A64" s="2">
        <v>350</v>
      </c>
      <c r="B64" s="319"/>
      <c r="C64" s="319" t="s">
        <v>828</v>
      </c>
      <c r="D64" s="341">
        <f>SUM(D57:D61)</f>
        <v>41398220</v>
      </c>
      <c r="E64" s="341">
        <f>SUM(E57:E61)</f>
        <v>41398220</v>
      </c>
      <c r="F64" s="341">
        <f>SUM(F57:F61)</f>
        <v>0</v>
      </c>
      <c r="G64" s="341">
        <f>SUM(G57:G61)</f>
        <v>0</v>
      </c>
      <c r="H64" s="341">
        <f>SUM(H57:H61)</f>
        <v>0</v>
      </c>
      <c r="I64" s="127" t="str">
        <f>"Sum of Above Lines beginning on Line "&amp;A57&amp;""</f>
        <v>Sum of Above Lines beginning on Line 300</v>
      </c>
      <c r="J64" s="116"/>
    </row>
    <row r="65" spans="1:10">
      <c r="A65" s="2"/>
      <c r="B65" s="319"/>
      <c r="C65" s="319"/>
      <c r="D65" s="341"/>
      <c r="E65" s="341"/>
      <c r="F65" s="341"/>
      <c r="G65" s="341"/>
      <c r="H65" s="341"/>
      <c r="I65" s="127"/>
      <c r="J65" s="116"/>
    </row>
    <row r="66" spans="1:10">
      <c r="A66" s="2">
        <f t="shared" ref="A66" si="7">A64+1</f>
        <v>351</v>
      </c>
      <c r="B66" s="319"/>
      <c r="C66" s="319" t="s">
        <v>829</v>
      </c>
      <c r="D66" s="341">
        <f>+D64+D53</f>
        <v>4458033001</v>
      </c>
      <c r="E66" s="341">
        <f>+E64+E53</f>
        <v>1222082209.6965964</v>
      </c>
      <c r="F66" s="341">
        <f>+F64+F53</f>
        <v>0</v>
      </c>
      <c r="G66" s="341">
        <f>+G64+G53</f>
        <v>2171860246.2300596</v>
      </c>
      <c r="H66" s="341">
        <f>+H64+H53</f>
        <v>357577013.72101152</v>
      </c>
      <c r="I66" s="287" t="str">
        <f>"Line "&amp;A53&amp;" + Line "&amp;A64&amp;""</f>
        <v>Line 250 + Line 350</v>
      </c>
      <c r="J66" s="116"/>
    </row>
    <row r="67" spans="1:10">
      <c r="A67" s="2">
        <f>+A66+1</f>
        <v>352</v>
      </c>
      <c r="B67" s="319"/>
      <c r="C67" s="319" t="s">
        <v>830</v>
      </c>
      <c r="D67" s="334"/>
      <c r="E67" s="334"/>
      <c r="F67" s="334"/>
      <c r="G67" s="336">
        <f>'27-Allocators'!$G$28</f>
        <v>0.18233907928586837</v>
      </c>
      <c r="H67" s="336">
        <f>'27-Allocators'!$G$15</f>
        <v>5.9842511582503061E-2</v>
      </c>
      <c r="I67" s="411" t="str">
        <f>"27-Allocators Lines "&amp;'27-Allocators'!A28&amp;" and "&amp;'27-Allocators'!A15&amp;" respectively."</f>
        <v>27-Allocators Lines 22 and 9 respectively.</v>
      </c>
      <c r="J67" s="116"/>
    </row>
    <row r="68" spans="1:10">
      <c r="A68" s="2">
        <f>+A67+1</f>
        <v>353</v>
      </c>
      <c r="B68" s="319"/>
      <c r="C68" s="319" t="s">
        <v>831</v>
      </c>
      <c r="D68" s="334">
        <f>SUM(F68:H68)</f>
        <v>417413304.22040492</v>
      </c>
      <c r="E68" s="334"/>
      <c r="F68" s="932">
        <f>+F66</f>
        <v>0</v>
      </c>
      <c r="G68" s="932">
        <f>+G66*G67</f>
        <v>396014997.63516843</v>
      </c>
      <c r="H68" s="932">
        <f>+H66*H67</f>
        <v>21398306.585236486</v>
      </c>
      <c r="I68" s="287" t="str">
        <f>"Line "&amp;A66&amp;" * Line "&amp;A67&amp;" for Cols 5 and 6.  Col. 4 100% ISO."</f>
        <v>Line 351 * Line 352 for Cols 5 and 6.  Col. 4 100% ISO.</v>
      </c>
      <c r="J68" s="116"/>
    </row>
    <row r="69" spans="1:10">
      <c r="A69" s="2"/>
      <c r="B69" s="319"/>
      <c r="C69" s="337" t="s">
        <v>832</v>
      </c>
      <c r="D69" s="334"/>
      <c r="E69" s="334"/>
      <c r="F69" s="334"/>
      <c r="G69" s="334"/>
      <c r="H69" s="334"/>
      <c r="I69" s="287"/>
      <c r="J69" s="116"/>
    </row>
    <row r="70" spans="1:10">
      <c r="A70" s="2"/>
      <c r="B70" s="319"/>
      <c r="C70" s="319"/>
      <c r="D70" s="334"/>
      <c r="E70" s="334"/>
      <c r="F70" s="334"/>
      <c r="G70" s="334"/>
      <c r="H70" s="334"/>
      <c r="I70" s="287"/>
      <c r="J70" s="116"/>
    </row>
    <row r="71" spans="1:10">
      <c r="A71" s="2">
        <f>+A68+1</f>
        <v>354</v>
      </c>
      <c r="B71" s="319"/>
      <c r="C71" s="319" t="s">
        <v>833</v>
      </c>
      <c r="D71" s="543">
        <v>4458033001</v>
      </c>
      <c r="E71" s="654" t="str">
        <f>"Must match amount on Line "&amp;A66&amp;", Col. 2"</f>
        <v>Must match amount on Line 351, Col. 2</v>
      </c>
      <c r="G71" s="334"/>
      <c r="H71" s="334"/>
      <c r="I71" s="287" t="s">
        <v>834</v>
      </c>
      <c r="J71" s="116"/>
    </row>
    <row r="72" spans="1:10">
      <c r="A72" s="2"/>
      <c r="B72" s="319"/>
      <c r="C72" s="319"/>
      <c r="D72" s="339"/>
      <c r="E72" s="339"/>
      <c r="F72" s="339"/>
      <c r="G72" s="339"/>
      <c r="H72" s="339"/>
      <c r="I72" s="288"/>
      <c r="J72" s="116"/>
    </row>
    <row r="73" spans="1:10">
      <c r="A73" s="247"/>
      <c r="B73" s="323" t="s">
        <v>835</v>
      </c>
      <c r="C73" s="340"/>
      <c r="D73" s="339"/>
      <c r="E73" s="116"/>
      <c r="F73" s="116"/>
      <c r="G73" s="116"/>
      <c r="H73" s="116"/>
      <c r="I73" s="116"/>
      <c r="J73" s="116"/>
    </row>
    <row r="74" spans="1:10">
      <c r="A74" s="247"/>
      <c r="C74" s="48" t="s">
        <v>336</v>
      </c>
      <c r="D74" s="48" t="s">
        <v>337</v>
      </c>
      <c r="E74" s="48" t="s">
        <v>338</v>
      </c>
      <c r="F74" s="48" t="s">
        <v>339</v>
      </c>
      <c r="G74" s="48" t="s">
        <v>340</v>
      </c>
      <c r="H74" s="48" t="s">
        <v>341</v>
      </c>
      <c r="I74" s="48" t="s">
        <v>342</v>
      </c>
      <c r="J74" s="116"/>
    </row>
    <row r="75" spans="1:10">
      <c r="A75" s="247"/>
      <c r="B75" s="326"/>
      <c r="C75" s="326"/>
      <c r="D75" s="326" t="s">
        <v>802</v>
      </c>
      <c r="E75" s="326" t="s">
        <v>803</v>
      </c>
      <c r="F75" s="326"/>
      <c r="G75" s="326"/>
      <c r="H75" s="326" t="s">
        <v>804</v>
      </c>
      <c r="I75" s="504" t="s">
        <v>805</v>
      </c>
      <c r="J75" s="116"/>
    </row>
    <row r="76" spans="1:10">
      <c r="A76" s="247"/>
      <c r="B76" s="329" t="s">
        <v>836</v>
      </c>
      <c r="C76" s="329" t="s">
        <v>807</v>
      </c>
      <c r="D76" s="329" t="s">
        <v>808</v>
      </c>
      <c r="E76" s="329" t="s">
        <v>809</v>
      </c>
      <c r="F76" s="329" t="s">
        <v>810</v>
      </c>
      <c r="G76" s="329" t="s">
        <v>811</v>
      </c>
      <c r="H76" s="329" t="s">
        <v>812</v>
      </c>
      <c r="I76" s="329" t="s">
        <v>813</v>
      </c>
      <c r="J76" s="116"/>
    </row>
    <row r="77" spans="1:10">
      <c r="A77" s="108">
        <v>400</v>
      </c>
      <c r="B77" s="545">
        <v>282</v>
      </c>
      <c r="C77" s="546" t="s">
        <v>3035</v>
      </c>
      <c r="D77" s="547">
        <v>-1343542297</v>
      </c>
      <c r="E77" s="409"/>
      <c r="F77" s="409">
        <v>-1343542297</v>
      </c>
      <c r="G77" s="409"/>
      <c r="H77" s="409"/>
      <c r="I77" s="544" t="s">
        <v>3036</v>
      </c>
      <c r="J77" s="544"/>
    </row>
    <row r="78" spans="1:10">
      <c r="A78" s="108">
        <f>A77+1</f>
        <v>401</v>
      </c>
      <c r="B78" s="545">
        <v>282</v>
      </c>
      <c r="C78" s="546" t="s">
        <v>3023</v>
      </c>
      <c r="D78" s="547">
        <v>-8234890577</v>
      </c>
      <c r="E78" s="409">
        <v>-8234890577</v>
      </c>
      <c r="F78" s="409"/>
      <c r="G78" s="409"/>
      <c r="H78" s="409"/>
      <c r="I78" s="544" t="s">
        <v>3037</v>
      </c>
      <c r="J78" s="544"/>
    </row>
    <row r="79" spans="1:10">
      <c r="A79" s="108">
        <f t="shared" ref="A79:A82" si="8">A78+1</f>
        <v>402</v>
      </c>
      <c r="B79" s="545">
        <v>282</v>
      </c>
      <c r="C79" s="546" t="s">
        <v>3038</v>
      </c>
      <c r="D79" s="547">
        <v>-51213481</v>
      </c>
      <c r="E79" s="409">
        <v>-51213481</v>
      </c>
      <c r="F79" s="409"/>
      <c r="G79" s="409"/>
      <c r="H79" s="409"/>
      <c r="I79" s="544" t="s">
        <v>3039</v>
      </c>
      <c r="J79" s="544"/>
    </row>
    <row r="80" spans="1:10">
      <c r="A80" s="108">
        <f t="shared" si="8"/>
        <v>403</v>
      </c>
      <c r="B80" s="545">
        <v>282</v>
      </c>
      <c r="C80" s="546" t="s">
        <v>3031</v>
      </c>
      <c r="D80" s="547">
        <v>-790975</v>
      </c>
      <c r="E80" s="409">
        <v>-790975</v>
      </c>
      <c r="F80" s="409"/>
      <c r="G80" s="409"/>
      <c r="H80" s="409"/>
      <c r="I80" s="544" t="s">
        <v>3040</v>
      </c>
      <c r="J80" s="544"/>
    </row>
    <row r="81" spans="1:10">
      <c r="A81" s="108">
        <f t="shared" si="8"/>
        <v>404</v>
      </c>
      <c r="B81" s="545">
        <v>282</v>
      </c>
      <c r="C81" s="546" t="s">
        <v>3032</v>
      </c>
      <c r="D81" s="547">
        <v>869772</v>
      </c>
      <c r="E81" s="409">
        <v>869772</v>
      </c>
      <c r="F81" s="409"/>
      <c r="G81" s="409"/>
      <c r="H81" s="409"/>
      <c r="I81" s="544" t="s">
        <v>3034</v>
      </c>
      <c r="J81" s="544"/>
    </row>
    <row r="82" spans="1:10">
      <c r="A82" s="108">
        <f t="shared" si="8"/>
        <v>405</v>
      </c>
      <c r="B82" s="542" t="s">
        <v>822</v>
      </c>
      <c r="C82" s="254"/>
      <c r="D82" s="543"/>
      <c r="E82" s="120"/>
      <c r="F82" s="120"/>
      <c r="G82" s="120"/>
      <c r="H82" s="120"/>
      <c r="I82" s="207"/>
      <c r="J82" s="207"/>
    </row>
    <row r="83" spans="1:10">
      <c r="A83" s="2"/>
      <c r="B83" s="253"/>
      <c r="C83" s="247"/>
      <c r="D83" s="341"/>
      <c r="E83" s="118"/>
      <c r="F83" s="118"/>
      <c r="G83" s="118"/>
      <c r="H83" s="118"/>
      <c r="I83" s="116"/>
      <c r="J83" s="116"/>
    </row>
    <row r="84" spans="1:10">
      <c r="A84" s="2"/>
      <c r="B84" s="253"/>
      <c r="C84" s="48" t="s">
        <v>336</v>
      </c>
      <c r="D84" s="48" t="s">
        <v>337</v>
      </c>
      <c r="E84" s="48" t="s">
        <v>338</v>
      </c>
      <c r="F84" s="48" t="s">
        <v>339</v>
      </c>
      <c r="G84" s="48" t="s">
        <v>340</v>
      </c>
      <c r="H84" s="48" t="s">
        <v>341</v>
      </c>
      <c r="I84" s="190" t="s">
        <v>651</v>
      </c>
      <c r="J84" s="116"/>
    </row>
    <row r="85" spans="1:10">
      <c r="A85" s="2">
        <v>450</v>
      </c>
      <c r="B85" s="248"/>
      <c r="C85" s="247" t="s">
        <v>837</v>
      </c>
      <c r="D85" s="341">
        <f>SUM(D77:D82)</f>
        <v>-9629567558</v>
      </c>
      <c r="E85" s="341">
        <f>SUM(E77:E82)</f>
        <v>-8286025261</v>
      </c>
      <c r="F85" s="341">
        <f>SUM(F77:F82)</f>
        <v>-1343542297</v>
      </c>
      <c r="G85" s="341">
        <f>SUM(G77:G82)</f>
        <v>0</v>
      </c>
      <c r="H85" s="341">
        <f>SUM(H77:H82)</f>
        <v>0</v>
      </c>
      <c r="I85" s="127" t="str">
        <f>"Sum of Above Lines beginning on Line "&amp;A77&amp;""</f>
        <v>Sum of Above Lines beginning on Line 400</v>
      </c>
      <c r="J85" s="116"/>
    </row>
    <row r="86" spans="1:10">
      <c r="A86" s="2">
        <f>+A85+1</f>
        <v>451</v>
      </c>
      <c r="B86" s="319"/>
      <c r="C86" s="319" t="s">
        <v>830</v>
      </c>
      <c r="D86" s="334"/>
      <c r="E86" s="334"/>
      <c r="F86" s="334"/>
      <c r="G86" s="336">
        <f>'27-Allocators'!$G$28</f>
        <v>0.18233907928586837</v>
      </c>
      <c r="H86" s="336">
        <f>'27-Allocators'!$G$15</f>
        <v>5.9842511582503061E-2</v>
      </c>
      <c r="I86" s="411" t="str">
        <f>"27-Allocators Lines "&amp;'27-Allocators'!A28&amp;" and "&amp;'27-Allocators'!A15&amp;" respectively."</f>
        <v>27-Allocators Lines 22 and 9 respectively.</v>
      </c>
      <c r="J86" s="116"/>
    </row>
    <row r="87" spans="1:10">
      <c r="A87" s="2">
        <f>+A86+1</f>
        <v>452</v>
      </c>
      <c r="B87" s="319"/>
      <c r="C87" s="319" t="s">
        <v>838</v>
      </c>
      <c r="D87" s="334">
        <f>SUM(F87:H87)</f>
        <v>-1343542297</v>
      </c>
      <c r="E87" s="334"/>
      <c r="F87" s="932">
        <f>+F85</f>
        <v>-1343542297</v>
      </c>
      <c r="G87" s="932">
        <f>+G85*G86</f>
        <v>0</v>
      </c>
      <c r="H87" s="932">
        <f>+H85*H86</f>
        <v>0</v>
      </c>
      <c r="I87" s="287" t="str">
        <f>"Line "&amp;A85&amp;" * Line "&amp;A86&amp;" for Cols 5 and 6.  Col. 4 100% ISO."</f>
        <v>Line 450 * Line 451 for Cols 5 and 6.  Col. 4 100% ISO.</v>
      </c>
      <c r="J87" s="116"/>
    </row>
    <row r="88" spans="1:10">
      <c r="A88" s="2"/>
      <c r="B88" s="319"/>
      <c r="C88" s="337" t="s">
        <v>832</v>
      </c>
      <c r="D88" s="334"/>
      <c r="E88" s="334"/>
      <c r="F88" s="334"/>
      <c r="G88" s="334"/>
      <c r="H88" s="334"/>
      <c r="I88" s="287"/>
      <c r="J88" s="116"/>
    </row>
    <row r="89" spans="1:10">
      <c r="A89" s="2"/>
      <c r="B89" s="248"/>
      <c r="C89" s="247"/>
      <c r="D89" s="334"/>
      <c r="E89" s="334"/>
      <c r="F89" s="334"/>
      <c r="G89" s="334"/>
      <c r="H89" s="334"/>
      <c r="I89" s="127"/>
      <c r="J89" s="116"/>
    </row>
    <row r="90" spans="1:10">
      <c r="A90" s="2">
        <f>+A87+1</f>
        <v>453</v>
      </c>
      <c r="B90" s="248"/>
      <c r="C90" s="319" t="s">
        <v>839</v>
      </c>
      <c r="D90" s="543">
        <v>-9629567558</v>
      </c>
      <c r="E90" s="654" t="str">
        <f>"Must match amount on Line "&amp;A85&amp;", Col. 2"</f>
        <v>Must match amount on Line 450, Col. 2</v>
      </c>
      <c r="F90" s="334"/>
      <c r="G90" s="334"/>
      <c r="H90" s="334"/>
      <c r="I90" s="127" t="s">
        <v>840</v>
      </c>
      <c r="J90" s="116"/>
    </row>
    <row r="91" spans="1:10">
      <c r="A91" s="2"/>
      <c r="B91" s="248"/>
      <c r="C91" s="247"/>
      <c r="D91" s="334"/>
      <c r="E91" s="334"/>
      <c r="F91" s="334"/>
      <c r="G91" s="334"/>
      <c r="H91" s="334"/>
      <c r="I91" s="127"/>
      <c r="J91" s="116"/>
    </row>
    <row r="92" spans="1:10">
      <c r="A92" s="2"/>
      <c r="B92" s="248"/>
      <c r="C92" s="247"/>
      <c r="D92" s="334"/>
      <c r="E92" s="334"/>
      <c r="F92" s="334"/>
      <c r="G92" s="334"/>
      <c r="H92" s="334"/>
      <c r="I92" s="288"/>
      <c r="J92" s="116"/>
    </row>
    <row r="93" spans="1:10">
      <c r="A93" s="247"/>
      <c r="B93" s="323" t="s">
        <v>841</v>
      </c>
      <c r="C93" s="319"/>
      <c r="D93" s="334"/>
      <c r="E93" s="118"/>
      <c r="F93" s="118"/>
      <c r="G93" s="118"/>
      <c r="H93" s="118"/>
      <c r="I93" s="116"/>
      <c r="J93" s="116"/>
    </row>
    <row r="94" spans="1:10">
      <c r="A94" s="247"/>
      <c r="B94" s="323"/>
      <c r="C94" s="48" t="s">
        <v>336</v>
      </c>
      <c r="D94" s="48" t="s">
        <v>337</v>
      </c>
      <c r="E94" s="48" t="s">
        <v>338</v>
      </c>
      <c r="F94" s="48" t="s">
        <v>339</v>
      </c>
      <c r="G94" s="48" t="s">
        <v>340</v>
      </c>
      <c r="H94" s="48" t="s">
        <v>341</v>
      </c>
      <c r="I94" s="48" t="s">
        <v>342</v>
      </c>
      <c r="J94" s="116"/>
    </row>
    <row r="95" spans="1:10">
      <c r="A95" s="247"/>
      <c r="B95" s="326"/>
      <c r="C95" s="326"/>
      <c r="D95" s="342" t="s">
        <v>802</v>
      </c>
      <c r="E95" s="342" t="s">
        <v>803</v>
      </c>
      <c r="F95" s="342"/>
      <c r="G95" s="342"/>
      <c r="H95" s="342" t="s">
        <v>804</v>
      </c>
      <c r="I95" s="504" t="s">
        <v>805</v>
      </c>
      <c r="J95" s="116"/>
    </row>
    <row r="96" spans="1:10">
      <c r="A96" s="247"/>
      <c r="B96" s="329" t="s">
        <v>842</v>
      </c>
      <c r="C96" s="329" t="s">
        <v>807</v>
      </c>
      <c r="D96" s="343" t="s">
        <v>808</v>
      </c>
      <c r="E96" s="343" t="s">
        <v>809</v>
      </c>
      <c r="F96" s="343" t="s">
        <v>810</v>
      </c>
      <c r="G96" s="343" t="s">
        <v>811</v>
      </c>
      <c r="H96" s="343" t="s">
        <v>812</v>
      </c>
      <c r="I96" s="329" t="s">
        <v>813</v>
      </c>
      <c r="J96" s="116"/>
    </row>
    <row r="97" spans="1:10">
      <c r="A97" s="2"/>
      <c r="B97" s="319" t="s">
        <v>814</v>
      </c>
      <c r="C97" s="116"/>
      <c r="D97" s="118"/>
      <c r="E97" s="118"/>
      <c r="F97" s="118"/>
      <c r="G97" s="118"/>
      <c r="H97" s="118"/>
      <c r="I97" s="116"/>
      <c r="J97" s="116"/>
    </row>
    <row r="98" spans="1:10">
      <c r="A98" s="108">
        <v>500</v>
      </c>
      <c r="B98" s="545">
        <v>283</v>
      </c>
      <c r="C98" s="546" t="s">
        <v>3041</v>
      </c>
      <c r="D98" s="409">
        <v>-69927447</v>
      </c>
      <c r="E98" s="409">
        <v>-69927447</v>
      </c>
      <c r="F98" s="409"/>
      <c r="G98" s="409"/>
      <c r="H98" s="409"/>
      <c r="I98" s="544" t="s">
        <v>3042</v>
      </c>
      <c r="J98" s="207"/>
    </row>
    <row r="99" spans="1:10">
      <c r="A99" s="108">
        <f>A98+1</f>
        <v>501</v>
      </c>
      <c r="B99" s="545">
        <v>283</v>
      </c>
      <c r="C99" s="546" t="s">
        <v>3041</v>
      </c>
      <c r="D99" s="409">
        <v>-11815263</v>
      </c>
      <c r="E99" s="409"/>
      <c r="F99" s="409">
        <v>-11815263</v>
      </c>
      <c r="G99" s="409"/>
      <c r="H99" s="409"/>
      <c r="I99" s="544" t="s">
        <v>3043</v>
      </c>
      <c r="J99" s="207"/>
    </row>
    <row r="100" spans="1:10">
      <c r="A100" s="108">
        <f t="shared" ref="A100:A107" si="9">A99+1</f>
        <v>502</v>
      </c>
      <c r="B100" s="545">
        <v>283</v>
      </c>
      <c r="C100" s="546" t="s">
        <v>843</v>
      </c>
      <c r="D100" s="409">
        <v>-24512364</v>
      </c>
      <c r="E100" s="409">
        <f>D100*G155</f>
        <v>-19267.0777425872</v>
      </c>
      <c r="F100" s="409"/>
      <c r="G100" s="409">
        <f>D100-E100</f>
        <v>-24493096.922257412</v>
      </c>
      <c r="H100" s="409"/>
      <c r="I100" s="544" t="s">
        <v>3044</v>
      </c>
      <c r="J100" s="207"/>
    </row>
    <row r="101" spans="1:10">
      <c r="A101" s="108">
        <f t="shared" si="9"/>
        <v>503</v>
      </c>
      <c r="B101" s="545">
        <v>283</v>
      </c>
      <c r="C101" s="546" t="s">
        <v>844</v>
      </c>
      <c r="D101" s="409">
        <v>-2798251</v>
      </c>
      <c r="E101" s="409">
        <f>D101*G147</f>
        <v>-13615.541039927522</v>
      </c>
      <c r="F101" s="409"/>
      <c r="G101" s="409"/>
      <c r="H101" s="409">
        <f>D101-E101</f>
        <v>-2784635.4589600726</v>
      </c>
      <c r="I101" s="544" t="s">
        <v>3016</v>
      </c>
      <c r="J101" s="207"/>
    </row>
    <row r="102" spans="1:10">
      <c r="A102" s="108">
        <f t="shared" si="9"/>
        <v>504</v>
      </c>
      <c r="B102" s="545">
        <v>283</v>
      </c>
      <c r="C102" s="546" t="s">
        <v>3045</v>
      </c>
      <c r="D102" s="409">
        <v>-1368069223</v>
      </c>
      <c r="E102" s="409">
        <v>-1368069223</v>
      </c>
      <c r="F102" s="409"/>
      <c r="G102" s="409"/>
      <c r="H102" s="409"/>
      <c r="I102" s="544" t="s">
        <v>3046</v>
      </c>
      <c r="J102" s="207"/>
    </row>
    <row r="103" spans="1:10">
      <c r="A103" s="108">
        <f t="shared" si="9"/>
        <v>505</v>
      </c>
      <c r="B103" s="545">
        <v>283</v>
      </c>
      <c r="C103" s="546" t="s">
        <v>3021</v>
      </c>
      <c r="D103" s="409">
        <v>-320533036</v>
      </c>
      <c r="E103" s="409">
        <v>-320533036</v>
      </c>
      <c r="F103" s="409"/>
      <c r="G103" s="409"/>
      <c r="H103" s="409"/>
      <c r="I103" s="544" t="s">
        <v>3022</v>
      </c>
      <c r="J103" s="207"/>
    </row>
    <row r="104" spans="1:10">
      <c r="A104" s="108">
        <f t="shared" si="9"/>
        <v>506</v>
      </c>
      <c r="B104" s="545">
        <v>283</v>
      </c>
      <c r="C104" s="546" t="s">
        <v>3025</v>
      </c>
      <c r="D104" s="409">
        <v>-90301229</v>
      </c>
      <c r="E104" s="409">
        <v>-90301229</v>
      </c>
      <c r="F104" s="409"/>
      <c r="G104" s="409"/>
      <c r="H104" s="409"/>
      <c r="I104" s="544" t="s">
        <v>3026</v>
      </c>
      <c r="J104" s="207"/>
    </row>
    <row r="105" spans="1:10">
      <c r="A105" s="108">
        <f t="shared" si="9"/>
        <v>507</v>
      </c>
      <c r="B105" s="545">
        <v>283</v>
      </c>
      <c r="C105" s="546" t="s">
        <v>3047</v>
      </c>
      <c r="D105" s="409">
        <v>-473707260</v>
      </c>
      <c r="E105" s="409">
        <v>-473707260</v>
      </c>
      <c r="F105" s="409"/>
      <c r="G105" s="409"/>
      <c r="H105" s="409"/>
      <c r="I105" s="544" t="s">
        <v>3028</v>
      </c>
      <c r="J105" s="207"/>
    </row>
    <row r="106" spans="1:10">
      <c r="A106" s="108">
        <f t="shared" si="9"/>
        <v>508</v>
      </c>
      <c r="B106" s="545">
        <v>283</v>
      </c>
      <c r="C106" s="546" t="s">
        <v>817</v>
      </c>
      <c r="D106" s="409">
        <v>-717462</v>
      </c>
      <c r="E106" s="409">
        <f>D106*G155</f>
        <v>-563.93565840292263</v>
      </c>
      <c r="F106" s="409"/>
      <c r="G106" s="409">
        <f>D106-E106</f>
        <v>-716898.06434159703</v>
      </c>
      <c r="H106" s="409"/>
      <c r="I106" s="544" t="s">
        <v>3015</v>
      </c>
      <c r="J106" s="207"/>
    </row>
    <row r="107" spans="1:10">
      <c r="A107" s="108">
        <f t="shared" si="9"/>
        <v>509</v>
      </c>
      <c r="B107" s="545" t="s">
        <v>822</v>
      </c>
      <c r="C107" s="254"/>
      <c r="D107" s="267"/>
      <c r="E107" s="409"/>
      <c r="F107" s="120"/>
      <c r="G107" s="409"/>
      <c r="H107" s="120"/>
      <c r="I107" s="207"/>
      <c r="J107" s="207"/>
    </row>
    <row r="108" spans="1:10">
      <c r="A108" s="2"/>
      <c r="B108" s="290"/>
      <c r="C108" s="247"/>
      <c r="D108" s="249"/>
      <c r="E108" s="118"/>
      <c r="F108" s="118"/>
      <c r="G108" s="118"/>
      <c r="H108" s="118"/>
      <c r="I108" s="116"/>
      <c r="J108" s="116"/>
    </row>
    <row r="109" spans="1:10">
      <c r="A109" s="2"/>
      <c r="B109" s="323" t="s">
        <v>845</v>
      </c>
      <c r="C109" s="319"/>
      <c r="D109" s="334"/>
      <c r="E109" s="118"/>
      <c r="F109" s="118"/>
      <c r="G109" s="118"/>
      <c r="H109" s="118"/>
      <c r="I109" s="116"/>
      <c r="J109" s="116"/>
    </row>
    <row r="110" spans="1:10">
      <c r="A110" s="2"/>
      <c r="B110" s="323"/>
      <c r="C110" s="48" t="s">
        <v>336</v>
      </c>
      <c r="D110" s="48" t="s">
        <v>337</v>
      </c>
      <c r="E110" s="48" t="s">
        <v>338</v>
      </c>
      <c r="F110" s="48" t="s">
        <v>339</v>
      </c>
      <c r="G110" s="48" t="s">
        <v>340</v>
      </c>
      <c r="H110" s="48" t="s">
        <v>341</v>
      </c>
      <c r="I110" s="48" t="s">
        <v>342</v>
      </c>
      <c r="J110" s="116"/>
    </row>
    <row r="111" spans="1:10">
      <c r="A111" s="2"/>
      <c r="B111" s="326"/>
      <c r="C111" s="326"/>
      <c r="D111" s="342" t="s">
        <v>802</v>
      </c>
      <c r="E111" s="342" t="s">
        <v>803</v>
      </c>
      <c r="F111" s="342"/>
      <c r="G111" s="342"/>
      <c r="H111" s="342" t="s">
        <v>804</v>
      </c>
      <c r="I111" s="504" t="s">
        <v>805</v>
      </c>
      <c r="J111" s="116"/>
    </row>
    <row r="112" spans="1:10">
      <c r="A112" s="2"/>
      <c r="B112" s="329" t="s">
        <v>842</v>
      </c>
      <c r="C112" s="329" t="s">
        <v>807</v>
      </c>
      <c r="D112" s="343" t="s">
        <v>808</v>
      </c>
      <c r="E112" s="343" t="s">
        <v>809</v>
      </c>
      <c r="F112" s="343" t="s">
        <v>810</v>
      </c>
      <c r="G112" s="343" t="s">
        <v>811</v>
      </c>
      <c r="H112" s="343" t="s">
        <v>812</v>
      </c>
      <c r="I112" s="329" t="s">
        <v>813</v>
      </c>
      <c r="J112" s="116"/>
    </row>
    <row r="113" spans="1:10">
      <c r="A113" s="2"/>
      <c r="B113" s="319" t="s">
        <v>846</v>
      </c>
      <c r="C113" s="326"/>
      <c r="D113" s="342"/>
      <c r="E113" s="342"/>
      <c r="F113" s="342"/>
      <c r="G113" s="342"/>
      <c r="H113" s="342"/>
      <c r="I113" s="326"/>
      <c r="J113" s="116"/>
    </row>
    <row r="114" spans="1:10">
      <c r="A114" s="108">
        <f>A107+1</f>
        <v>510</v>
      </c>
      <c r="B114" s="545" t="s">
        <v>822</v>
      </c>
      <c r="C114" s="254"/>
      <c r="D114" s="267"/>
      <c r="E114" s="409"/>
      <c r="F114" s="120"/>
      <c r="G114" s="409"/>
      <c r="H114" s="120"/>
      <c r="I114" s="207"/>
      <c r="J114" s="207"/>
    </row>
    <row r="115" spans="1:10">
      <c r="A115" s="2"/>
      <c r="B115" s="257"/>
      <c r="C115" s="247"/>
      <c r="D115" s="249"/>
      <c r="E115" s="118"/>
      <c r="F115" s="118"/>
      <c r="G115" s="118"/>
      <c r="H115" s="118"/>
      <c r="I115" s="116"/>
      <c r="J115" s="116"/>
    </row>
    <row r="116" spans="1:10">
      <c r="A116" s="2">
        <v>650</v>
      </c>
      <c r="B116" s="247"/>
      <c r="C116" s="247" t="s">
        <v>847</v>
      </c>
      <c r="D116" s="249">
        <f>SUM(D98:D107)+SUM(D114:D114)</f>
        <v>-2362381535</v>
      </c>
      <c r="E116" s="249">
        <f>SUM(E98:E107)+SUM(E114:E114)</f>
        <v>-2322571641.554441</v>
      </c>
      <c r="F116" s="249">
        <f>SUM(F98:F107)+SUM(F114:F114)</f>
        <v>-11815263</v>
      </c>
      <c r="G116" s="249">
        <f>SUM(G98:G107)+SUM(G114:G114)</f>
        <v>-25209994.986599009</v>
      </c>
      <c r="H116" s="249">
        <f>SUM(H98:H107)+SUM(H114:H114)</f>
        <v>-2784635.4589600726</v>
      </c>
      <c r="I116" s="127" t="str">
        <f>"Sum of Above Lines beginning on Line "&amp;A98&amp;""</f>
        <v>Sum of Above Lines beginning on Line 500</v>
      </c>
      <c r="J116" s="116"/>
    </row>
    <row r="117" spans="1:10">
      <c r="A117" s="2"/>
      <c r="B117" s="247"/>
      <c r="C117" s="247"/>
      <c r="D117" s="249"/>
      <c r="E117" s="249"/>
      <c r="F117" s="249"/>
      <c r="G117" s="249"/>
      <c r="H117" s="249"/>
      <c r="I117" s="288"/>
      <c r="J117" s="116"/>
    </row>
    <row r="118" spans="1:10">
      <c r="A118" s="2"/>
      <c r="B118" s="319" t="s">
        <v>848</v>
      </c>
      <c r="C118" s="247"/>
      <c r="D118" s="249"/>
      <c r="E118" s="118"/>
      <c r="F118" s="118"/>
      <c r="G118" s="118"/>
      <c r="H118" s="118"/>
      <c r="I118" s="504" t="s">
        <v>805</v>
      </c>
      <c r="J118" s="116"/>
    </row>
    <row r="119" spans="1:10">
      <c r="A119" s="2"/>
      <c r="C119" s="48" t="s">
        <v>336</v>
      </c>
      <c r="D119" s="48" t="s">
        <v>337</v>
      </c>
      <c r="E119" s="48" t="s">
        <v>338</v>
      </c>
      <c r="F119" s="48" t="s">
        <v>339</v>
      </c>
      <c r="G119" s="48" t="s">
        <v>340</v>
      </c>
      <c r="H119" s="48" t="s">
        <v>341</v>
      </c>
      <c r="I119" s="48" t="s">
        <v>342</v>
      </c>
      <c r="J119" s="116"/>
    </row>
    <row r="120" spans="1:10">
      <c r="A120" s="108">
        <v>700</v>
      </c>
      <c r="B120" s="545">
        <v>283</v>
      </c>
      <c r="C120" s="546" t="s">
        <v>3048</v>
      </c>
      <c r="D120" s="410">
        <v>-199630</v>
      </c>
      <c r="E120" s="410">
        <v>-199630</v>
      </c>
      <c r="F120" s="409"/>
      <c r="G120" s="409"/>
      <c r="H120" s="409"/>
      <c r="I120" s="544" t="s">
        <v>3040</v>
      </c>
      <c r="J120" s="544"/>
    </row>
    <row r="121" spans="1:10">
      <c r="A121" s="108">
        <f>A120+1</f>
        <v>701</v>
      </c>
      <c r="B121" s="545">
        <v>283</v>
      </c>
      <c r="C121" s="546" t="s">
        <v>3049</v>
      </c>
      <c r="D121" s="410">
        <v>-16734</v>
      </c>
      <c r="E121" s="410">
        <v>-16734</v>
      </c>
      <c r="F121" s="409"/>
      <c r="G121" s="409"/>
      <c r="H121" s="409"/>
      <c r="I121" s="544" t="s">
        <v>3040</v>
      </c>
      <c r="J121" s="544"/>
    </row>
    <row r="122" spans="1:10">
      <c r="A122" s="108">
        <f>A121+1</f>
        <v>702</v>
      </c>
      <c r="B122" s="545">
        <v>283</v>
      </c>
      <c r="C122" s="546" t="s">
        <v>3050</v>
      </c>
      <c r="D122" s="410">
        <v>-938613</v>
      </c>
      <c r="E122" s="410">
        <v>-938613</v>
      </c>
      <c r="F122" s="409"/>
      <c r="G122" s="409"/>
      <c r="H122" s="409"/>
      <c r="I122" s="544" t="s">
        <v>3034</v>
      </c>
      <c r="J122" s="544"/>
    </row>
    <row r="123" spans="1:10">
      <c r="A123" s="108">
        <f>A122+1</f>
        <v>703</v>
      </c>
      <c r="B123" s="545">
        <v>283</v>
      </c>
      <c r="C123" s="546" t="s">
        <v>3051</v>
      </c>
      <c r="D123" s="410">
        <v>-5995093</v>
      </c>
      <c r="E123" s="409">
        <v>-5995093</v>
      </c>
      <c r="F123" s="409"/>
      <c r="G123" s="409"/>
      <c r="H123" s="409"/>
      <c r="I123" s="544" t="s">
        <v>3034</v>
      </c>
      <c r="J123" s="544"/>
    </row>
    <row r="124" spans="1:10">
      <c r="A124" s="2"/>
      <c r="B124" s="290"/>
      <c r="C124" s="247"/>
      <c r="D124" s="249"/>
      <c r="E124" s="118"/>
      <c r="F124" s="118"/>
      <c r="G124" s="118"/>
      <c r="H124" s="118"/>
      <c r="I124" s="116"/>
      <c r="J124" s="116"/>
    </row>
    <row r="125" spans="1:10">
      <c r="A125" s="2"/>
      <c r="B125" s="247"/>
      <c r="C125" s="48" t="s">
        <v>336</v>
      </c>
      <c r="D125" s="48" t="s">
        <v>337</v>
      </c>
      <c r="E125" s="48" t="s">
        <v>338</v>
      </c>
      <c r="F125" s="48" t="s">
        <v>339</v>
      </c>
      <c r="G125" s="48" t="s">
        <v>340</v>
      </c>
      <c r="H125" s="48" t="s">
        <v>341</v>
      </c>
      <c r="I125" s="190" t="s">
        <v>651</v>
      </c>
      <c r="J125" s="116"/>
    </row>
    <row r="126" spans="1:10">
      <c r="A126" s="2">
        <v>800</v>
      </c>
      <c r="B126" s="116"/>
      <c r="C126" s="247" t="s">
        <v>849</v>
      </c>
      <c r="D126" s="249">
        <f>SUM(D120:D123)</f>
        <v>-7150070</v>
      </c>
      <c r="E126" s="249">
        <f>SUM(E120:E123)</f>
        <v>-7150070</v>
      </c>
      <c r="F126" s="249">
        <f>SUM(F120:F123)</f>
        <v>0</v>
      </c>
      <c r="G126" s="249">
        <f>SUM(G120:G123)</f>
        <v>0</v>
      </c>
      <c r="H126" s="249">
        <f>SUM(H120:H123)</f>
        <v>0</v>
      </c>
      <c r="I126" s="127" t="str">
        <f>"Sum of Above Lines beginning on Line "&amp;A120&amp;""</f>
        <v>Sum of Above Lines beginning on Line 700</v>
      </c>
      <c r="J126" s="116"/>
    </row>
    <row r="127" spans="1:10">
      <c r="A127" s="2"/>
      <c r="B127" s="116"/>
      <c r="C127" s="247"/>
      <c r="D127" s="249"/>
      <c r="E127" s="249"/>
      <c r="F127" s="249"/>
      <c r="G127" s="249"/>
      <c r="H127" s="249"/>
      <c r="I127" s="127"/>
      <c r="J127" s="116"/>
    </row>
    <row r="128" spans="1:10">
      <c r="A128" s="2">
        <f>A126+1</f>
        <v>801</v>
      </c>
      <c r="B128" s="116"/>
      <c r="C128" s="247" t="s">
        <v>850</v>
      </c>
      <c r="D128" s="249">
        <f>D116+D126</f>
        <v>-2369531605</v>
      </c>
      <c r="E128" s="249">
        <f>E116+E126</f>
        <v>-2329721711.554441</v>
      </c>
      <c r="F128" s="249">
        <f>F116+F126</f>
        <v>-11815263</v>
      </c>
      <c r="G128" s="249">
        <f>G116+G126</f>
        <v>-25209994.986599009</v>
      </c>
      <c r="H128" s="249">
        <f>H116+H126</f>
        <v>-2784635.4589600726</v>
      </c>
      <c r="I128" s="287" t="str">
        <f>"Line "&amp;A116&amp;" + Line "&amp;A126&amp;""</f>
        <v>Line 650 + Line 800</v>
      </c>
      <c r="J128" s="116"/>
    </row>
    <row r="129" spans="1:10">
      <c r="A129" s="2">
        <f>+A128+1</f>
        <v>802</v>
      </c>
      <c r="B129" s="319"/>
      <c r="C129" s="319" t="s">
        <v>830</v>
      </c>
      <c r="D129" s="524"/>
      <c r="E129" s="524"/>
      <c r="F129" s="334"/>
      <c r="G129" s="336">
        <f>'27-Allocators'!$G$28</f>
        <v>0.18233907928586837</v>
      </c>
      <c r="H129" s="336">
        <f>'27-Allocators'!$G$15</f>
        <v>5.9842511582503061E-2</v>
      </c>
      <c r="I129" s="411" t="str">
        <f>"27-Allocators Lines "&amp;'27-Allocators'!A28&amp;" and "&amp;'27-Allocators'!A15&amp;" respectively."</f>
        <v>27-Allocators Lines 22 and 9 respectively.</v>
      </c>
      <c r="J129" s="116"/>
    </row>
    <row r="130" spans="1:10">
      <c r="A130" s="2">
        <f>+A129+1</f>
        <v>803</v>
      </c>
      <c r="B130" s="319"/>
      <c r="C130" s="319" t="s">
        <v>851</v>
      </c>
      <c r="D130" s="341">
        <f>SUM(F130:H130)</f>
        <v>-16578669.854363687</v>
      </c>
      <c r="E130" s="334"/>
      <c r="F130" s="932">
        <f>+F128</f>
        <v>-11815263</v>
      </c>
      <c r="G130" s="932">
        <f>+G128*G129</f>
        <v>-4596767.2746578213</v>
      </c>
      <c r="H130" s="933">
        <f>+H128*H129</f>
        <v>-166639.57970586687</v>
      </c>
      <c r="I130" s="287" t="str">
        <f>"Line "&amp;A128&amp;" * Line "&amp;A129&amp;" for Cols 5 and 6.  Col. 4 100% ISO."</f>
        <v>Line 801 * Line 802 for Cols 5 and 6.  Col. 4 100% ISO.</v>
      </c>
      <c r="J130" s="116"/>
    </row>
    <row r="131" spans="1:10">
      <c r="A131" s="2"/>
      <c r="B131" s="116"/>
      <c r="C131" s="337" t="s">
        <v>832</v>
      </c>
      <c r="D131" s="249"/>
      <c r="E131" s="249"/>
      <c r="F131" s="249"/>
      <c r="G131" s="249"/>
      <c r="H131" s="249"/>
      <c r="I131" s="287"/>
      <c r="J131" s="118"/>
    </row>
    <row r="132" spans="1:10">
      <c r="A132" s="2"/>
      <c r="B132" s="116"/>
      <c r="C132" s="247"/>
      <c r="D132" s="249"/>
      <c r="E132" s="249"/>
      <c r="F132" s="249"/>
      <c r="G132" s="249"/>
      <c r="H132" s="249"/>
      <c r="I132" s="287"/>
      <c r="J132" s="116"/>
    </row>
    <row r="133" spans="1:10">
      <c r="A133" s="2">
        <f>A130+1</f>
        <v>804</v>
      </c>
      <c r="C133" s="319" t="s">
        <v>852</v>
      </c>
      <c r="D133" s="543">
        <v>-2369531605</v>
      </c>
      <c r="E133" s="654" t="str">
        <f>"Must match amount on Line "&amp;A128&amp;", Col. 2"</f>
        <v>Must match amount on Line 801, Col. 2</v>
      </c>
      <c r="F133" s="334"/>
      <c r="G133" s="334"/>
      <c r="H133" s="334"/>
      <c r="I133" s="127" t="s">
        <v>853</v>
      </c>
    </row>
    <row r="134" spans="1:10">
      <c r="A134" s="2"/>
      <c r="C134" s="319"/>
      <c r="D134" s="338"/>
      <c r="E134" s="338"/>
      <c r="F134" s="334"/>
      <c r="G134" s="334"/>
      <c r="H134" s="334"/>
      <c r="I134" s="127"/>
    </row>
    <row r="135" spans="1:10">
      <c r="B135"/>
      <c r="C135" s="116" t="s">
        <v>854</v>
      </c>
      <c r="D135" s="116"/>
      <c r="E135" s="116"/>
      <c r="F135" s="116"/>
      <c r="G135" s="116"/>
      <c r="J135"/>
    </row>
    <row r="136" spans="1:10">
      <c r="B136"/>
      <c r="C136" s="116" t="s">
        <v>855</v>
      </c>
      <c r="D136" s="116"/>
      <c r="E136" s="116"/>
      <c r="F136" s="116"/>
      <c r="G136" s="116"/>
      <c r="J136"/>
    </row>
    <row r="137" spans="1:10">
      <c r="B137"/>
      <c r="C137" s="116"/>
      <c r="D137" s="116"/>
      <c r="E137" s="116"/>
      <c r="F137" s="116"/>
      <c r="G137" s="116"/>
      <c r="J137"/>
    </row>
    <row r="138" spans="1:10">
      <c r="B138"/>
      <c r="C138" s="116" t="s">
        <v>856</v>
      </c>
      <c r="D138" s="116"/>
      <c r="E138" s="116"/>
      <c r="F138" s="116"/>
      <c r="G138" s="116"/>
      <c r="J138"/>
    </row>
    <row r="139" spans="1:10">
      <c r="B139"/>
      <c r="C139" s="116" t="s">
        <v>857</v>
      </c>
      <c r="D139" s="116"/>
      <c r="E139" s="116"/>
      <c r="F139" s="116"/>
      <c r="G139" s="116"/>
      <c r="J139"/>
    </row>
    <row r="140" spans="1:10">
      <c r="B140"/>
      <c r="C140" s="116" t="s">
        <v>858</v>
      </c>
      <c r="D140" s="116"/>
      <c r="E140" s="116"/>
      <c r="F140" s="116"/>
      <c r="G140" s="116"/>
      <c r="J140"/>
    </row>
    <row r="141" spans="1:10" s="247" customFormat="1">
      <c r="E141" s="2" t="s">
        <v>98</v>
      </c>
      <c r="G141" s="4" t="s">
        <v>859</v>
      </c>
      <c r="H141" s="116"/>
      <c r="I141" s="116"/>
    </row>
    <row r="142" spans="1:10" s="247" customFormat="1">
      <c r="E142" s="3" t="s">
        <v>101</v>
      </c>
      <c r="G142" s="3" t="s">
        <v>102</v>
      </c>
      <c r="H142" s="116"/>
      <c r="I142" s="116"/>
    </row>
    <row r="143" spans="1:10" s="247" customFormat="1" ht="12.5">
      <c r="C143" s="246" t="s">
        <v>860</v>
      </c>
      <c r="E143" s="247" t="s">
        <v>861</v>
      </c>
      <c r="G143" s="552">
        <v>837047586</v>
      </c>
      <c r="H143" s="116"/>
      <c r="I143" s="618"/>
    </row>
    <row r="144" spans="1:10" s="247" customFormat="1" ht="12.5">
      <c r="C144" s="246" t="s">
        <v>862</v>
      </c>
      <c r="E144" s="247" t="s">
        <v>863</v>
      </c>
      <c r="G144" s="267">
        <v>871038</v>
      </c>
      <c r="H144" s="116"/>
      <c r="I144" s="618"/>
    </row>
    <row r="145" spans="2:10" s="247" customFormat="1" ht="12.5">
      <c r="C145" s="246" t="s">
        <v>864</v>
      </c>
      <c r="E145" s="247" t="s">
        <v>865</v>
      </c>
      <c r="G145" s="61">
        <v>3221726</v>
      </c>
      <c r="H145" s="116"/>
      <c r="I145" s="618"/>
    </row>
    <row r="146" spans="2:10" s="247" customFormat="1" ht="12.5">
      <c r="C146" s="246" t="s">
        <v>866</v>
      </c>
      <c r="E146" s="247" t="s">
        <v>867</v>
      </c>
      <c r="G146" s="249">
        <f>SUM(G143:G145)</f>
        <v>841140350</v>
      </c>
      <c r="H146" s="116"/>
      <c r="I146" s="116"/>
    </row>
    <row r="147" spans="2:10" s="247" customFormat="1" ht="12.5">
      <c r="C147" s="246" t="s">
        <v>868</v>
      </c>
      <c r="E147" s="257" t="s">
        <v>869</v>
      </c>
      <c r="G147" s="212">
        <f>(G144+G145)/G146</f>
        <v>4.8657325736424367E-3</v>
      </c>
      <c r="H147" s="116"/>
      <c r="I147" s="116"/>
    </row>
    <row r="148" spans="2:10" s="247" customFormat="1" ht="12.5">
      <c r="C148" s="498" t="s">
        <v>870</v>
      </c>
      <c r="D148" s="116"/>
      <c r="E148" s="116"/>
      <c r="F148" s="116"/>
      <c r="G148" s="116"/>
      <c r="H148" s="116"/>
      <c r="I148" s="116"/>
    </row>
    <row r="149" spans="2:10" s="247" customFormat="1">
      <c r="E149" s="2" t="s">
        <v>98</v>
      </c>
      <c r="G149" s="4" t="s">
        <v>859</v>
      </c>
      <c r="H149" s="116"/>
      <c r="I149" s="116"/>
    </row>
    <row r="150" spans="2:10" s="247" customFormat="1">
      <c r="E150" s="3" t="s">
        <v>101</v>
      </c>
      <c r="G150" s="3" t="s">
        <v>102</v>
      </c>
      <c r="H150" s="116"/>
      <c r="I150" s="116"/>
    </row>
    <row r="151" spans="2:10" s="247" customFormat="1" ht="12.5">
      <c r="C151" s="246" t="s">
        <v>871</v>
      </c>
      <c r="E151" s="247" t="s">
        <v>872</v>
      </c>
      <c r="G151" s="552">
        <v>61903742199</v>
      </c>
      <c r="H151" s="116"/>
      <c r="I151" s="618"/>
    </row>
    <row r="152" spans="2:10" s="247" customFormat="1" ht="12.5">
      <c r="C152" s="246" t="s">
        <v>873</v>
      </c>
      <c r="E152" s="247" t="s">
        <v>874</v>
      </c>
      <c r="G152" s="267">
        <v>6891042</v>
      </c>
      <c r="H152" s="116"/>
      <c r="I152" s="116"/>
    </row>
    <row r="153" spans="2:10" s="247" customFormat="1" ht="12.5">
      <c r="C153" s="246" t="s">
        <v>875</v>
      </c>
      <c r="E153" s="247" t="s">
        <v>876</v>
      </c>
      <c r="G153" s="61">
        <v>41804483</v>
      </c>
      <c r="H153" s="116"/>
      <c r="I153" s="618"/>
    </row>
    <row r="154" spans="2:10" s="247" customFormat="1" ht="12.5">
      <c r="C154" s="246" t="s">
        <v>877</v>
      </c>
      <c r="E154" s="247" t="s">
        <v>878</v>
      </c>
      <c r="G154" s="249">
        <f>SUM(G151:G153)</f>
        <v>61952437724</v>
      </c>
      <c r="H154" s="116"/>
      <c r="I154" s="116"/>
    </row>
    <row r="155" spans="2:10" s="247" customFormat="1" ht="12.5">
      <c r="C155" s="246" t="s">
        <v>879</v>
      </c>
      <c r="E155" s="257" t="s">
        <v>880</v>
      </c>
      <c r="G155" s="212">
        <f>(G152+G153)/G154</f>
        <v>7.8601467172187878E-4</v>
      </c>
      <c r="H155" s="116"/>
      <c r="I155" s="116"/>
    </row>
    <row r="156" spans="2:10" s="247" customFormat="1" ht="12.5">
      <c r="C156" s="116" t="s">
        <v>881</v>
      </c>
      <c r="D156" s="116"/>
      <c r="E156" s="116"/>
      <c r="F156" s="116"/>
      <c r="G156" s="116"/>
      <c r="H156" s="116"/>
      <c r="I156" s="116"/>
    </row>
    <row r="157" spans="2:10" s="247" customFormat="1" ht="12.5">
      <c r="B157" s="116"/>
      <c r="C157" s="116"/>
      <c r="D157" s="116"/>
      <c r="E157" s="116"/>
      <c r="F157" s="116"/>
      <c r="G157" s="116"/>
      <c r="H157" s="116"/>
      <c r="I157" s="116"/>
      <c r="J157" s="116"/>
    </row>
    <row r="158" spans="2:10" s="247" customFormat="1">
      <c r="B158" s="116"/>
      <c r="C158" s="30"/>
      <c r="D158" s="116"/>
      <c r="E158" s="116"/>
      <c r="F158" s="116"/>
      <c r="G158" s="116"/>
      <c r="H158" s="116"/>
      <c r="I158" s="116"/>
      <c r="J158" s="116"/>
    </row>
    <row r="159" spans="2:10">
      <c r="C159" s="247"/>
      <c r="G159" s="696"/>
      <c r="H159" s="764"/>
      <c r="I159" s="116"/>
      <c r="J159" s="116"/>
    </row>
    <row r="160" spans="2:10">
      <c r="C160" s="247"/>
    </row>
    <row r="161" spans="3:3">
      <c r="C161" s="246"/>
    </row>
    <row r="162" spans="3:3">
      <c r="C162" s="246"/>
    </row>
  </sheetData>
  <protectedRanges>
    <protectedRange password="F1C4" sqref="D20:E23 E15:E19 D14:D15 D17:D18 I51 B7:C12 F20 D25:F30 D24 B14:C14 B13 B17:C30 C16 B15" name="AAReport1_23_1_1_2"/>
    <protectedRange password="F1C4" sqref="D19" name="AAReport1_23_1_1_1_1_1"/>
    <protectedRange password="F1C4" sqref="J32:J35 F44" name="AAReport1_23_1_1_2_1"/>
    <protectedRange password="F1C4" sqref="E24" name="AAReport1_23_1_1_2_3"/>
    <protectedRange password="F1C4" sqref="F32:F33" name="AAReport1_23_1_1_2_1_1"/>
    <protectedRange password="F1C4" sqref="I114 I107" name="AAReport1_23_1_1_2_2"/>
  </protectedRanges>
  <phoneticPr fontId="23" type="noConversion"/>
  <conditionalFormatting sqref="B108 B124">
    <cfRule type="expression" dxfId="25" priority="35" stopIfTrue="1">
      <formula>Formulas</formula>
    </cfRule>
  </conditionalFormatting>
  <conditionalFormatting sqref="C98:C107">
    <cfRule type="expression" dxfId="24" priority="12" stopIfTrue="1">
      <formula>#REF!&lt;&gt;""</formula>
    </cfRule>
  </conditionalFormatting>
  <conditionalFormatting sqref="C108 C123:C124">
    <cfRule type="expression" dxfId="23" priority="34" stopIfTrue="1">
      <formula>#REF!&lt;&gt;""</formula>
    </cfRule>
  </conditionalFormatting>
  <conditionalFormatting sqref="C114">
    <cfRule type="expression" dxfId="22" priority="14" stopIfTrue="1">
      <formula>#REF!&lt;&gt;""</formula>
    </cfRule>
  </conditionalFormatting>
  <conditionalFormatting sqref="C120:C122">
    <cfRule type="expression" dxfId="21" priority="6" stopIfTrue="1">
      <formula>#REF!&lt;&gt;""</formula>
    </cfRule>
  </conditionalFormatting>
  <conditionalFormatting sqref="D98:D108">
    <cfRule type="expression" dxfId="20" priority="13" stopIfTrue="1">
      <formula>Formulas</formula>
    </cfRule>
  </conditionalFormatting>
  <conditionalFormatting sqref="D114">
    <cfRule type="expression" dxfId="19" priority="15" stopIfTrue="1">
      <formula>Formulas</formula>
    </cfRule>
  </conditionalFormatting>
  <conditionalFormatting sqref="D120:D124">
    <cfRule type="expression" dxfId="18" priority="8" stopIfTrue="1">
      <formula>Formulas</formula>
    </cfRule>
  </conditionalFormatting>
  <conditionalFormatting sqref="E98">
    <cfRule type="expression" dxfId="17" priority="2" stopIfTrue="1">
      <formula>Formulas</formula>
    </cfRule>
  </conditionalFormatting>
  <conditionalFormatting sqref="E102:E105">
    <cfRule type="expression" dxfId="16" priority="1" stopIfTrue="1">
      <formula>Formulas</formula>
    </cfRule>
  </conditionalFormatting>
  <conditionalFormatting sqref="E120:E122">
    <cfRule type="expression" dxfId="15" priority="3" stopIfTrue="1">
      <formula>Formulas</formula>
    </cfRule>
  </conditionalFormatting>
  <pageMargins left="0.75" right="0.75" top="1" bottom="1" header="0.5" footer="0.5"/>
  <pageSetup scale="56" orientation="landscape" cellComments="asDisplayed" r:id="rId1"/>
  <headerFooter alignWithMargins="0">
    <oddHeader>&amp;C&amp;"Arial,Bold"Schedule 9-ADIT-1
ADIT
&amp;RTO2024 Annual Update 
Attachment 1</oddHeader>
    <oddFooter>&amp;R&amp;A</oddFooter>
  </headerFooter>
  <rowBreaks count="4" manualBreakCount="4">
    <brk id="24" max="16383" man="1"/>
    <brk id="54" max="16383" man="1"/>
    <brk id="90" max="9" man="1"/>
    <brk id="134"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90" zoomScaleNormal="90" zoomScalePageLayoutView="70" workbookViewId="0"/>
  </sheetViews>
  <sheetFormatPr defaultColWidth="14.54296875" defaultRowHeight="12.5"/>
  <cols>
    <col min="1" max="1" width="5.54296875" customWidth="1"/>
    <col min="2" max="2" width="36.81640625" customWidth="1"/>
    <col min="3" max="3" width="3.54296875" customWidth="1"/>
    <col min="4" max="5" width="14.26953125" customWidth="1"/>
    <col min="6" max="7" width="13.54296875" customWidth="1"/>
    <col min="10" max="10" width="15.26953125" customWidth="1"/>
    <col min="12" max="12" width="16" customWidth="1"/>
    <col min="13" max="13" width="15.453125" bestFit="1" customWidth="1"/>
  </cols>
  <sheetData>
    <row r="1" spans="1:14" ht="14.5">
      <c r="A1" s="763" t="s">
        <v>882</v>
      </c>
      <c r="B1" s="706"/>
      <c r="C1" s="706"/>
      <c r="D1" s="706"/>
      <c r="E1" s="706"/>
      <c r="F1" s="706"/>
      <c r="G1" s="706"/>
      <c r="H1" s="706"/>
      <c r="I1" s="706"/>
      <c r="J1" s="706"/>
      <c r="K1" s="706"/>
      <c r="L1" s="706"/>
      <c r="M1" s="706"/>
      <c r="N1" s="707"/>
    </row>
    <row r="2" spans="1:14" ht="13">
      <c r="A2" s="708"/>
      <c r="B2" s="705"/>
      <c r="C2" s="705"/>
      <c r="D2" s="708"/>
      <c r="E2" s="708"/>
      <c r="F2" s="708"/>
      <c r="G2" s="708"/>
      <c r="H2" s="708"/>
      <c r="I2" s="708"/>
      <c r="J2" s="708"/>
      <c r="L2" s="709" t="s">
        <v>641</v>
      </c>
      <c r="M2" s="710">
        <v>2022</v>
      </c>
      <c r="N2" s="359"/>
    </row>
    <row r="3" spans="1:14">
      <c r="A3" s="708"/>
      <c r="B3" s="708"/>
      <c r="C3" s="708"/>
      <c r="D3" s="708"/>
      <c r="E3" s="708"/>
      <c r="F3" s="708"/>
      <c r="G3" s="708"/>
      <c r="H3" s="708"/>
      <c r="I3" s="708"/>
      <c r="J3" s="708"/>
      <c r="K3" s="708"/>
      <c r="L3" s="708"/>
      <c r="M3" s="708"/>
      <c r="N3" s="359"/>
    </row>
    <row r="4" spans="1:14" ht="13">
      <c r="A4" s="711"/>
      <c r="B4" s="712" t="s">
        <v>883</v>
      </c>
      <c r="C4" s="712"/>
      <c r="D4" s="712" t="s">
        <v>884</v>
      </c>
      <c r="E4" s="712" t="s">
        <v>885</v>
      </c>
      <c r="F4" s="712" t="s">
        <v>886</v>
      </c>
      <c r="G4" s="712" t="s">
        <v>887</v>
      </c>
      <c r="H4" s="712" t="s">
        <v>888</v>
      </c>
      <c r="I4" s="712" t="s">
        <v>889</v>
      </c>
      <c r="J4" s="712" t="s">
        <v>890</v>
      </c>
      <c r="K4" s="712" t="s">
        <v>891</v>
      </c>
      <c r="L4" s="712" t="s">
        <v>892</v>
      </c>
      <c r="M4" s="712" t="s">
        <v>893</v>
      </c>
      <c r="N4" s="713"/>
    </row>
    <row r="5" spans="1:14" ht="13.5" thickBot="1">
      <c r="A5" s="359"/>
      <c r="B5" s="714"/>
      <c r="C5" s="714"/>
      <c r="D5" s="714"/>
      <c r="E5" s="714"/>
      <c r="F5" s="713"/>
      <c r="G5" s="713"/>
      <c r="H5" s="713"/>
      <c r="I5" s="713"/>
      <c r="J5" s="714"/>
      <c r="K5" s="713"/>
      <c r="L5" s="1001" t="s">
        <v>126</v>
      </c>
      <c r="M5" s="1001" t="s">
        <v>2697</v>
      </c>
      <c r="N5" s="714"/>
    </row>
    <row r="6" spans="1:14" ht="13.5" thickBot="1">
      <c r="A6" s="359"/>
      <c r="B6" s="714"/>
      <c r="C6" s="1030"/>
      <c r="D6" s="715" t="s">
        <v>894</v>
      </c>
      <c r="E6" s="715" t="s">
        <v>894</v>
      </c>
      <c r="F6" s="715" t="s">
        <v>894</v>
      </c>
      <c r="G6" s="715" t="s">
        <v>894</v>
      </c>
      <c r="H6" s="715" t="s">
        <v>894</v>
      </c>
      <c r="I6" s="715" t="s">
        <v>894</v>
      </c>
      <c r="J6" s="716" t="s">
        <v>895</v>
      </c>
      <c r="K6" s="716" t="s">
        <v>896</v>
      </c>
      <c r="L6" s="716" t="s">
        <v>897</v>
      </c>
      <c r="M6" s="716" t="s">
        <v>897</v>
      </c>
      <c r="N6" s="714"/>
    </row>
    <row r="7" spans="1:14" ht="87" customHeight="1" thickBot="1">
      <c r="A7" s="717" t="s">
        <v>273</v>
      </c>
      <c r="B7" s="359"/>
      <c r="C7" s="718"/>
      <c r="D7" s="990" t="s">
        <v>2897</v>
      </c>
      <c r="E7" s="990" t="s">
        <v>2898</v>
      </c>
      <c r="F7" s="990" t="s">
        <v>898</v>
      </c>
      <c r="G7" s="990" t="s">
        <v>2899</v>
      </c>
      <c r="H7" s="991" t="s">
        <v>2925</v>
      </c>
      <c r="I7" s="990" t="s">
        <v>2900</v>
      </c>
      <c r="J7" s="990" t="s">
        <v>2901</v>
      </c>
      <c r="K7" s="991" t="s">
        <v>899</v>
      </c>
      <c r="L7" s="990" t="s">
        <v>2902</v>
      </c>
      <c r="M7" s="990" t="s">
        <v>2903</v>
      </c>
      <c r="N7" s="719"/>
    </row>
    <row r="8" spans="1:14" ht="13">
      <c r="A8" s="720">
        <v>1</v>
      </c>
      <c r="B8" s="721" t="s">
        <v>900</v>
      </c>
      <c r="C8" s="722"/>
      <c r="D8" s="708"/>
      <c r="E8" s="708"/>
      <c r="F8" s="708"/>
      <c r="G8" s="708"/>
      <c r="H8" s="708"/>
      <c r="I8" s="708"/>
      <c r="J8" s="708"/>
      <c r="K8" s="708"/>
      <c r="L8" s="708"/>
      <c r="M8" s="708"/>
      <c r="N8" s="359"/>
    </row>
    <row r="9" spans="1:14" ht="13">
      <c r="A9" s="720">
        <f t="shared" ref="A9:A45" si="0">+A8+1</f>
        <v>2</v>
      </c>
      <c r="B9" s="723" t="s">
        <v>901</v>
      </c>
      <c r="C9" s="724"/>
      <c r="D9" s="725">
        <v>0</v>
      </c>
      <c r="E9" s="725">
        <v>-587906008</v>
      </c>
      <c r="F9" s="725"/>
      <c r="G9" s="1036"/>
      <c r="H9" s="725"/>
      <c r="I9" s="1036">
        <v>13004135</v>
      </c>
      <c r="J9" s="765">
        <f>SUM(D9:I9)</f>
        <v>-574901873</v>
      </c>
      <c r="K9" s="765">
        <f>'9-ADIT-3'!I12</f>
        <v>0</v>
      </c>
      <c r="L9" s="765">
        <f>IF(+J9+K9&gt;0,+J9+K9,0)</f>
        <v>0</v>
      </c>
      <c r="M9" s="765">
        <f>IF(+J9+K9&gt;0,0,+J9+K9)</f>
        <v>-574901873</v>
      </c>
      <c r="N9" s="359"/>
    </row>
    <row r="10" spans="1:14" ht="13">
      <c r="A10" s="720">
        <f t="shared" si="0"/>
        <v>3</v>
      </c>
      <c r="B10" s="723" t="s">
        <v>902</v>
      </c>
      <c r="C10" s="724"/>
      <c r="D10" s="725">
        <v>5163999</v>
      </c>
      <c r="E10" s="725"/>
      <c r="F10" s="1036"/>
      <c r="G10" s="725"/>
      <c r="H10" s="725">
        <v>-890020</v>
      </c>
      <c r="I10" s="725"/>
      <c r="J10" s="765">
        <f t="shared" ref="J10:J13" si="1">SUM(D10:I10)</f>
        <v>4273979</v>
      </c>
      <c r="K10" s="765">
        <f>'9-ADIT-3'!I13</f>
        <v>0</v>
      </c>
      <c r="L10" s="765">
        <f t="shared" ref="L10:L12" si="2">IF(+J10+K10&gt;0,+J10+K10,0)</f>
        <v>4273979</v>
      </c>
      <c r="M10" s="765">
        <f t="shared" ref="M10:M12" si="3">IF(+J10+K10&gt;0,0,+J10+K10)</f>
        <v>0</v>
      </c>
      <c r="N10" s="359"/>
    </row>
    <row r="11" spans="1:14" ht="13">
      <c r="A11" s="720">
        <f t="shared" si="0"/>
        <v>4</v>
      </c>
      <c r="B11" s="723" t="s">
        <v>903</v>
      </c>
      <c r="C11" s="724"/>
      <c r="D11" s="725">
        <v>2245212</v>
      </c>
      <c r="E11" s="725"/>
      <c r="F11" s="725"/>
      <c r="G11" s="725"/>
      <c r="H11" s="725">
        <v>-898085</v>
      </c>
      <c r="I11" s="725"/>
      <c r="J11" s="765">
        <f t="shared" si="1"/>
        <v>1347127</v>
      </c>
      <c r="K11" s="765">
        <f>'9-ADIT-3'!I14</f>
        <v>0</v>
      </c>
      <c r="L11" s="765">
        <f t="shared" si="2"/>
        <v>1347127</v>
      </c>
      <c r="M11" s="765">
        <f t="shared" si="3"/>
        <v>0</v>
      </c>
      <c r="N11" s="359"/>
    </row>
    <row r="12" spans="1:14" ht="13">
      <c r="A12" s="720">
        <f t="shared" si="0"/>
        <v>5</v>
      </c>
      <c r="B12" s="723" t="s">
        <v>904</v>
      </c>
      <c r="C12" s="724"/>
      <c r="D12" s="725">
        <v>20657160</v>
      </c>
      <c r="E12" s="725"/>
      <c r="F12" s="725"/>
      <c r="G12" s="725"/>
      <c r="H12" s="725">
        <v>-18245</v>
      </c>
      <c r="I12" s="725"/>
      <c r="J12" s="765">
        <f t="shared" si="1"/>
        <v>20638915</v>
      </c>
      <c r="K12" s="765">
        <f>'9-ADIT-3'!I15</f>
        <v>0</v>
      </c>
      <c r="L12" s="765">
        <f t="shared" si="2"/>
        <v>20638915</v>
      </c>
      <c r="M12" s="765">
        <f t="shared" si="3"/>
        <v>0</v>
      </c>
      <c r="N12" s="359"/>
    </row>
    <row r="13" spans="1:14" ht="13">
      <c r="A13" s="720">
        <f t="shared" si="0"/>
        <v>6</v>
      </c>
      <c r="B13" s="726" t="s">
        <v>822</v>
      </c>
      <c r="C13" s="727"/>
      <c r="D13" s="725"/>
      <c r="E13" s="725"/>
      <c r="F13" s="725"/>
      <c r="G13" s="725"/>
      <c r="H13" s="725"/>
      <c r="I13" s="725"/>
      <c r="J13" s="765">
        <f t="shared" si="1"/>
        <v>0</v>
      </c>
      <c r="K13" s="765"/>
      <c r="L13" s="765"/>
      <c r="M13" s="765"/>
      <c r="N13" s="359"/>
    </row>
    <row r="14" spans="1:14" ht="13">
      <c r="A14" s="728" t="s">
        <v>905</v>
      </c>
      <c r="B14" s="729" t="s">
        <v>906</v>
      </c>
      <c r="C14" s="730"/>
      <c r="D14" s="766">
        <f t="shared" ref="D14:M14" si="4">SUM(D9:D13)</f>
        <v>28066371</v>
      </c>
      <c r="E14" s="766">
        <f t="shared" si="4"/>
        <v>-587906008</v>
      </c>
      <c r="F14" s="766">
        <f t="shared" si="4"/>
        <v>0</v>
      </c>
      <c r="G14" s="766">
        <f t="shared" si="4"/>
        <v>0</v>
      </c>
      <c r="H14" s="766">
        <f t="shared" si="4"/>
        <v>-1806350</v>
      </c>
      <c r="I14" s="766">
        <f t="shared" si="4"/>
        <v>13004135</v>
      </c>
      <c r="J14" s="766">
        <f t="shared" si="4"/>
        <v>-548641852</v>
      </c>
      <c r="K14" s="766">
        <f t="shared" si="4"/>
        <v>0</v>
      </c>
      <c r="L14" s="766">
        <f t="shared" si="4"/>
        <v>26260021</v>
      </c>
      <c r="M14" s="766">
        <f t="shared" si="4"/>
        <v>-574901873</v>
      </c>
      <c r="N14" s="359"/>
    </row>
    <row r="15" spans="1:14" ht="13">
      <c r="A15" s="720"/>
      <c r="B15" s="723"/>
      <c r="C15" s="730"/>
      <c r="D15" s="723"/>
      <c r="E15" s="723"/>
      <c r="F15" s="723"/>
      <c r="G15" s="723"/>
      <c r="H15" s="723"/>
      <c r="I15" s="723"/>
      <c r="J15" s="723"/>
      <c r="K15" s="723"/>
      <c r="L15" s="723"/>
      <c r="M15" s="723"/>
      <c r="N15" s="359"/>
    </row>
    <row r="16" spans="1:14" ht="13">
      <c r="A16" s="720">
        <v>100</v>
      </c>
      <c r="B16" s="731" t="s">
        <v>907</v>
      </c>
      <c r="C16" s="732"/>
      <c r="D16" s="723"/>
      <c r="E16" s="723"/>
      <c r="F16" s="723"/>
      <c r="G16" s="723"/>
      <c r="H16" s="723"/>
      <c r="I16" s="723"/>
      <c r="J16" s="723"/>
      <c r="K16" s="723"/>
      <c r="L16" s="723"/>
      <c r="M16" s="723"/>
      <c r="N16" s="359"/>
    </row>
    <row r="17" spans="1:14" ht="13">
      <c r="A17" s="720">
        <f t="shared" si="0"/>
        <v>101</v>
      </c>
      <c r="B17" s="723" t="s">
        <v>908</v>
      </c>
      <c r="C17" s="724"/>
      <c r="D17" s="725"/>
      <c r="E17" s="725"/>
      <c r="F17" s="725"/>
      <c r="G17" s="725"/>
      <c r="H17" s="725"/>
      <c r="I17" s="725"/>
      <c r="J17" s="765">
        <f t="shared" ref="J17:J23" si="5">SUM(D17:I17)</f>
        <v>0</v>
      </c>
      <c r="K17" s="765">
        <f>'9-ADIT-3'!I20</f>
        <v>0</v>
      </c>
      <c r="L17" s="765">
        <f t="shared" ref="L17:L22" si="6">IF(+J17+K17&gt;0,+J17+K17,0)</f>
        <v>0</v>
      </c>
      <c r="M17" s="765">
        <f t="shared" ref="M17:M22" si="7">IF(+J17+K17&gt;0,0,+J17+K17)</f>
        <v>0</v>
      </c>
      <c r="N17" s="359"/>
    </row>
    <row r="18" spans="1:14" ht="13">
      <c r="A18" s="720">
        <f t="shared" si="0"/>
        <v>102</v>
      </c>
      <c r="B18" s="723" t="s">
        <v>909</v>
      </c>
      <c r="C18" s="724"/>
      <c r="D18" s="725"/>
      <c r="E18" s="725"/>
      <c r="F18" s="725"/>
      <c r="G18" s="725"/>
      <c r="H18" s="725"/>
      <c r="I18" s="725"/>
      <c r="J18" s="765">
        <f t="shared" si="5"/>
        <v>0</v>
      </c>
      <c r="K18" s="765">
        <f>'9-ADIT-3'!I21</f>
        <v>0</v>
      </c>
      <c r="L18" s="765">
        <f t="shared" si="6"/>
        <v>0</v>
      </c>
      <c r="M18" s="765">
        <f t="shared" si="7"/>
        <v>0</v>
      </c>
      <c r="N18" s="359"/>
    </row>
    <row r="19" spans="1:14" ht="13">
      <c r="A19" s="720">
        <f t="shared" si="0"/>
        <v>103</v>
      </c>
      <c r="B19" s="723" t="s">
        <v>910</v>
      </c>
      <c r="C19" s="724"/>
      <c r="D19" s="725"/>
      <c r="E19" s="725"/>
      <c r="F19" s="725"/>
      <c r="G19" s="725"/>
      <c r="H19" s="725"/>
      <c r="I19" s="725"/>
      <c r="J19" s="765">
        <f t="shared" si="5"/>
        <v>0</v>
      </c>
      <c r="K19" s="765">
        <f>'9-ADIT-3'!I22</f>
        <v>0</v>
      </c>
      <c r="L19" s="765">
        <f t="shared" si="6"/>
        <v>0</v>
      </c>
      <c r="M19" s="765">
        <f t="shared" si="7"/>
        <v>0</v>
      </c>
      <c r="N19" s="359"/>
    </row>
    <row r="20" spans="1:14" ht="13">
      <c r="A20" s="720">
        <f t="shared" si="0"/>
        <v>104</v>
      </c>
      <c r="B20" s="723" t="s">
        <v>911</v>
      </c>
      <c r="C20" s="724"/>
      <c r="D20" s="725"/>
      <c r="E20" s="725"/>
      <c r="F20" s="725"/>
      <c r="G20" s="725"/>
      <c r="H20" s="725"/>
      <c r="I20" s="725"/>
      <c r="J20" s="765">
        <f t="shared" si="5"/>
        <v>0</v>
      </c>
      <c r="K20" s="765">
        <f>'9-ADIT-3'!I23</f>
        <v>0</v>
      </c>
      <c r="L20" s="765">
        <f t="shared" si="6"/>
        <v>0</v>
      </c>
      <c r="M20" s="765">
        <f t="shared" si="7"/>
        <v>0</v>
      </c>
      <c r="N20" s="359"/>
    </row>
    <row r="21" spans="1:14" ht="13">
      <c r="A21" s="720">
        <f t="shared" si="0"/>
        <v>105</v>
      </c>
      <c r="B21" s="723" t="s">
        <v>912</v>
      </c>
      <c r="C21" s="724"/>
      <c r="D21" s="725"/>
      <c r="E21" s="725"/>
      <c r="F21" s="725"/>
      <c r="G21" s="725"/>
      <c r="H21" s="725"/>
      <c r="I21" s="725"/>
      <c r="J21" s="765">
        <f t="shared" si="5"/>
        <v>0</v>
      </c>
      <c r="K21" s="765">
        <f>'9-ADIT-3'!I24</f>
        <v>0</v>
      </c>
      <c r="L21" s="765">
        <f t="shared" si="6"/>
        <v>0</v>
      </c>
      <c r="M21" s="765">
        <f t="shared" si="7"/>
        <v>0</v>
      </c>
      <c r="N21" s="359"/>
    </row>
    <row r="22" spans="1:14" ht="13">
      <c r="A22" s="720">
        <f t="shared" si="0"/>
        <v>106</v>
      </c>
      <c r="B22" s="723" t="s">
        <v>913</v>
      </c>
      <c r="C22" s="724"/>
      <c r="D22" s="725"/>
      <c r="E22" s="725"/>
      <c r="F22" s="725"/>
      <c r="G22" s="725"/>
      <c r="H22" s="725"/>
      <c r="I22" s="725"/>
      <c r="J22" s="765">
        <f t="shared" si="5"/>
        <v>0</v>
      </c>
      <c r="K22" s="765">
        <f>'9-ADIT-3'!I25</f>
        <v>0</v>
      </c>
      <c r="L22" s="765">
        <f t="shared" si="6"/>
        <v>0</v>
      </c>
      <c r="M22" s="765">
        <f t="shared" si="7"/>
        <v>0</v>
      </c>
      <c r="N22" s="359"/>
    </row>
    <row r="23" spans="1:14" ht="13">
      <c r="A23" s="720">
        <f t="shared" si="0"/>
        <v>107</v>
      </c>
      <c r="B23" s="726" t="s">
        <v>822</v>
      </c>
      <c r="C23" s="727"/>
      <c r="D23" s="725"/>
      <c r="E23" s="725"/>
      <c r="F23" s="725"/>
      <c r="G23" s="725"/>
      <c r="H23" s="725"/>
      <c r="I23" s="725"/>
      <c r="J23" s="765">
        <f t="shared" si="5"/>
        <v>0</v>
      </c>
      <c r="K23" s="765"/>
      <c r="L23" s="765"/>
      <c r="M23" s="765"/>
      <c r="N23" s="359"/>
    </row>
    <row r="24" spans="1:14" ht="13">
      <c r="A24" s="728" t="s">
        <v>914</v>
      </c>
      <c r="B24" s="729" t="s">
        <v>915</v>
      </c>
      <c r="C24" s="730"/>
      <c r="D24" s="767">
        <f t="shared" ref="D24:M24" si="8">SUM(D17:D23)</f>
        <v>0</v>
      </c>
      <c r="E24" s="767">
        <f t="shared" si="8"/>
        <v>0</v>
      </c>
      <c r="F24" s="767">
        <f t="shared" si="8"/>
        <v>0</v>
      </c>
      <c r="G24" s="767">
        <f t="shared" si="8"/>
        <v>0</v>
      </c>
      <c r="H24" s="767">
        <f t="shared" si="8"/>
        <v>0</v>
      </c>
      <c r="I24" s="767">
        <f t="shared" si="8"/>
        <v>0</v>
      </c>
      <c r="J24" s="767">
        <f t="shared" si="8"/>
        <v>0</v>
      </c>
      <c r="K24" s="767">
        <f t="shared" si="8"/>
        <v>0</v>
      </c>
      <c r="L24" s="767">
        <f t="shared" si="8"/>
        <v>0</v>
      </c>
      <c r="M24" s="767">
        <f t="shared" si="8"/>
        <v>0</v>
      </c>
      <c r="N24" s="359"/>
    </row>
    <row r="25" spans="1:14" ht="13">
      <c r="A25" s="720"/>
      <c r="B25" s="723"/>
      <c r="C25" s="730"/>
      <c r="D25" s="116"/>
      <c r="E25" s="116"/>
      <c r="F25" s="116"/>
      <c r="G25" s="116"/>
      <c r="H25" s="116"/>
      <c r="I25" s="116"/>
      <c r="J25" s="116"/>
      <c r="K25" s="116"/>
      <c r="L25" s="116"/>
      <c r="M25" s="733"/>
      <c r="N25" s="359"/>
    </row>
    <row r="26" spans="1:14" ht="13">
      <c r="A26" s="728" t="s">
        <v>916</v>
      </c>
      <c r="B26" s="734" t="s">
        <v>917</v>
      </c>
      <c r="C26" s="724"/>
      <c r="D26" s="735">
        <v>56284888</v>
      </c>
      <c r="E26" s="735"/>
      <c r="F26" s="735">
        <v>0</v>
      </c>
      <c r="G26" s="735"/>
      <c r="H26" s="735">
        <v>0</v>
      </c>
      <c r="I26" s="735"/>
      <c r="J26" s="768">
        <f>SUM(D26:I26)</f>
        <v>56284888</v>
      </c>
      <c r="K26" s="768">
        <f>'9-ADIT-3'!I29</f>
        <v>0</v>
      </c>
      <c r="L26" s="768">
        <f>IF(+J26+K26&gt;0,+J26+K26,0)</f>
        <v>56284888</v>
      </c>
      <c r="M26" s="768">
        <f>IF(+J26+K26&gt;0,0,+J26+K26)</f>
        <v>0</v>
      </c>
      <c r="N26" s="359"/>
    </row>
    <row r="27" spans="1:14" ht="13">
      <c r="A27" s="720"/>
      <c r="B27" s="723"/>
      <c r="C27" s="730"/>
      <c r="D27" s="116"/>
      <c r="E27" s="116"/>
      <c r="F27" s="116"/>
      <c r="G27" s="116"/>
      <c r="H27" s="116"/>
      <c r="I27" s="116"/>
      <c r="J27" s="116"/>
      <c r="K27" s="116"/>
      <c r="L27" s="116"/>
      <c r="M27" s="116"/>
      <c r="N27" s="359"/>
    </row>
    <row r="28" spans="1:14" ht="13.5" thickBot="1">
      <c r="A28" s="728" t="s">
        <v>918</v>
      </c>
      <c r="B28" s="736" t="s">
        <v>919</v>
      </c>
      <c r="C28" s="737"/>
      <c r="D28" s="769">
        <f t="shared" ref="D28:M28" si="9">+D26+D24+D14</f>
        <v>84351259</v>
      </c>
      <c r="E28" s="769">
        <f t="shared" si="9"/>
        <v>-587906008</v>
      </c>
      <c r="F28" s="769">
        <f t="shared" si="9"/>
        <v>0</v>
      </c>
      <c r="G28" s="769">
        <f t="shared" si="9"/>
        <v>0</v>
      </c>
      <c r="H28" s="769">
        <f t="shared" si="9"/>
        <v>-1806350</v>
      </c>
      <c r="I28" s="769">
        <f t="shared" si="9"/>
        <v>13004135</v>
      </c>
      <c r="J28" s="769">
        <f t="shared" si="9"/>
        <v>-492356964</v>
      </c>
      <c r="K28" s="769">
        <f t="shared" si="9"/>
        <v>0</v>
      </c>
      <c r="L28" s="769">
        <f t="shared" si="9"/>
        <v>82544909</v>
      </c>
      <c r="M28" s="769">
        <f t="shared" si="9"/>
        <v>-574901873</v>
      </c>
      <c r="N28" s="359"/>
    </row>
    <row r="29" spans="1:14" ht="13.5" thickTop="1">
      <c r="A29" s="720"/>
      <c r="B29" s="738"/>
      <c r="C29" s="739"/>
      <c r="D29" s="723"/>
      <c r="E29" s="723"/>
      <c r="F29" s="723"/>
      <c r="G29" s="723"/>
      <c r="H29" s="723"/>
      <c r="I29" s="723"/>
      <c r="J29" s="723"/>
      <c r="K29" s="723"/>
      <c r="L29" s="723"/>
      <c r="M29" s="723"/>
      <c r="N29" s="359"/>
    </row>
    <row r="30" spans="1:14" ht="13">
      <c r="A30" s="728" t="s">
        <v>920</v>
      </c>
      <c r="B30" s="731" t="s">
        <v>921</v>
      </c>
      <c r="C30" s="732"/>
      <c r="D30" s="723"/>
      <c r="E30" s="723"/>
      <c r="F30" s="723"/>
      <c r="G30" s="723"/>
      <c r="H30" s="723"/>
      <c r="I30" s="723"/>
      <c r="J30" s="723"/>
      <c r="K30" s="723"/>
      <c r="L30" s="723"/>
      <c r="M30" s="723"/>
      <c r="N30" s="359"/>
    </row>
    <row r="31" spans="1:14" ht="13">
      <c r="A31" s="720">
        <f t="shared" si="0"/>
        <v>301</v>
      </c>
      <c r="B31" s="723" t="s">
        <v>815</v>
      </c>
      <c r="C31" s="724"/>
      <c r="D31" s="725"/>
      <c r="E31" s="725"/>
      <c r="F31" s="725"/>
      <c r="G31" s="725"/>
      <c r="H31" s="725"/>
      <c r="I31" s="725"/>
      <c r="J31" s="765">
        <f t="shared" ref="J31:J45" si="10">SUM(D31:I31)</f>
        <v>0</v>
      </c>
      <c r="K31" s="765">
        <f>'9-ADIT-3'!I34</f>
        <v>0</v>
      </c>
      <c r="L31" s="765">
        <f t="shared" ref="L31:L44" si="11">IF(+J31+K31&gt;0,+J31+K31,0)</f>
        <v>0</v>
      </c>
      <c r="M31" s="765">
        <f t="shared" ref="M31:M44" si="12">IF(+J31+K31&gt;0,0,+J31+K31)</f>
        <v>0</v>
      </c>
      <c r="N31" s="359"/>
    </row>
    <row r="32" spans="1:14" ht="13">
      <c r="A32" s="720">
        <f t="shared" si="0"/>
        <v>302</v>
      </c>
      <c r="B32" s="723" t="s">
        <v>816</v>
      </c>
      <c r="C32" s="724"/>
      <c r="D32" s="725"/>
      <c r="E32" s="725"/>
      <c r="F32" s="725"/>
      <c r="G32" s="725"/>
      <c r="H32" s="725"/>
      <c r="I32" s="725"/>
      <c r="J32" s="765">
        <f t="shared" si="10"/>
        <v>0</v>
      </c>
      <c r="K32" s="765">
        <f>'9-ADIT-3'!I35</f>
        <v>0</v>
      </c>
      <c r="L32" s="765">
        <f t="shared" si="11"/>
        <v>0</v>
      </c>
      <c r="M32" s="765">
        <f t="shared" si="12"/>
        <v>0</v>
      </c>
      <c r="N32" s="359"/>
    </row>
    <row r="33" spans="1:14" ht="13">
      <c r="A33" s="720">
        <f t="shared" si="0"/>
        <v>303</v>
      </c>
      <c r="B33" s="723" t="s">
        <v>817</v>
      </c>
      <c r="C33" s="724"/>
      <c r="D33" s="725"/>
      <c r="E33" s="725"/>
      <c r="F33" s="725"/>
      <c r="G33" s="725"/>
      <c r="H33" s="725"/>
      <c r="I33" s="725"/>
      <c r="J33" s="765">
        <f t="shared" si="10"/>
        <v>0</v>
      </c>
      <c r="K33" s="765">
        <f>'9-ADIT-3'!I36</f>
        <v>0</v>
      </c>
      <c r="L33" s="765">
        <f t="shared" si="11"/>
        <v>0</v>
      </c>
      <c r="M33" s="765">
        <f t="shared" si="12"/>
        <v>0</v>
      </c>
      <c r="N33" s="359"/>
    </row>
    <row r="34" spans="1:14" ht="13">
      <c r="A34" s="720">
        <f t="shared" si="0"/>
        <v>304</v>
      </c>
      <c r="B34" s="723" t="s">
        <v>922</v>
      </c>
      <c r="C34" s="724"/>
      <c r="D34" s="725"/>
      <c r="E34" s="725"/>
      <c r="F34" s="725"/>
      <c r="G34" s="725"/>
      <c r="H34" s="725"/>
      <c r="I34" s="725"/>
      <c r="J34" s="765">
        <f t="shared" si="10"/>
        <v>0</v>
      </c>
      <c r="K34" s="765">
        <f>'9-ADIT-3'!I37</f>
        <v>0</v>
      </c>
      <c r="L34" s="765">
        <f t="shared" si="11"/>
        <v>0</v>
      </c>
      <c r="M34" s="765">
        <f t="shared" si="12"/>
        <v>0</v>
      </c>
      <c r="N34" s="359"/>
    </row>
    <row r="35" spans="1:14" ht="13">
      <c r="A35" s="720">
        <f t="shared" si="0"/>
        <v>305</v>
      </c>
      <c r="B35" s="723" t="s">
        <v>923</v>
      </c>
      <c r="C35" s="724"/>
      <c r="D35" s="725"/>
      <c r="E35" s="725"/>
      <c r="F35" s="725"/>
      <c r="G35" s="725"/>
      <c r="H35" s="725"/>
      <c r="I35" s="725"/>
      <c r="J35" s="765">
        <f t="shared" si="10"/>
        <v>0</v>
      </c>
      <c r="K35" s="765">
        <f>'9-ADIT-3'!I38</f>
        <v>0</v>
      </c>
      <c r="L35" s="765">
        <f t="shared" si="11"/>
        <v>0</v>
      </c>
      <c r="M35" s="765">
        <f t="shared" si="12"/>
        <v>0</v>
      </c>
      <c r="N35" s="359"/>
    </row>
    <row r="36" spans="1:14" ht="13">
      <c r="A36" s="720">
        <f t="shared" si="0"/>
        <v>306</v>
      </c>
      <c r="B36" s="723" t="s">
        <v>818</v>
      </c>
      <c r="C36" s="724"/>
      <c r="D36" s="725"/>
      <c r="E36" s="725"/>
      <c r="F36" s="725"/>
      <c r="G36" s="725"/>
      <c r="H36" s="725"/>
      <c r="I36" s="725"/>
      <c r="J36" s="765">
        <f t="shared" si="10"/>
        <v>0</v>
      </c>
      <c r="K36" s="765">
        <f>'9-ADIT-3'!I39</f>
        <v>0</v>
      </c>
      <c r="L36" s="765">
        <f t="shared" si="11"/>
        <v>0</v>
      </c>
      <c r="M36" s="765">
        <f t="shared" si="12"/>
        <v>0</v>
      </c>
      <c r="N36" s="359"/>
    </row>
    <row r="37" spans="1:14" ht="13">
      <c r="A37" s="720">
        <f t="shared" si="0"/>
        <v>307</v>
      </c>
      <c r="B37" s="723" t="s">
        <v>819</v>
      </c>
      <c r="C37" s="724"/>
      <c r="D37" s="725"/>
      <c r="E37" s="725"/>
      <c r="F37" s="725"/>
      <c r="G37" s="725"/>
      <c r="H37" s="725"/>
      <c r="I37" s="725"/>
      <c r="J37" s="765">
        <f t="shared" si="10"/>
        <v>0</v>
      </c>
      <c r="K37" s="765">
        <f>'9-ADIT-3'!I40</f>
        <v>0</v>
      </c>
      <c r="L37" s="765">
        <f t="shared" si="11"/>
        <v>0</v>
      </c>
      <c r="M37" s="765">
        <f t="shared" si="12"/>
        <v>0</v>
      </c>
      <c r="N37" s="359"/>
    </row>
    <row r="38" spans="1:14" ht="13">
      <c r="A38" s="720">
        <f t="shared" si="0"/>
        <v>308</v>
      </c>
      <c r="B38" s="723" t="s">
        <v>924</v>
      </c>
      <c r="C38" s="724"/>
      <c r="D38" s="725"/>
      <c r="E38" s="725"/>
      <c r="F38" s="725"/>
      <c r="G38" s="725"/>
      <c r="H38" s="725"/>
      <c r="I38" s="725"/>
      <c r="J38" s="765">
        <f t="shared" si="10"/>
        <v>0</v>
      </c>
      <c r="K38" s="765">
        <f>'9-ADIT-3'!I41</f>
        <v>0</v>
      </c>
      <c r="L38" s="765">
        <f t="shared" si="11"/>
        <v>0</v>
      </c>
      <c r="M38" s="765">
        <f t="shared" si="12"/>
        <v>0</v>
      </c>
      <c r="N38" s="359"/>
    </row>
    <row r="39" spans="1:14" ht="13">
      <c r="A39" s="720">
        <f t="shared" si="0"/>
        <v>309</v>
      </c>
      <c r="B39" s="723" t="s">
        <v>827</v>
      </c>
      <c r="C39" s="724"/>
      <c r="D39" s="725"/>
      <c r="E39" s="725"/>
      <c r="F39" s="725"/>
      <c r="G39" s="725"/>
      <c r="H39" s="725"/>
      <c r="I39" s="725"/>
      <c r="J39" s="765">
        <f t="shared" si="10"/>
        <v>0</v>
      </c>
      <c r="K39" s="765">
        <f>'9-ADIT-3'!I42</f>
        <v>0</v>
      </c>
      <c r="L39" s="765">
        <f t="shared" si="11"/>
        <v>0</v>
      </c>
      <c r="M39" s="765">
        <f t="shared" si="12"/>
        <v>0</v>
      </c>
      <c r="N39" s="359"/>
    </row>
    <row r="40" spans="1:14" ht="13">
      <c r="A40" s="720">
        <f t="shared" si="0"/>
        <v>310</v>
      </c>
      <c r="B40" s="723" t="s">
        <v>820</v>
      </c>
      <c r="C40" s="724"/>
      <c r="D40" s="725"/>
      <c r="E40" s="725"/>
      <c r="F40" s="725"/>
      <c r="G40" s="725"/>
      <c r="H40" s="725"/>
      <c r="I40" s="725"/>
      <c r="J40" s="765">
        <f t="shared" si="10"/>
        <v>0</v>
      </c>
      <c r="K40" s="765">
        <f>'9-ADIT-3'!I43</f>
        <v>0</v>
      </c>
      <c r="L40" s="765">
        <f t="shared" si="11"/>
        <v>0</v>
      </c>
      <c r="M40" s="765">
        <f t="shared" si="12"/>
        <v>0</v>
      </c>
      <c r="N40" s="359"/>
    </row>
    <row r="41" spans="1:14" ht="13">
      <c r="A41" s="720">
        <f t="shared" si="0"/>
        <v>311</v>
      </c>
      <c r="B41" s="723" t="s">
        <v>821</v>
      </c>
      <c r="C41" s="724"/>
      <c r="D41" s="725"/>
      <c r="E41" s="725"/>
      <c r="F41" s="725"/>
      <c r="G41" s="725"/>
      <c r="H41" s="725"/>
      <c r="I41" s="725"/>
      <c r="J41" s="765">
        <f t="shared" si="10"/>
        <v>0</v>
      </c>
      <c r="K41" s="765">
        <f>'9-ADIT-3'!I44</f>
        <v>0</v>
      </c>
      <c r="L41" s="765">
        <f t="shared" si="11"/>
        <v>0</v>
      </c>
      <c r="M41" s="765">
        <f t="shared" si="12"/>
        <v>0</v>
      </c>
      <c r="N41" s="359"/>
    </row>
    <row r="42" spans="1:14" ht="13">
      <c r="A42" s="720">
        <f t="shared" si="0"/>
        <v>312</v>
      </c>
      <c r="B42" s="723" t="s">
        <v>925</v>
      </c>
      <c r="C42" s="724"/>
      <c r="D42" s="725"/>
      <c r="E42" s="725"/>
      <c r="F42" s="725"/>
      <c r="G42" s="725"/>
      <c r="H42" s="725"/>
      <c r="I42" s="725"/>
      <c r="J42" s="765">
        <f t="shared" si="10"/>
        <v>0</v>
      </c>
      <c r="K42" s="765">
        <f>'9-ADIT-3'!I45</f>
        <v>0</v>
      </c>
      <c r="L42" s="765">
        <f t="shared" si="11"/>
        <v>0</v>
      </c>
      <c r="M42" s="765">
        <f t="shared" si="12"/>
        <v>0</v>
      </c>
      <c r="N42" s="359"/>
    </row>
    <row r="43" spans="1:14" ht="13">
      <c r="A43" s="720">
        <f t="shared" si="0"/>
        <v>313</v>
      </c>
      <c r="B43" s="723" t="s">
        <v>843</v>
      </c>
      <c r="C43" s="724"/>
      <c r="D43" s="725"/>
      <c r="E43" s="725"/>
      <c r="F43" s="725"/>
      <c r="G43" s="725"/>
      <c r="H43" s="725"/>
      <c r="I43" s="725"/>
      <c r="J43" s="765">
        <f t="shared" si="10"/>
        <v>0</v>
      </c>
      <c r="K43" s="765">
        <f>'9-ADIT-3'!I46</f>
        <v>0</v>
      </c>
      <c r="L43" s="765">
        <f t="shared" si="11"/>
        <v>0</v>
      </c>
      <c r="M43" s="765">
        <f t="shared" si="12"/>
        <v>0</v>
      </c>
      <c r="N43" s="359"/>
    </row>
    <row r="44" spans="1:14" ht="13">
      <c r="A44" s="720">
        <f t="shared" si="0"/>
        <v>314</v>
      </c>
      <c r="B44" s="723" t="s">
        <v>844</v>
      </c>
      <c r="C44" s="724"/>
      <c r="D44" s="725"/>
      <c r="E44" s="725"/>
      <c r="F44" s="725"/>
      <c r="G44" s="725"/>
      <c r="H44" s="725"/>
      <c r="I44" s="725"/>
      <c r="J44" s="765">
        <f t="shared" si="10"/>
        <v>0</v>
      </c>
      <c r="K44" s="765">
        <f>'9-ADIT-3'!I47</f>
        <v>0</v>
      </c>
      <c r="L44" s="765">
        <f t="shared" si="11"/>
        <v>0</v>
      </c>
      <c r="M44" s="765">
        <f t="shared" si="12"/>
        <v>0</v>
      </c>
      <c r="N44" s="359"/>
    </row>
    <row r="45" spans="1:14" ht="13">
      <c r="A45" s="720">
        <f t="shared" si="0"/>
        <v>315</v>
      </c>
      <c r="B45" s="726" t="s">
        <v>822</v>
      </c>
      <c r="C45" s="725"/>
      <c r="D45" s="725"/>
      <c r="E45" s="725"/>
      <c r="F45" s="725"/>
      <c r="G45" s="725"/>
      <c r="H45" s="725"/>
      <c r="I45" s="725"/>
      <c r="J45" s="765">
        <f t="shared" si="10"/>
        <v>0</v>
      </c>
      <c r="K45" s="770"/>
      <c r="L45" s="770"/>
      <c r="M45" s="770"/>
      <c r="N45" s="359"/>
    </row>
    <row r="46" spans="1:14" ht="13.5" thickBot="1">
      <c r="A46" s="728" t="s">
        <v>926</v>
      </c>
      <c r="B46" s="740" t="s">
        <v>927</v>
      </c>
      <c r="C46" s="740"/>
      <c r="D46" s="771">
        <f t="shared" ref="D46" si="13">SUM(D31:D45)</f>
        <v>0</v>
      </c>
      <c r="E46" s="771">
        <f t="shared" ref="E46:M46" si="14">SUM(E31:E45)</f>
        <v>0</v>
      </c>
      <c r="F46" s="771">
        <f t="shared" si="14"/>
        <v>0</v>
      </c>
      <c r="G46" s="771">
        <f t="shared" si="14"/>
        <v>0</v>
      </c>
      <c r="H46" s="771">
        <f t="shared" si="14"/>
        <v>0</v>
      </c>
      <c r="I46" s="771">
        <f t="shared" si="14"/>
        <v>0</v>
      </c>
      <c r="J46" s="771">
        <f t="shared" si="14"/>
        <v>0</v>
      </c>
      <c r="K46" s="771">
        <f t="shared" si="14"/>
        <v>0</v>
      </c>
      <c r="L46" s="771">
        <f t="shared" si="14"/>
        <v>0</v>
      </c>
      <c r="M46" s="771">
        <f t="shared" si="14"/>
        <v>0</v>
      </c>
      <c r="N46" s="359"/>
    </row>
    <row r="47" spans="1:14" ht="13.5" thickTop="1">
      <c r="A47" s="720"/>
      <c r="B47" s="708"/>
      <c r="C47" s="708"/>
      <c r="D47" s="741"/>
      <c r="E47" s="741"/>
      <c r="F47" s="741"/>
      <c r="G47" s="741"/>
      <c r="H47" s="741"/>
      <c r="I47" s="741"/>
      <c r="J47" s="741"/>
      <c r="K47" s="741"/>
      <c r="L47" s="741"/>
      <c r="M47" s="741"/>
      <c r="N47" s="359"/>
    </row>
    <row r="48" spans="1:14" ht="13.5" thickBot="1">
      <c r="A48" s="720">
        <v>400</v>
      </c>
      <c r="B48" s="740" t="s">
        <v>928</v>
      </c>
      <c r="C48" s="740"/>
      <c r="D48" s="772">
        <f t="shared" ref="D48:M48" si="15">D28+D46</f>
        <v>84351259</v>
      </c>
      <c r="E48" s="772">
        <f t="shared" si="15"/>
        <v>-587906008</v>
      </c>
      <c r="F48" s="772">
        <f t="shared" si="15"/>
        <v>0</v>
      </c>
      <c r="G48" s="772">
        <f t="shared" si="15"/>
        <v>0</v>
      </c>
      <c r="H48" s="772">
        <f t="shared" si="15"/>
        <v>-1806350</v>
      </c>
      <c r="I48" s="772">
        <f>I28+I46</f>
        <v>13004135</v>
      </c>
      <c r="J48" s="772">
        <f t="shared" si="15"/>
        <v>-492356964</v>
      </c>
      <c r="K48" s="772">
        <f t="shared" si="15"/>
        <v>0</v>
      </c>
      <c r="L48" s="772">
        <f t="shared" si="15"/>
        <v>82544909</v>
      </c>
      <c r="M48" s="772">
        <f t="shared" si="15"/>
        <v>-574901873</v>
      </c>
      <c r="N48" s="359"/>
    </row>
    <row r="49" spans="1:14" ht="14" thickTop="1" thickBot="1">
      <c r="A49" s="720">
        <v>500</v>
      </c>
      <c r="B49" s="740" t="s">
        <v>929</v>
      </c>
      <c r="C49" s="742"/>
      <c r="D49" s="708"/>
      <c r="E49" s="773">
        <f>+E48+D48</f>
        <v>-503554749</v>
      </c>
      <c r="F49" s="708"/>
      <c r="G49" s="708"/>
      <c r="H49" s="743"/>
      <c r="I49" s="773">
        <f>+I48+H48</f>
        <v>11197785</v>
      </c>
      <c r="J49" s="708"/>
      <c r="K49" s="708"/>
      <c r="L49" s="708"/>
      <c r="M49" s="773">
        <f>+M48+L48</f>
        <v>-492356964</v>
      </c>
      <c r="N49" s="359"/>
    </row>
    <row r="50" spans="1:14" ht="13.5" thickTop="1">
      <c r="A50" s="720"/>
      <c r="B50" s="740"/>
      <c r="C50" s="742"/>
      <c r="D50" s="708"/>
      <c r="E50" s="1000"/>
      <c r="F50" s="708"/>
      <c r="G50" s="708"/>
      <c r="H50" s="743"/>
      <c r="I50" s="1000"/>
      <c r="J50" s="708"/>
      <c r="K50" s="708"/>
      <c r="L50" s="708"/>
      <c r="M50" s="1000"/>
      <c r="N50" s="359"/>
    </row>
    <row r="51" spans="1:14" ht="13">
      <c r="A51" s="1001">
        <v>600</v>
      </c>
      <c r="B51" s="1025" t="s">
        <v>2912</v>
      </c>
      <c r="C51" s="995"/>
      <c r="D51" s="995"/>
      <c r="E51" s="1000"/>
      <c r="F51" s="708"/>
      <c r="G51" s="708"/>
      <c r="H51" s="743"/>
      <c r="I51" s="1000"/>
      <c r="J51" s="708"/>
      <c r="K51" s="708"/>
      <c r="L51" s="1003">
        <f>'1-BaseTRR'!K104/(1-'1-BaseTRR'!K104)</f>
        <v>0.38857260290711554</v>
      </c>
      <c r="M51" s="1003">
        <f>'1-BaseTRR'!K104/(1-'1-BaseTRR'!K104)</f>
        <v>0.38857260290711554</v>
      </c>
      <c r="N51" s="359"/>
    </row>
    <row r="52" spans="1:14" ht="13">
      <c r="A52" s="1001">
        <v>601</v>
      </c>
      <c r="B52" s="1025" t="s">
        <v>2913</v>
      </c>
      <c r="C52" s="995"/>
      <c r="D52" s="1002" t="s">
        <v>2914</v>
      </c>
      <c r="E52" s="1000"/>
      <c r="F52" s="708"/>
      <c r="G52" s="708"/>
      <c r="H52" s="743"/>
      <c r="I52" s="1000"/>
      <c r="J52" s="708"/>
      <c r="K52" s="708"/>
      <c r="L52" s="1004">
        <f>L48*L51</f>
        <v>32074690.146860987</v>
      </c>
      <c r="M52" s="1004">
        <f>M48*M51</f>
        <v>-223391117.20778596</v>
      </c>
      <c r="N52" s="359"/>
    </row>
    <row r="53" spans="1:14" ht="13">
      <c r="A53" s="720"/>
      <c r="B53" s="740"/>
      <c r="C53" s="742"/>
      <c r="D53" s="708"/>
      <c r="E53" s="1000"/>
      <c r="F53" s="708"/>
      <c r="G53" s="708"/>
      <c r="H53" s="743"/>
      <c r="I53" s="1000"/>
      <c r="J53" s="708"/>
      <c r="K53" s="708"/>
      <c r="L53" s="708"/>
      <c r="M53" s="1000"/>
      <c r="N53" s="359"/>
    </row>
    <row r="54" spans="1:14" ht="13">
      <c r="A54" s="720"/>
      <c r="B54" s="744" t="s">
        <v>228</v>
      </c>
      <c r="C54" s="745"/>
      <c r="D54" s="708"/>
      <c r="E54" s="708"/>
      <c r="F54" s="708"/>
      <c r="G54" s="708"/>
      <c r="H54" s="708"/>
      <c r="I54" s="708"/>
      <c r="J54" s="708"/>
      <c r="K54" s="708"/>
      <c r="L54" s="708"/>
      <c r="M54" s="708"/>
      <c r="N54" s="359"/>
    </row>
    <row r="55" spans="1:14" ht="13">
      <c r="A55" s="720"/>
      <c r="B55" s="746" t="s">
        <v>930</v>
      </c>
      <c r="C55" s="708"/>
      <c r="D55" s="708"/>
      <c r="E55" s="708"/>
      <c r="F55" s="708"/>
      <c r="G55" s="708"/>
      <c r="H55" s="708"/>
      <c r="I55" s="708"/>
      <c r="J55" s="708"/>
      <c r="K55" s="708"/>
      <c r="L55" s="708"/>
      <c r="M55" s="708"/>
      <c r="N55" s="359"/>
    </row>
    <row r="56" spans="1:14" ht="13">
      <c r="A56" s="720"/>
      <c r="B56" s="747" t="s">
        <v>931</v>
      </c>
      <c r="C56" s="708"/>
      <c r="D56" s="708"/>
      <c r="E56" s="708"/>
      <c r="F56" s="708"/>
      <c r="G56" s="708"/>
      <c r="H56" s="708"/>
      <c r="I56" s="708"/>
      <c r="J56" s="708"/>
      <c r="K56" s="708"/>
      <c r="L56" s="708"/>
      <c r="M56" s="708"/>
      <c r="N56" s="359"/>
    </row>
    <row r="57" spans="1:14" ht="13">
      <c r="A57" s="720"/>
      <c r="B57" s="359"/>
      <c r="C57" s="748" t="s">
        <v>932</v>
      </c>
      <c r="D57" s="749">
        <v>4</v>
      </c>
      <c r="E57" s="749"/>
      <c r="F57" s="708"/>
      <c r="G57" s="708"/>
      <c r="H57" s="708"/>
      <c r="I57" s="708"/>
      <c r="J57" s="708"/>
      <c r="K57" s="708"/>
      <c r="L57" s="708"/>
      <c r="M57" s="708"/>
      <c r="N57" s="359"/>
    </row>
    <row r="58" spans="1:14" ht="13">
      <c r="A58" s="720"/>
      <c r="B58" s="359"/>
      <c r="C58" s="748" t="s">
        <v>933</v>
      </c>
      <c r="D58" s="750">
        <v>2018</v>
      </c>
      <c r="E58" s="750"/>
      <c r="F58" s="708"/>
      <c r="G58" s="708"/>
      <c r="H58" s="708"/>
      <c r="I58" s="708"/>
      <c r="J58" s="708"/>
      <c r="K58" s="708"/>
      <c r="L58" s="708"/>
      <c r="M58" s="708"/>
      <c r="N58" s="359"/>
    </row>
    <row r="59" spans="1:14" ht="13">
      <c r="A59" s="720"/>
      <c r="B59" s="747" t="s">
        <v>3052</v>
      </c>
      <c r="C59" s="708"/>
      <c r="D59" s="708"/>
      <c r="E59" s="708"/>
      <c r="F59" s="708"/>
      <c r="G59" s="708"/>
      <c r="H59" s="708"/>
      <c r="I59" s="1055"/>
      <c r="J59" s="1055"/>
      <c r="K59" s="1055"/>
      <c r="L59" s="1055"/>
      <c r="M59" s="1055"/>
      <c r="N59" s="359"/>
    </row>
    <row r="60" spans="1:14" ht="13">
      <c r="A60" s="720"/>
      <c r="B60" s="359"/>
      <c r="C60" s="748" t="s">
        <v>932</v>
      </c>
      <c r="D60" s="749"/>
      <c r="E60" s="749"/>
      <c r="F60" s="708"/>
      <c r="G60" s="708"/>
      <c r="H60" s="708"/>
      <c r="I60" s="708"/>
      <c r="J60" s="708"/>
      <c r="K60" s="708"/>
      <c r="L60" s="708"/>
      <c r="M60" s="708"/>
      <c r="N60" s="359"/>
    </row>
    <row r="61" spans="1:14" ht="13">
      <c r="A61" s="720"/>
      <c r="B61" s="359"/>
      <c r="C61" s="748" t="s">
        <v>933</v>
      </c>
      <c r="D61" s="750"/>
      <c r="E61" s="750"/>
      <c r="F61" s="708"/>
      <c r="G61" s="708"/>
      <c r="H61" s="708"/>
      <c r="I61" s="708"/>
      <c r="J61" s="708"/>
      <c r="K61" s="708"/>
      <c r="L61" s="708"/>
      <c r="M61" s="708"/>
      <c r="N61" s="359"/>
    </row>
    <row r="62" spans="1:14">
      <c r="A62" s="708"/>
      <c r="B62" s="747" t="s">
        <v>934</v>
      </c>
      <c r="C62" s="359"/>
      <c r="D62" s="359"/>
      <c r="E62" s="359"/>
      <c r="F62" s="359"/>
      <c r="G62" s="359"/>
      <c r="H62" s="359"/>
      <c r="I62" s="359"/>
      <c r="J62" s="359"/>
      <c r="K62" s="359"/>
      <c r="L62" s="359"/>
      <c r="M62" s="359"/>
      <c r="N62" s="359"/>
    </row>
    <row r="63" spans="1:14">
      <c r="A63" s="708"/>
      <c r="B63" s="359"/>
      <c r="C63" s="748" t="s">
        <v>932</v>
      </c>
      <c r="D63" s="749">
        <v>1</v>
      </c>
      <c r="E63" s="749"/>
      <c r="F63" s="359"/>
      <c r="G63" s="359"/>
      <c r="H63" s="359"/>
      <c r="I63" s="359"/>
      <c r="J63" s="359"/>
      <c r="K63" s="359"/>
      <c r="L63" s="359"/>
      <c r="M63" s="359"/>
      <c r="N63" s="359"/>
    </row>
    <row r="64" spans="1:14">
      <c r="A64" s="708"/>
      <c r="B64" s="359"/>
      <c r="C64" s="748" t="s">
        <v>933</v>
      </c>
      <c r="D64" s="750">
        <v>2018</v>
      </c>
      <c r="E64" s="750"/>
      <c r="F64" s="359"/>
      <c r="G64" s="359"/>
      <c r="H64" s="359"/>
      <c r="I64" s="359"/>
      <c r="J64" s="359"/>
      <c r="K64" s="359"/>
      <c r="L64" s="359"/>
      <c r="M64" s="359"/>
      <c r="N64" s="359"/>
    </row>
    <row r="65" spans="1:14">
      <c r="A65" s="359"/>
      <c r="B65" s="747" t="s">
        <v>935</v>
      </c>
      <c r="C65" s="359"/>
      <c r="D65" s="359"/>
      <c r="E65" s="359"/>
      <c r="F65" s="359"/>
      <c r="G65" s="359"/>
      <c r="H65" s="359"/>
      <c r="I65" s="359"/>
      <c r="J65" s="359"/>
      <c r="K65" s="359"/>
      <c r="L65" s="359"/>
      <c r="M65" s="359"/>
      <c r="N65" s="359"/>
    </row>
    <row r="66" spans="1:14">
      <c r="A66" s="359"/>
      <c r="B66" s="359"/>
      <c r="C66" s="359"/>
      <c r="D66" s="359"/>
      <c r="E66" s="359"/>
      <c r="F66" s="359"/>
      <c r="G66" s="359"/>
      <c r="H66" s="359"/>
      <c r="I66" s="359"/>
      <c r="J66" s="359"/>
      <c r="K66" s="359"/>
      <c r="L66" s="359"/>
      <c r="M66" s="359"/>
      <c r="N66" s="359"/>
    </row>
    <row r="67" spans="1:14">
      <c r="A67" s="359"/>
      <c r="B67" s="992"/>
      <c r="C67" s="992"/>
      <c r="D67" s="992"/>
      <c r="E67" s="992"/>
      <c r="F67" s="993" t="s">
        <v>2904</v>
      </c>
      <c r="G67" s="992"/>
      <c r="H67" s="359"/>
      <c r="I67" s="359"/>
      <c r="J67" s="359"/>
      <c r="K67" s="359"/>
      <c r="L67" s="359"/>
      <c r="M67" s="359"/>
      <c r="N67" s="359"/>
    </row>
    <row r="68" spans="1:14">
      <c r="A68" s="359"/>
      <c r="B68" s="994" t="s">
        <v>2905</v>
      </c>
      <c r="C68" s="995"/>
      <c r="D68" s="995" t="s">
        <v>2906</v>
      </c>
      <c r="E68" s="995"/>
      <c r="F68" s="1036" t="s">
        <v>2941</v>
      </c>
      <c r="G68" s="996"/>
      <c r="H68" s="359"/>
      <c r="I68" s="359"/>
      <c r="J68" s="359"/>
      <c r="K68" s="359"/>
      <c r="L68" s="359"/>
      <c r="M68" s="359"/>
      <c r="N68" s="359"/>
    </row>
    <row r="69" spans="1:14">
      <c r="B69" s="994" t="s">
        <v>2907</v>
      </c>
      <c r="C69" s="995"/>
      <c r="D69" s="995" t="s">
        <v>2906</v>
      </c>
      <c r="E69" s="995"/>
      <c r="F69" s="1036" t="s">
        <v>2942</v>
      </c>
      <c r="G69" s="996"/>
    </row>
    <row r="70" spans="1:14">
      <c r="B70" s="997"/>
      <c r="C70" s="995"/>
      <c r="D70" s="995"/>
      <c r="E70" s="995"/>
      <c r="F70" s="995"/>
      <c r="G70" s="995"/>
    </row>
    <row r="71" spans="1:14">
      <c r="B71" s="994" t="s">
        <v>2908</v>
      </c>
      <c r="C71" s="995"/>
      <c r="D71" s="995" t="s">
        <v>2909</v>
      </c>
      <c r="E71" s="995"/>
      <c r="F71" s="1036" t="s">
        <v>2943</v>
      </c>
      <c r="G71" s="996"/>
    </row>
    <row r="72" spans="1:14">
      <c r="B72" s="994" t="s">
        <v>2910</v>
      </c>
      <c r="C72" s="995"/>
      <c r="D72" s="995" t="s">
        <v>2909</v>
      </c>
      <c r="E72" s="995"/>
      <c r="F72" s="1036" t="s">
        <v>2944</v>
      </c>
      <c r="G72" s="996"/>
    </row>
    <row r="73" spans="1:14" ht="14">
      <c r="B73" s="247"/>
      <c r="C73" s="247"/>
      <c r="D73" s="247"/>
      <c r="E73" s="998"/>
      <c r="F73" s="999"/>
      <c r="G73" s="999"/>
    </row>
    <row r="74" spans="1:14" ht="14">
      <c r="B74" s="994" t="s">
        <v>2911</v>
      </c>
      <c r="C74" s="247"/>
      <c r="D74" s="247"/>
      <c r="E74" s="998"/>
      <c r="F74" s="999"/>
      <c r="G74" s="999"/>
    </row>
  </sheetData>
  <pageMargins left="0.7" right="0.7" top="0.75" bottom="0.75" header="0.3" footer="0.3"/>
  <pageSetup scale="63" orientation="landscape" r:id="rId1"/>
  <headerFooter>
    <oddHeader>&amp;CSchedule 9-ADIT-2
EDIT&amp;RTO2024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90" zoomScaleNormal="90" zoomScalePageLayoutView="70" workbookViewId="0"/>
  </sheetViews>
  <sheetFormatPr defaultColWidth="14.54296875" defaultRowHeight="12.5"/>
  <cols>
    <col min="1" max="1" width="5.54296875" customWidth="1"/>
    <col min="2" max="2" width="37.54296875" customWidth="1"/>
    <col min="3" max="3" width="6.54296875" customWidth="1"/>
    <col min="4" max="9" width="15.54296875" customWidth="1"/>
  </cols>
  <sheetData>
    <row r="1" spans="1:10" ht="14.5">
      <c r="A1" s="740" t="s">
        <v>936</v>
      </c>
      <c r="B1" s="751"/>
      <c r="C1" s="706"/>
      <c r="D1" s="706"/>
      <c r="E1" s="706"/>
      <c r="F1" s="706"/>
      <c r="G1" s="706"/>
      <c r="H1" s="706"/>
      <c r="I1" s="706"/>
      <c r="J1" s="707"/>
    </row>
    <row r="2" spans="1:10" ht="14.5">
      <c r="A2" s="740"/>
      <c r="B2" s="751"/>
      <c r="C2" s="706"/>
      <c r="D2" s="706"/>
      <c r="E2" s="706"/>
      <c r="F2" s="706"/>
      <c r="G2" s="706"/>
      <c r="H2" s="709" t="s">
        <v>641</v>
      </c>
      <c r="I2" s="710">
        <v>2022</v>
      </c>
      <c r="J2" s="707"/>
    </row>
    <row r="3" spans="1:10" ht="14.5">
      <c r="A3" s="740"/>
      <c r="B3" s="751"/>
      <c r="C3" s="706"/>
      <c r="D3" s="706"/>
      <c r="E3" s="706"/>
      <c r="F3" s="706"/>
      <c r="G3" s="706"/>
      <c r="H3" s="709" t="s">
        <v>937</v>
      </c>
      <c r="I3" s="752" t="s">
        <v>938</v>
      </c>
      <c r="J3" s="707"/>
    </row>
    <row r="4" spans="1:10" ht="13">
      <c r="A4" s="708"/>
      <c r="B4" s="708"/>
      <c r="C4" s="708"/>
      <c r="D4" s="708"/>
      <c r="E4" s="708"/>
      <c r="F4" s="708"/>
      <c r="G4" s="708"/>
      <c r="H4" s="753" t="s">
        <v>939</v>
      </c>
      <c r="I4" s="754"/>
      <c r="J4" s="359"/>
    </row>
    <row r="5" spans="1:10" ht="13">
      <c r="A5" s="708"/>
      <c r="B5" s="708"/>
      <c r="C5" s="708"/>
      <c r="D5" s="708"/>
      <c r="E5" s="708"/>
      <c r="F5" s="708"/>
      <c r="G5" s="708"/>
      <c r="H5" s="753"/>
      <c r="I5" s="753"/>
      <c r="J5" s="359"/>
    </row>
    <row r="6" spans="1:10" ht="13">
      <c r="A6" s="711"/>
      <c r="B6" s="712" t="s">
        <v>883</v>
      </c>
      <c r="C6" s="712" t="s">
        <v>884</v>
      </c>
      <c r="D6" s="712" t="s">
        <v>885</v>
      </c>
      <c r="E6" s="712" t="s">
        <v>886</v>
      </c>
      <c r="F6" s="712" t="s">
        <v>887</v>
      </c>
      <c r="G6" s="712" t="s">
        <v>888</v>
      </c>
      <c r="H6" s="712" t="s">
        <v>889</v>
      </c>
      <c r="I6" s="712" t="s">
        <v>890</v>
      </c>
      <c r="J6" s="359"/>
    </row>
    <row r="7" spans="1:10" ht="13.5" thickBot="1">
      <c r="A7" s="708"/>
      <c r="B7" s="711"/>
      <c r="C7" s="711"/>
      <c r="D7" s="1026" t="s">
        <v>144</v>
      </c>
      <c r="E7" s="1026" t="s">
        <v>144</v>
      </c>
      <c r="F7" s="708"/>
      <c r="G7" s="708"/>
      <c r="H7" s="708"/>
      <c r="I7" s="708"/>
      <c r="J7" s="359"/>
    </row>
    <row r="8" spans="1:10" ht="13.5" thickBot="1">
      <c r="A8" s="708"/>
      <c r="B8" s="711"/>
      <c r="C8" s="711"/>
      <c r="D8" s="1107" t="s">
        <v>2919</v>
      </c>
      <c r="E8" s="1108"/>
      <c r="F8" s="1108"/>
      <c r="G8" s="1108"/>
      <c r="H8" s="1108"/>
      <c r="I8" s="1109"/>
      <c r="J8" s="359"/>
    </row>
    <row r="9" spans="1:10" ht="13.5" thickBot="1">
      <c r="A9" s="708"/>
      <c r="B9" s="711"/>
      <c r="C9" s="711"/>
      <c r="D9" s="755" t="s">
        <v>894</v>
      </c>
      <c r="E9" s="756" t="s">
        <v>894</v>
      </c>
      <c r="F9" s="757" t="s">
        <v>940</v>
      </c>
      <c r="G9" s="758" t="s">
        <v>941</v>
      </c>
      <c r="H9" s="757" t="s">
        <v>942</v>
      </c>
      <c r="I9" s="757" t="s">
        <v>943</v>
      </c>
      <c r="J9" s="359"/>
    </row>
    <row r="10" spans="1:10" ht="55.5" customHeight="1" thickBot="1">
      <c r="A10" s="717" t="s">
        <v>273</v>
      </c>
      <c r="B10" s="708"/>
      <c r="C10" s="759" t="s">
        <v>944</v>
      </c>
      <c r="D10" s="1005" t="s">
        <v>945</v>
      </c>
      <c r="E10" s="1005" t="s">
        <v>2915</v>
      </c>
      <c r="F10" s="1005" t="s">
        <v>2916</v>
      </c>
      <c r="G10" s="1005" t="s">
        <v>2927</v>
      </c>
      <c r="H10" s="1005" t="s">
        <v>2917</v>
      </c>
      <c r="I10" s="1005" t="s">
        <v>2918</v>
      </c>
      <c r="J10" s="359"/>
    </row>
    <row r="11" spans="1:10" ht="13">
      <c r="A11" s="720">
        <v>1</v>
      </c>
      <c r="B11" s="721" t="s">
        <v>946</v>
      </c>
      <c r="C11" s="722"/>
      <c r="D11" s="708"/>
      <c r="E11" s="708"/>
      <c r="F11" s="708"/>
      <c r="G11" s="708"/>
      <c r="H11" s="708"/>
      <c r="I11" s="708"/>
      <c r="J11" s="359"/>
    </row>
    <row r="12" spans="1:10" ht="13">
      <c r="A12" s="720">
        <f t="shared" ref="A12:A16" si="0">+A11+1</f>
        <v>2</v>
      </c>
      <c r="B12" s="723" t="s">
        <v>901</v>
      </c>
      <c r="C12" s="724">
        <v>282</v>
      </c>
      <c r="D12" s="760"/>
      <c r="E12" s="725"/>
      <c r="F12" s="765">
        <f>+D12*$I$4</f>
        <v>0</v>
      </c>
      <c r="G12" s="765">
        <f>+E12-F12</f>
        <v>0</v>
      </c>
      <c r="H12" s="765">
        <f>IF($I$3="No", 0,'9-ADIT-2'!J9)</f>
        <v>0</v>
      </c>
      <c r="I12" s="765">
        <f>+G12-H12</f>
        <v>0</v>
      </c>
      <c r="J12" s="359"/>
    </row>
    <row r="13" spans="1:10" ht="13">
      <c r="A13" s="720">
        <f t="shared" si="0"/>
        <v>3</v>
      </c>
      <c r="B13" s="723" t="s">
        <v>902</v>
      </c>
      <c r="C13" s="724">
        <v>282</v>
      </c>
      <c r="D13" s="760"/>
      <c r="E13" s="725"/>
      <c r="F13" s="765">
        <f t="shared" ref="F13:F15" si="1">+D13*$I$4</f>
        <v>0</v>
      </c>
      <c r="G13" s="765">
        <f>+E13-F13</f>
        <v>0</v>
      </c>
      <c r="H13" s="765">
        <f>IF($I$3="No", 0,'9-ADIT-2'!J10)</f>
        <v>0</v>
      </c>
      <c r="I13" s="765">
        <f t="shared" ref="I13:I15" si="2">+G13-H13</f>
        <v>0</v>
      </c>
      <c r="J13" s="359"/>
    </row>
    <row r="14" spans="1:10" ht="13">
      <c r="A14" s="720">
        <f t="shared" si="0"/>
        <v>4</v>
      </c>
      <c r="B14" s="723" t="s">
        <v>903</v>
      </c>
      <c r="C14" s="724">
        <v>282</v>
      </c>
      <c r="D14" s="760"/>
      <c r="E14" s="725"/>
      <c r="F14" s="765">
        <f t="shared" si="1"/>
        <v>0</v>
      </c>
      <c r="G14" s="765">
        <f>+E14-F14</f>
        <v>0</v>
      </c>
      <c r="H14" s="765">
        <f>IF($I$3="No", 0,'9-ADIT-2'!J11)</f>
        <v>0</v>
      </c>
      <c r="I14" s="765">
        <f t="shared" si="2"/>
        <v>0</v>
      </c>
      <c r="J14" s="359"/>
    </row>
    <row r="15" spans="1:10" ht="13">
      <c r="A15" s="720">
        <f t="shared" si="0"/>
        <v>5</v>
      </c>
      <c r="B15" s="723" t="s">
        <v>904</v>
      </c>
      <c r="C15" s="724">
        <v>190</v>
      </c>
      <c r="D15" s="760"/>
      <c r="E15" s="725"/>
      <c r="F15" s="765">
        <f t="shared" si="1"/>
        <v>0</v>
      </c>
      <c r="G15" s="765">
        <f>+E15-F15</f>
        <v>0</v>
      </c>
      <c r="H15" s="765">
        <f>IF($I$3="No", 0,'9-ADIT-2'!J12)</f>
        <v>0</v>
      </c>
      <c r="I15" s="765">
        <f t="shared" si="2"/>
        <v>0</v>
      </c>
      <c r="J15" s="359"/>
    </row>
    <row r="16" spans="1:10" ht="13">
      <c r="A16" s="720">
        <f t="shared" si="0"/>
        <v>6</v>
      </c>
      <c r="B16" s="726" t="s">
        <v>822</v>
      </c>
      <c r="C16" s="727"/>
      <c r="D16" s="725"/>
      <c r="E16" s="725"/>
      <c r="F16" s="723"/>
      <c r="G16" s="708"/>
      <c r="H16" s="723"/>
      <c r="I16" s="723"/>
      <c r="J16" s="359"/>
    </row>
    <row r="17" spans="1:10" ht="13">
      <c r="A17" s="728" t="s">
        <v>905</v>
      </c>
      <c r="B17" s="723"/>
      <c r="C17" s="730"/>
      <c r="D17" s="766">
        <f t="shared" ref="D17:H17" si="3">SUM(D12:D16)</f>
        <v>0</v>
      </c>
      <c r="E17" s="766">
        <f t="shared" si="3"/>
        <v>0</v>
      </c>
      <c r="F17" s="766">
        <f t="shared" si="3"/>
        <v>0</v>
      </c>
      <c r="G17" s="774">
        <f t="shared" si="3"/>
        <v>0</v>
      </c>
      <c r="H17" s="766">
        <f t="shared" si="3"/>
        <v>0</v>
      </c>
      <c r="I17" s="766">
        <f>SUM(I12:I16)</f>
        <v>0</v>
      </c>
      <c r="J17" s="359"/>
    </row>
    <row r="18" spans="1:10" ht="13">
      <c r="A18" s="720"/>
      <c r="B18" s="723"/>
      <c r="C18" s="730"/>
      <c r="D18" s="723"/>
      <c r="E18" s="723"/>
      <c r="F18" s="723"/>
      <c r="G18" s="708"/>
      <c r="H18" s="723"/>
      <c r="I18" s="723"/>
      <c r="J18" s="359"/>
    </row>
    <row r="19" spans="1:10" ht="13">
      <c r="A19" s="720">
        <v>100</v>
      </c>
      <c r="B19" s="761" t="s">
        <v>947</v>
      </c>
      <c r="C19" s="732"/>
      <c r="D19" s="723"/>
      <c r="E19" s="723"/>
      <c r="F19" s="723"/>
      <c r="G19" s="708"/>
      <c r="H19" s="723"/>
      <c r="I19" s="723"/>
      <c r="J19" s="359"/>
    </row>
    <row r="20" spans="1:10" ht="13">
      <c r="A20" s="720">
        <f t="shared" ref="A20:A48" si="4">+A19+1</f>
        <v>101</v>
      </c>
      <c r="B20" s="723" t="s">
        <v>908</v>
      </c>
      <c r="C20" s="724">
        <v>282</v>
      </c>
      <c r="D20" s="725"/>
      <c r="E20" s="725"/>
      <c r="F20" s="765">
        <f t="shared" ref="F20:F25" si="5">+D20*$I$4</f>
        <v>0</v>
      </c>
      <c r="G20" s="765">
        <f t="shared" ref="G20:G25" si="6">+E20-F20</f>
        <v>0</v>
      </c>
      <c r="H20" s="765">
        <f>IF($I$3="No", 0,'9-ADIT-2'!J17)</f>
        <v>0</v>
      </c>
      <c r="I20" s="765">
        <f t="shared" ref="I20:I25" si="7">+G20-H20</f>
        <v>0</v>
      </c>
      <c r="J20" s="359"/>
    </row>
    <row r="21" spans="1:10" ht="13">
      <c r="A21" s="720">
        <f t="shared" si="4"/>
        <v>102</v>
      </c>
      <c r="B21" s="723" t="s">
        <v>909</v>
      </c>
      <c r="C21" s="724">
        <v>282</v>
      </c>
      <c r="D21" s="725"/>
      <c r="E21" s="725"/>
      <c r="F21" s="765">
        <f t="shared" si="5"/>
        <v>0</v>
      </c>
      <c r="G21" s="765">
        <f t="shared" si="6"/>
        <v>0</v>
      </c>
      <c r="H21" s="765">
        <f>IF($I$3="No", 0,'9-ADIT-2'!J18)</f>
        <v>0</v>
      </c>
      <c r="I21" s="765">
        <f t="shared" si="7"/>
        <v>0</v>
      </c>
      <c r="J21" s="359"/>
    </row>
    <row r="22" spans="1:10" ht="13">
      <c r="A22" s="720">
        <f t="shared" si="4"/>
        <v>103</v>
      </c>
      <c r="B22" s="723" t="s">
        <v>910</v>
      </c>
      <c r="C22" s="724">
        <v>282</v>
      </c>
      <c r="D22" s="725"/>
      <c r="E22" s="725"/>
      <c r="F22" s="765">
        <f t="shared" si="5"/>
        <v>0</v>
      </c>
      <c r="G22" s="765">
        <f t="shared" si="6"/>
        <v>0</v>
      </c>
      <c r="H22" s="765">
        <f>IF($I$3="No", 0,'9-ADIT-2'!J19)</f>
        <v>0</v>
      </c>
      <c r="I22" s="765">
        <f t="shared" si="7"/>
        <v>0</v>
      </c>
      <c r="J22" s="359"/>
    </row>
    <row r="23" spans="1:10" ht="13">
      <c r="A23" s="720">
        <f t="shared" si="4"/>
        <v>104</v>
      </c>
      <c r="B23" s="723" t="s">
        <v>911</v>
      </c>
      <c r="C23" s="724">
        <v>282</v>
      </c>
      <c r="D23" s="725"/>
      <c r="E23" s="725"/>
      <c r="F23" s="765">
        <f t="shared" si="5"/>
        <v>0</v>
      </c>
      <c r="G23" s="765">
        <f t="shared" si="6"/>
        <v>0</v>
      </c>
      <c r="H23" s="765">
        <f>IF($I$3="No", 0,'9-ADIT-2'!J20)</f>
        <v>0</v>
      </c>
      <c r="I23" s="765">
        <f t="shared" si="7"/>
        <v>0</v>
      </c>
      <c r="J23" s="359"/>
    </row>
    <row r="24" spans="1:10" ht="13">
      <c r="A24" s="720">
        <f t="shared" si="4"/>
        <v>105</v>
      </c>
      <c r="B24" s="723" t="s">
        <v>912</v>
      </c>
      <c r="C24" s="724">
        <v>282</v>
      </c>
      <c r="D24" s="725"/>
      <c r="E24" s="725"/>
      <c r="F24" s="765">
        <f t="shared" si="5"/>
        <v>0</v>
      </c>
      <c r="G24" s="765">
        <f t="shared" si="6"/>
        <v>0</v>
      </c>
      <c r="H24" s="765">
        <f>IF($I$3="No", 0,'9-ADIT-2'!J21)</f>
        <v>0</v>
      </c>
      <c r="I24" s="765">
        <f t="shared" si="7"/>
        <v>0</v>
      </c>
      <c r="J24" s="359"/>
    </row>
    <row r="25" spans="1:10" ht="13">
      <c r="A25" s="720">
        <f t="shared" si="4"/>
        <v>106</v>
      </c>
      <c r="B25" s="723" t="s">
        <v>913</v>
      </c>
      <c r="C25" s="724">
        <v>190</v>
      </c>
      <c r="D25" s="725"/>
      <c r="E25" s="725"/>
      <c r="F25" s="765">
        <f t="shared" si="5"/>
        <v>0</v>
      </c>
      <c r="G25" s="765">
        <f t="shared" si="6"/>
        <v>0</v>
      </c>
      <c r="H25" s="765">
        <f>IF($I$3="No", 0,'9-ADIT-2'!J22)</f>
        <v>0</v>
      </c>
      <c r="I25" s="765">
        <f t="shared" si="7"/>
        <v>0</v>
      </c>
      <c r="J25" s="359"/>
    </row>
    <row r="26" spans="1:10" ht="13">
      <c r="A26" s="720">
        <f t="shared" si="4"/>
        <v>107</v>
      </c>
      <c r="B26" s="726" t="s">
        <v>822</v>
      </c>
      <c r="C26" s="727"/>
      <c r="D26" s="725"/>
      <c r="E26" s="725"/>
      <c r="F26" s="723"/>
      <c r="G26" s="723"/>
      <c r="H26" s="723"/>
      <c r="I26" s="723"/>
      <c r="J26" s="359"/>
    </row>
    <row r="27" spans="1:10" ht="13">
      <c r="A27" s="720">
        <v>150</v>
      </c>
      <c r="B27" s="723"/>
      <c r="C27" s="730"/>
      <c r="D27" s="767">
        <f t="shared" ref="D27:I27" si="8">SUM(D20:D26)</f>
        <v>0</v>
      </c>
      <c r="E27" s="767">
        <f t="shared" si="8"/>
        <v>0</v>
      </c>
      <c r="F27" s="767">
        <f t="shared" si="8"/>
        <v>0</v>
      </c>
      <c r="G27" s="767">
        <f t="shared" si="8"/>
        <v>0</v>
      </c>
      <c r="H27" s="767">
        <f t="shared" si="8"/>
        <v>0</v>
      </c>
      <c r="I27" s="767">
        <f t="shared" si="8"/>
        <v>0</v>
      </c>
      <c r="J27" s="359"/>
    </row>
    <row r="28" spans="1:10" ht="13">
      <c r="A28" s="720"/>
      <c r="B28" s="723"/>
      <c r="C28" s="730"/>
      <c r="D28" s="116"/>
      <c r="E28" s="733"/>
      <c r="F28" s="116"/>
      <c r="G28" s="116"/>
      <c r="H28" s="116"/>
      <c r="I28" s="116"/>
      <c r="J28" s="359"/>
    </row>
    <row r="29" spans="1:10" ht="13">
      <c r="A29" s="720">
        <v>200</v>
      </c>
      <c r="B29" s="736" t="s">
        <v>948</v>
      </c>
      <c r="C29" s="724">
        <v>282</v>
      </c>
      <c r="D29" s="735"/>
      <c r="E29" s="735"/>
      <c r="F29" s="775">
        <f t="shared" ref="F29" si="9">+D29*$I$4</f>
        <v>0</v>
      </c>
      <c r="G29" s="776">
        <f>+E29-F29</f>
        <v>0</v>
      </c>
      <c r="H29" s="775">
        <f>IF($I$3="No", 0,'9-ADIT-2'!J26)</f>
        <v>0</v>
      </c>
      <c r="I29" s="775">
        <f>+G29-H29</f>
        <v>0</v>
      </c>
      <c r="J29" s="359"/>
    </row>
    <row r="30" spans="1:10" ht="13">
      <c r="A30" s="720"/>
      <c r="B30" s="723"/>
      <c r="C30" s="730"/>
      <c r="D30" s="116"/>
      <c r="E30" s="116"/>
      <c r="F30" s="116"/>
      <c r="G30" s="116"/>
      <c r="H30" s="116"/>
      <c r="I30" s="116"/>
      <c r="J30" s="359"/>
    </row>
    <row r="31" spans="1:10" ht="13.5" thickBot="1">
      <c r="A31" s="720">
        <v>250</v>
      </c>
      <c r="B31" s="736" t="s">
        <v>949</v>
      </c>
      <c r="C31" s="737"/>
      <c r="D31" s="769">
        <f t="shared" ref="D31:I31" si="10">+D29+D27+D17</f>
        <v>0</v>
      </c>
      <c r="E31" s="769">
        <f t="shared" si="10"/>
        <v>0</v>
      </c>
      <c r="F31" s="769">
        <f t="shared" si="10"/>
        <v>0</v>
      </c>
      <c r="G31" s="769">
        <f t="shared" si="10"/>
        <v>0</v>
      </c>
      <c r="H31" s="769">
        <f t="shared" si="10"/>
        <v>0</v>
      </c>
      <c r="I31" s="769">
        <f t="shared" si="10"/>
        <v>0</v>
      </c>
      <c r="J31" s="359"/>
    </row>
    <row r="32" spans="1:10" ht="13.5" thickTop="1">
      <c r="A32" s="720"/>
      <c r="B32" s="738"/>
      <c r="C32" s="739"/>
      <c r="D32" s="723"/>
      <c r="E32" s="723"/>
      <c r="F32" s="723"/>
      <c r="G32" s="723"/>
      <c r="H32" s="723"/>
      <c r="I32" s="723"/>
      <c r="J32" s="359"/>
    </row>
    <row r="33" spans="1:10" ht="13">
      <c r="A33" s="720">
        <v>300</v>
      </c>
      <c r="B33" s="761" t="s">
        <v>950</v>
      </c>
      <c r="C33" s="732"/>
      <c r="D33" s="723"/>
      <c r="E33" s="723"/>
      <c r="F33" s="723"/>
      <c r="G33" s="723"/>
      <c r="H33" s="723"/>
      <c r="I33" s="723"/>
      <c r="J33" s="359"/>
    </row>
    <row r="34" spans="1:10" ht="13">
      <c r="A34" s="720">
        <f t="shared" si="4"/>
        <v>301</v>
      </c>
      <c r="B34" s="723" t="s">
        <v>815</v>
      </c>
      <c r="C34" s="724">
        <v>190</v>
      </c>
      <c r="D34" s="760"/>
      <c r="E34" s="725"/>
      <c r="F34" s="765">
        <f t="shared" ref="F34:F47" si="11">+D34*$I$4</f>
        <v>0</v>
      </c>
      <c r="G34" s="765">
        <f t="shared" ref="G34:G47" si="12">+E34-F34</f>
        <v>0</v>
      </c>
      <c r="H34" s="765">
        <f>IF($I$3="No", 0,'9-ADIT-2'!J31)</f>
        <v>0</v>
      </c>
      <c r="I34" s="765">
        <f t="shared" ref="I34:I47" si="13">+G34-H34</f>
        <v>0</v>
      </c>
      <c r="J34" s="359"/>
    </row>
    <row r="35" spans="1:10" ht="13">
      <c r="A35" s="720">
        <f t="shared" si="4"/>
        <v>302</v>
      </c>
      <c r="B35" s="723" t="s">
        <v>816</v>
      </c>
      <c r="C35" s="724">
        <v>190</v>
      </c>
      <c r="D35" s="760"/>
      <c r="E35" s="725"/>
      <c r="F35" s="765">
        <f t="shared" si="11"/>
        <v>0</v>
      </c>
      <c r="G35" s="765">
        <f t="shared" si="12"/>
        <v>0</v>
      </c>
      <c r="H35" s="765">
        <f>IF($I$3="No", 0,'9-ADIT-2'!J32)</f>
        <v>0</v>
      </c>
      <c r="I35" s="765">
        <f t="shared" si="13"/>
        <v>0</v>
      </c>
      <c r="J35" s="359"/>
    </row>
    <row r="36" spans="1:10" ht="13">
      <c r="A36" s="720">
        <f t="shared" si="4"/>
        <v>303</v>
      </c>
      <c r="B36" s="723" t="s">
        <v>817</v>
      </c>
      <c r="C36" s="724">
        <v>190</v>
      </c>
      <c r="D36" s="760"/>
      <c r="E36" s="725"/>
      <c r="F36" s="765">
        <f t="shared" si="11"/>
        <v>0</v>
      </c>
      <c r="G36" s="765">
        <f t="shared" si="12"/>
        <v>0</v>
      </c>
      <c r="H36" s="765">
        <f>IF($I$3="No", 0,'9-ADIT-2'!J33)</f>
        <v>0</v>
      </c>
      <c r="I36" s="765">
        <f t="shared" si="13"/>
        <v>0</v>
      </c>
      <c r="J36" s="359"/>
    </row>
    <row r="37" spans="1:10" ht="13">
      <c r="A37" s="720">
        <f t="shared" si="4"/>
        <v>304</v>
      </c>
      <c r="B37" s="723" t="s">
        <v>922</v>
      </c>
      <c r="C37" s="724">
        <v>190</v>
      </c>
      <c r="D37" s="760"/>
      <c r="E37" s="725"/>
      <c r="F37" s="765">
        <f t="shared" si="11"/>
        <v>0</v>
      </c>
      <c r="G37" s="765">
        <f t="shared" si="12"/>
        <v>0</v>
      </c>
      <c r="H37" s="765">
        <f>IF($I$3="No", 0,'9-ADIT-2'!J34)</f>
        <v>0</v>
      </c>
      <c r="I37" s="765">
        <f t="shared" si="13"/>
        <v>0</v>
      </c>
      <c r="J37" s="359"/>
    </row>
    <row r="38" spans="1:10" ht="13">
      <c r="A38" s="720">
        <f t="shared" si="4"/>
        <v>305</v>
      </c>
      <c r="B38" s="723" t="s">
        <v>923</v>
      </c>
      <c r="C38" s="724">
        <v>190</v>
      </c>
      <c r="D38" s="760"/>
      <c r="E38" s="725"/>
      <c r="F38" s="765">
        <f t="shared" si="11"/>
        <v>0</v>
      </c>
      <c r="G38" s="765">
        <f t="shared" si="12"/>
        <v>0</v>
      </c>
      <c r="H38" s="765">
        <f>IF($I$3="No", 0,'9-ADIT-2'!J35)</f>
        <v>0</v>
      </c>
      <c r="I38" s="765">
        <f t="shared" si="13"/>
        <v>0</v>
      </c>
      <c r="J38" s="359"/>
    </row>
    <row r="39" spans="1:10" ht="13">
      <c r="A39" s="720">
        <f t="shared" si="4"/>
        <v>306</v>
      </c>
      <c r="B39" s="723" t="s">
        <v>818</v>
      </c>
      <c r="C39" s="724">
        <v>190</v>
      </c>
      <c r="D39" s="760"/>
      <c r="E39" s="725"/>
      <c r="F39" s="765">
        <f t="shared" si="11"/>
        <v>0</v>
      </c>
      <c r="G39" s="765">
        <f t="shared" si="12"/>
        <v>0</v>
      </c>
      <c r="H39" s="765">
        <f>IF($I$3="No", 0,'9-ADIT-2'!J36)</f>
        <v>0</v>
      </c>
      <c r="I39" s="765">
        <f t="shared" si="13"/>
        <v>0</v>
      </c>
      <c r="J39" s="359"/>
    </row>
    <row r="40" spans="1:10" ht="13">
      <c r="A40" s="720">
        <f t="shared" si="4"/>
        <v>307</v>
      </c>
      <c r="B40" s="723" t="s">
        <v>819</v>
      </c>
      <c r="C40" s="724">
        <v>190</v>
      </c>
      <c r="D40" s="760"/>
      <c r="E40" s="725"/>
      <c r="F40" s="765">
        <f t="shared" si="11"/>
        <v>0</v>
      </c>
      <c r="G40" s="765">
        <f t="shared" si="12"/>
        <v>0</v>
      </c>
      <c r="H40" s="765">
        <f>IF($I$3="No", 0,'9-ADIT-2'!J37)</f>
        <v>0</v>
      </c>
      <c r="I40" s="765">
        <f t="shared" si="13"/>
        <v>0</v>
      </c>
      <c r="J40" s="359"/>
    </row>
    <row r="41" spans="1:10" ht="13">
      <c r="A41" s="720">
        <f t="shared" si="4"/>
        <v>308</v>
      </c>
      <c r="B41" s="723" t="s">
        <v>924</v>
      </c>
      <c r="C41" s="724">
        <v>190</v>
      </c>
      <c r="D41" s="760"/>
      <c r="E41" s="725"/>
      <c r="F41" s="765">
        <f t="shared" si="11"/>
        <v>0</v>
      </c>
      <c r="G41" s="765">
        <f t="shared" si="12"/>
        <v>0</v>
      </c>
      <c r="H41" s="765">
        <f>IF($I$3="No", 0,'9-ADIT-2'!J38)</f>
        <v>0</v>
      </c>
      <c r="I41" s="765">
        <f t="shared" si="13"/>
        <v>0</v>
      </c>
      <c r="J41" s="359"/>
    </row>
    <row r="42" spans="1:10" ht="13">
      <c r="A42" s="720">
        <f t="shared" si="4"/>
        <v>309</v>
      </c>
      <c r="B42" s="723" t="s">
        <v>827</v>
      </c>
      <c r="C42" s="724">
        <v>190</v>
      </c>
      <c r="D42" s="760"/>
      <c r="E42" s="725"/>
      <c r="F42" s="765">
        <f t="shared" si="11"/>
        <v>0</v>
      </c>
      <c r="G42" s="765">
        <f t="shared" si="12"/>
        <v>0</v>
      </c>
      <c r="H42" s="765">
        <f>IF($I$3="No", 0,'9-ADIT-2'!J39)</f>
        <v>0</v>
      </c>
      <c r="I42" s="765">
        <f t="shared" si="13"/>
        <v>0</v>
      </c>
      <c r="J42" s="359"/>
    </row>
    <row r="43" spans="1:10" ht="13">
      <c r="A43" s="720">
        <f t="shared" si="4"/>
        <v>310</v>
      </c>
      <c r="B43" s="723" t="s">
        <v>820</v>
      </c>
      <c r="C43" s="724">
        <v>190</v>
      </c>
      <c r="D43" s="760"/>
      <c r="E43" s="725"/>
      <c r="F43" s="765">
        <f t="shared" si="11"/>
        <v>0</v>
      </c>
      <c r="G43" s="765">
        <f t="shared" si="12"/>
        <v>0</v>
      </c>
      <c r="H43" s="765">
        <f>IF($I$3="No", 0,'9-ADIT-2'!J40)</f>
        <v>0</v>
      </c>
      <c r="I43" s="765">
        <f t="shared" si="13"/>
        <v>0</v>
      </c>
      <c r="J43" s="359"/>
    </row>
    <row r="44" spans="1:10" ht="13">
      <c r="A44" s="720">
        <f t="shared" si="4"/>
        <v>311</v>
      </c>
      <c r="B44" s="723" t="s">
        <v>821</v>
      </c>
      <c r="C44" s="724">
        <v>190</v>
      </c>
      <c r="D44" s="760"/>
      <c r="E44" s="725"/>
      <c r="F44" s="765">
        <f t="shared" si="11"/>
        <v>0</v>
      </c>
      <c r="G44" s="765">
        <f t="shared" si="12"/>
        <v>0</v>
      </c>
      <c r="H44" s="765">
        <f>IF($I$3="No", 0,'9-ADIT-2'!J41)</f>
        <v>0</v>
      </c>
      <c r="I44" s="765">
        <f t="shared" si="13"/>
        <v>0</v>
      </c>
      <c r="J44" s="359"/>
    </row>
    <row r="45" spans="1:10" ht="13">
      <c r="A45" s="720">
        <f t="shared" si="4"/>
        <v>312</v>
      </c>
      <c r="B45" s="723" t="s">
        <v>925</v>
      </c>
      <c r="C45" s="724">
        <v>283</v>
      </c>
      <c r="D45" s="760"/>
      <c r="E45" s="725"/>
      <c r="F45" s="765">
        <f t="shared" si="11"/>
        <v>0</v>
      </c>
      <c r="G45" s="765">
        <f t="shared" si="12"/>
        <v>0</v>
      </c>
      <c r="H45" s="765">
        <f>IF($I$3="No", 0,'9-ADIT-2'!J42)</f>
        <v>0</v>
      </c>
      <c r="I45" s="765">
        <f t="shared" si="13"/>
        <v>0</v>
      </c>
      <c r="J45" s="359"/>
    </row>
    <row r="46" spans="1:10" ht="13">
      <c r="A46" s="720">
        <f t="shared" si="4"/>
        <v>313</v>
      </c>
      <c r="B46" s="723" t="s">
        <v>843</v>
      </c>
      <c r="C46" s="724">
        <v>283</v>
      </c>
      <c r="D46" s="760"/>
      <c r="E46" s="725"/>
      <c r="F46" s="765">
        <f t="shared" si="11"/>
        <v>0</v>
      </c>
      <c r="G46" s="765">
        <f t="shared" si="12"/>
        <v>0</v>
      </c>
      <c r="H46" s="765">
        <f>IF($I$3="No", 0,'9-ADIT-2'!J43)</f>
        <v>0</v>
      </c>
      <c r="I46" s="765">
        <f t="shared" si="13"/>
        <v>0</v>
      </c>
      <c r="J46" s="359"/>
    </row>
    <row r="47" spans="1:10" ht="13">
      <c r="A47" s="720">
        <f t="shared" si="4"/>
        <v>314</v>
      </c>
      <c r="B47" s="723" t="s">
        <v>844</v>
      </c>
      <c r="C47" s="724">
        <v>283</v>
      </c>
      <c r="D47" s="760"/>
      <c r="E47" s="725"/>
      <c r="F47" s="765">
        <f t="shared" si="11"/>
        <v>0</v>
      </c>
      <c r="G47" s="765">
        <f t="shared" si="12"/>
        <v>0</v>
      </c>
      <c r="H47" s="765">
        <f>IF($I$3="No", 0,'9-ADIT-2'!J44)</f>
        <v>0</v>
      </c>
      <c r="I47" s="765">
        <f t="shared" si="13"/>
        <v>0</v>
      </c>
      <c r="J47" s="359"/>
    </row>
    <row r="48" spans="1:10" ht="13">
      <c r="A48" s="720">
        <f t="shared" si="4"/>
        <v>315</v>
      </c>
      <c r="B48" s="726" t="s">
        <v>822</v>
      </c>
      <c r="C48" s="725"/>
      <c r="D48" s="725"/>
      <c r="E48" s="725"/>
      <c r="F48" s="723"/>
      <c r="G48" s="723"/>
      <c r="H48" s="708"/>
      <c r="I48" s="708"/>
      <c r="J48" s="359"/>
    </row>
    <row r="49" spans="1:10" ht="13.5" thickBot="1">
      <c r="A49" s="720">
        <v>350</v>
      </c>
      <c r="B49" s="740" t="s">
        <v>951</v>
      </c>
      <c r="C49" s="740"/>
      <c r="D49" s="771">
        <f t="shared" ref="D49:I49" si="14">SUM(D34:D48)</f>
        <v>0</v>
      </c>
      <c r="E49" s="771">
        <f t="shared" si="14"/>
        <v>0</v>
      </c>
      <c r="F49" s="771">
        <f t="shared" si="14"/>
        <v>0</v>
      </c>
      <c r="G49" s="771">
        <f t="shared" si="14"/>
        <v>0</v>
      </c>
      <c r="H49" s="771">
        <f t="shared" si="14"/>
        <v>0</v>
      </c>
      <c r="I49" s="771">
        <f t="shared" si="14"/>
        <v>0</v>
      </c>
      <c r="J49" s="359"/>
    </row>
    <row r="50" spans="1:10" ht="13.5" thickTop="1">
      <c r="A50" s="720"/>
      <c r="B50" s="708"/>
      <c r="C50" s="708"/>
      <c r="D50" s="741"/>
      <c r="E50" s="741"/>
      <c r="F50" s="741"/>
      <c r="G50" s="741"/>
      <c r="H50" s="741"/>
      <c r="I50" s="741"/>
      <c r="J50" s="359"/>
    </row>
    <row r="51" spans="1:10" ht="13.5" thickBot="1">
      <c r="A51" s="720">
        <v>400</v>
      </c>
      <c r="B51" s="740" t="s">
        <v>928</v>
      </c>
      <c r="C51" s="740"/>
      <c r="D51" s="772">
        <f t="shared" ref="D51:I51" si="15">D31+D49</f>
        <v>0</v>
      </c>
      <c r="E51" s="772">
        <f t="shared" si="15"/>
        <v>0</v>
      </c>
      <c r="F51" s="772">
        <f t="shared" si="15"/>
        <v>0</v>
      </c>
      <c r="G51" s="772">
        <f t="shared" si="15"/>
        <v>0</v>
      </c>
      <c r="H51" s="772">
        <f t="shared" si="15"/>
        <v>0</v>
      </c>
      <c r="I51" s="772">
        <f t="shared" si="15"/>
        <v>0</v>
      </c>
      <c r="J51" s="359"/>
    </row>
    <row r="52" spans="1:10" ht="13.5" thickTop="1">
      <c r="A52" s="720"/>
      <c r="B52" s="742"/>
      <c r="C52" s="742"/>
      <c r="D52" s="708"/>
      <c r="E52" s="708"/>
      <c r="F52" s="708"/>
      <c r="G52" s="708"/>
      <c r="H52" s="708"/>
      <c r="I52" s="708"/>
      <c r="J52" s="359"/>
    </row>
    <row r="53" spans="1:10" ht="13">
      <c r="A53" s="720"/>
      <c r="B53" s="744" t="s">
        <v>433</v>
      </c>
      <c r="C53" s="742"/>
      <c r="D53" s="708"/>
      <c r="E53" s="708"/>
      <c r="F53" s="708"/>
      <c r="G53" s="708"/>
      <c r="H53" s="708"/>
      <c r="I53" s="708"/>
      <c r="J53" s="359"/>
    </row>
    <row r="54" spans="1:10" ht="16">
      <c r="A54" s="720"/>
      <c r="B54" s="762" t="s">
        <v>952</v>
      </c>
      <c r="C54" s="742"/>
      <c r="D54" s="708"/>
      <c r="E54" s="708"/>
      <c r="F54" s="708"/>
      <c r="G54" s="708"/>
      <c r="H54" s="708"/>
      <c r="I54" s="708"/>
      <c r="J54" s="359"/>
    </row>
    <row r="55" spans="1:10" ht="13">
      <c r="A55" s="720"/>
      <c r="B55" s="747" t="s">
        <v>953</v>
      </c>
      <c r="C55" s="742"/>
      <c r="D55" s="708"/>
      <c r="E55" s="708"/>
      <c r="F55" s="708"/>
      <c r="G55" s="708"/>
      <c r="H55" s="708"/>
      <c r="I55" s="708"/>
      <c r="J55" s="359"/>
    </row>
    <row r="56" spans="1:10" ht="13">
      <c r="A56" s="720"/>
      <c r="B56" s="744"/>
      <c r="C56" s="745"/>
      <c r="D56" s="708"/>
      <c r="E56" s="708"/>
      <c r="F56" s="708"/>
      <c r="G56" s="708"/>
      <c r="H56" s="708"/>
      <c r="I56" s="708"/>
      <c r="J56" s="359"/>
    </row>
    <row r="57" spans="1:10" ht="13">
      <c r="A57" s="720"/>
      <c r="B57" s="1006" t="s">
        <v>228</v>
      </c>
      <c r="C57" s="708"/>
      <c r="D57" s="708"/>
      <c r="E57" s="708"/>
      <c r="F57" s="708"/>
      <c r="G57" s="708"/>
      <c r="H57" s="708"/>
      <c r="I57" s="708"/>
      <c r="J57" s="359"/>
    </row>
    <row r="58" spans="1:10" ht="13">
      <c r="A58" s="720"/>
      <c r="B58" s="1007" t="s">
        <v>2920</v>
      </c>
      <c r="C58" s="708"/>
      <c r="D58" s="708"/>
      <c r="E58" s="708"/>
      <c r="F58" s="708"/>
      <c r="G58" s="708"/>
      <c r="H58" s="708"/>
      <c r="I58" s="708"/>
      <c r="J58" s="359"/>
    </row>
    <row r="59" spans="1:10" ht="13">
      <c r="A59" s="720"/>
      <c r="B59" s="1008" t="s">
        <v>2922</v>
      </c>
      <c r="C59" s="748"/>
      <c r="D59" s="708"/>
      <c r="E59" s="708"/>
      <c r="F59" s="708"/>
      <c r="G59" s="708"/>
      <c r="H59" s="708"/>
      <c r="I59" s="708"/>
      <c r="J59" s="359"/>
    </row>
    <row r="60" spans="1:10" ht="13">
      <c r="A60" s="720"/>
      <c r="B60" s="1008" t="s">
        <v>2921</v>
      </c>
      <c r="C60" s="748"/>
      <c r="D60" s="708"/>
      <c r="E60" s="708"/>
      <c r="F60" s="708"/>
      <c r="G60" s="708"/>
      <c r="H60" s="708"/>
      <c r="I60" s="708"/>
      <c r="J60" s="359"/>
    </row>
    <row r="61" spans="1:10" ht="13">
      <c r="A61" s="720"/>
      <c r="B61" s="1008" t="s">
        <v>2926</v>
      </c>
      <c r="C61" s="708"/>
      <c r="D61" s="708"/>
      <c r="E61" s="708"/>
      <c r="F61" s="708"/>
      <c r="G61" s="708"/>
      <c r="H61" s="708"/>
      <c r="I61" s="708"/>
      <c r="J61" s="359"/>
    </row>
    <row r="62" spans="1:10" ht="13">
      <c r="A62" s="720"/>
      <c r="B62" s="359"/>
      <c r="C62" s="748"/>
      <c r="D62" s="708"/>
      <c r="E62" s="708"/>
      <c r="F62" s="708"/>
      <c r="G62" s="708"/>
      <c r="H62" s="708"/>
      <c r="I62" s="708"/>
      <c r="J62" s="359"/>
    </row>
    <row r="63" spans="1:10" ht="13">
      <c r="A63" s="720"/>
      <c r="B63" s="359"/>
      <c r="C63" s="748"/>
      <c r="D63" s="708"/>
      <c r="E63" s="708"/>
      <c r="F63" s="708"/>
      <c r="G63" s="708"/>
      <c r="H63" s="708"/>
      <c r="I63" s="708"/>
      <c r="J63" s="359"/>
    </row>
    <row r="64" spans="1:10" ht="13">
      <c r="A64" s="720"/>
      <c r="B64" s="747"/>
      <c r="C64" s="359"/>
      <c r="D64" s="708"/>
      <c r="E64" s="359"/>
      <c r="F64" s="359"/>
      <c r="G64" s="359"/>
      <c r="H64" s="708"/>
      <c r="I64" s="708"/>
      <c r="J64" s="359"/>
    </row>
    <row r="65" spans="1:10">
      <c r="A65" s="359"/>
      <c r="B65" s="359"/>
      <c r="C65" s="748"/>
      <c r="D65" s="708"/>
      <c r="E65" s="359"/>
      <c r="F65" s="359"/>
      <c r="G65" s="359"/>
      <c r="H65" s="359"/>
      <c r="I65" s="359"/>
      <c r="J65" s="359"/>
    </row>
    <row r="66" spans="1:10">
      <c r="A66" s="359"/>
      <c r="B66" s="359"/>
      <c r="C66" s="748"/>
      <c r="D66" s="708"/>
      <c r="E66" s="359"/>
      <c r="F66" s="359"/>
      <c r="G66" s="359"/>
      <c r="H66" s="359"/>
      <c r="I66" s="359"/>
      <c r="J66" s="359"/>
    </row>
    <row r="67" spans="1:10">
      <c r="A67" s="359"/>
      <c r="B67" s="747"/>
      <c r="C67" s="359"/>
      <c r="D67" s="708"/>
      <c r="E67" s="359"/>
      <c r="F67" s="359"/>
      <c r="G67" s="359"/>
      <c r="H67" s="359"/>
      <c r="I67" s="359"/>
      <c r="J67" s="359"/>
    </row>
    <row r="68" spans="1:10">
      <c r="A68" s="359"/>
      <c r="B68" s="359"/>
      <c r="C68" s="359"/>
      <c r="D68" s="359"/>
      <c r="E68" s="359"/>
      <c r="F68" s="359"/>
      <c r="G68" s="359"/>
      <c r="H68" s="359"/>
      <c r="I68" s="359"/>
      <c r="J68" s="359"/>
    </row>
    <row r="69" spans="1:10">
      <c r="A69" s="359"/>
      <c r="B69" s="359"/>
      <c r="C69" s="359"/>
      <c r="D69" s="359"/>
      <c r="E69" s="359"/>
      <c r="F69" s="359"/>
      <c r="G69" s="359"/>
      <c r="H69" s="359"/>
      <c r="I69" s="359"/>
      <c r="J69" s="359"/>
    </row>
    <row r="70" spans="1:10">
      <c r="A70" s="359"/>
      <c r="B70" s="359"/>
      <c r="C70" s="359"/>
      <c r="D70" s="359"/>
      <c r="E70" s="359"/>
      <c r="F70" s="359"/>
      <c r="G70" s="359"/>
      <c r="H70" s="359"/>
      <c r="I70" s="359"/>
      <c r="J70" s="359"/>
    </row>
    <row r="71" spans="1:10">
      <c r="A71" s="359"/>
      <c r="B71" s="359"/>
      <c r="C71" s="359"/>
      <c r="D71" s="359"/>
      <c r="E71" s="359"/>
      <c r="F71" s="359"/>
      <c r="G71" s="359"/>
      <c r="H71" s="359"/>
      <c r="I71" s="359"/>
      <c r="J71" s="359"/>
    </row>
  </sheetData>
  <mergeCells count="1">
    <mergeCell ref="D8:I8"/>
  </mergeCells>
  <pageMargins left="0.7" right="0.7" top="0.75" bottom="0.75" header="0.3" footer="0.3"/>
  <pageSetup scale="63" orientation="landscape" r:id="rId1"/>
  <headerFooter>
    <oddHeader>&amp;CSchedule 9-ADIT-3
EDIT - Tax Rate Change&amp;RTO2024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90" workbookViewId="0"/>
  </sheetViews>
  <sheetFormatPr defaultRowHeight="12.5"/>
  <cols>
    <col min="1" max="1" width="4.54296875"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bestFit="1" customWidth="1"/>
    <col min="13" max="13" width="13.453125" bestFit="1" customWidth="1"/>
  </cols>
  <sheetData>
    <row r="1" spans="1:12" ht="13">
      <c r="A1" s="1" t="s">
        <v>954</v>
      </c>
      <c r="K1" s="1"/>
    </row>
    <row r="2" spans="1:12" ht="13">
      <c r="A2" s="1"/>
      <c r="K2" s="1"/>
    </row>
    <row r="3" spans="1:12" ht="13">
      <c r="A3" s="1"/>
      <c r="B3" s="247" t="s">
        <v>955</v>
      </c>
      <c r="K3" s="1"/>
    </row>
    <row r="4" spans="1:12" ht="13">
      <c r="B4" s="247" t="s">
        <v>956</v>
      </c>
      <c r="K4" s="1"/>
      <c r="L4" s="247"/>
    </row>
    <row r="5" spans="1:12" ht="13">
      <c r="B5" s="247"/>
      <c r="K5" s="1"/>
    </row>
    <row r="6" spans="1:12" ht="13">
      <c r="A6" s="247"/>
      <c r="B6" s="1" t="s">
        <v>957</v>
      </c>
      <c r="E6" s="39" t="s">
        <v>195</v>
      </c>
      <c r="F6" s="254" t="s">
        <v>958</v>
      </c>
      <c r="G6" s="54"/>
      <c r="K6" s="1"/>
    </row>
    <row r="7" spans="1:12" ht="13">
      <c r="A7" s="247"/>
      <c r="B7" s="690"/>
      <c r="D7" s="48" t="s">
        <v>336</v>
      </c>
      <c r="E7" s="48" t="s">
        <v>337</v>
      </c>
      <c r="F7" s="48" t="s">
        <v>338</v>
      </c>
      <c r="G7" s="48" t="s">
        <v>339</v>
      </c>
      <c r="H7" s="48" t="s">
        <v>340</v>
      </c>
      <c r="I7" s="48" t="s">
        <v>341</v>
      </c>
      <c r="J7" s="48"/>
      <c r="K7" s="1"/>
      <c r="L7" s="48"/>
    </row>
    <row r="8" spans="1:12">
      <c r="D8" s="248" t="s">
        <v>959</v>
      </c>
    </row>
    <row r="9" spans="1:12">
      <c r="D9" s="37" t="s">
        <v>960</v>
      </c>
    </row>
    <row r="10" spans="1:12" ht="13">
      <c r="B10" s="2"/>
    </row>
    <row r="11" spans="1:12" ht="13">
      <c r="B11" s="2"/>
      <c r="D11" s="2" t="s">
        <v>360</v>
      </c>
      <c r="F11" s="2" t="s">
        <v>961</v>
      </c>
      <c r="G11" s="186" t="s">
        <v>962</v>
      </c>
      <c r="H11" s="186" t="s">
        <v>963</v>
      </c>
      <c r="I11" s="2"/>
      <c r="J11" s="2"/>
      <c r="K11" s="247"/>
    </row>
    <row r="12" spans="1:12" ht="13">
      <c r="A12" s="30" t="s">
        <v>273</v>
      </c>
      <c r="B12" s="344" t="s">
        <v>371</v>
      </c>
      <c r="C12" s="344" t="s">
        <v>372</v>
      </c>
      <c r="D12" s="3" t="s">
        <v>964</v>
      </c>
      <c r="E12" s="3" t="s">
        <v>965</v>
      </c>
      <c r="F12" s="3" t="s">
        <v>966</v>
      </c>
      <c r="G12" s="187" t="s">
        <v>967</v>
      </c>
      <c r="H12" s="187" t="s">
        <v>968</v>
      </c>
      <c r="I12" s="3" t="s">
        <v>969</v>
      </c>
      <c r="J12" s="3"/>
      <c r="K12" s="247"/>
    </row>
    <row r="13" spans="1:12" ht="13">
      <c r="A13" s="2">
        <v>1</v>
      </c>
      <c r="B13" s="345" t="s">
        <v>379</v>
      </c>
      <c r="C13" s="346">
        <v>2021</v>
      </c>
      <c r="D13" s="6">
        <f>SUM(E13:I13)+SUM(D33:I33)</f>
        <v>453086010.88</v>
      </c>
      <c r="E13" s="277">
        <v>164208.54</v>
      </c>
      <c r="F13" s="59">
        <v>0</v>
      </c>
      <c r="G13" s="59">
        <v>6065998.96</v>
      </c>
      <c r="H13" s="59">
        <v>371163.37</v>
      </c>
      <c r="I13" s="59">
        <v>0</v>
      </c>
      <c r="J13" s="347"/>
    </row>
    <row r="14" spans="1:12" ht="13">
      <c r="A14" s="2">
        <f>A13+1</f>
        <v>2</v>
      </c>
      <c r="B14" s="345" t="s">
        <v>381</v>
      </c>
      <c r="C14" s="346">
        <v>2022</v>
      </c>
      <c r="D14" s="6">
        <f t="shared" ref="D14:D25" si="0">SUM(E14:I14)+SUM(D34:I34)</f>
        <v>459463690.97999996</v>
      </c>
      <c r="E14" s="277">
        <v>164208.54</v>
      </c>
      <c r="F14" s="59">
        <v>0</v>
      </c>
      <c r="G14" s="59">
        <v>6107559.5999999996</v>
      </c>
      <c r="H14" s="59">
        <v>375199.14</v>
      </c>
      <c r="I14" s="59">
        <v>0</v>
      </c>
      <c r="J14" s="347"/>
    </row>
    <row r="15" spans="1:12" ht="13">
      <c r="A15" s="2">
        <f t="shared" ref="A15:A26" si="1">A14+1</f>
        <v>3</v>
      </c>
      <c r="B15" s="345" t="s">
        <v>382</v>
      </c>
      <c r="C15" s="346">
        <v>2022</v>
      </c>
      <c r="D15" s="6">
        <f t="shared" si="0"/>
        <v>470910235.30000001</v>
      </c>
      <c r="E15" s="277">
        <v>164483.71</v>
      </c>
      <c r="F15" s="59">
        <v>0</v>
      </c>
      <c r="G15" s="59">
        <v>6133198.54</v>
      </c>
      <c r="H15" s="59">
        <v>487096.05</v>
      </c>
      <c r="I15" s="59">
        <v>0</v>
      </c>
      <c r="J15" s="347"/>
    </row>
    <row r="16" spans="1:12" ht="13">
      <c r="A16" s="2">
        <f t="shared" si="1"/>
        <v>4</v>
      </c>
      <c r="B16" s="345" t="s">
        <v>383</v>
      </c>
      <c r="C16" s="346">
        <v>2022</v>
      </c>
      <c r="D16" s="6">
        <f t="shared" si="0"/>
        <v>477055956.31</v>
      </c>
      <c r="E16" s="277">
        <v>164459.71</v>
      </c>
      <c r="F16" s="59">
        <v>0</v>
      </c>
      <c r="G16" s="59">
        <v>6159376.1600000001</v>
      </c>
      <c r="H16" s="59">
        <v>548680.82999999996</v>
      </c>
      <c r="I16" s="59">
        <v>0</v>
      </c>
      <c r="J16" s="347"/>
    </row>
    <row r="17" spans="1:11" ht="13">
      <c r="A17" s="2">
        <f t="shared" si="1"/>
        <v>5</v>
      </c>
      <c r="B17" s="345" t="s">
        <v>384</v>
      </c>
      <c r="C17" s="346">
        <v>2022</v>
      </c>
      <c r="D17" s="6">
        <f t="shared" si="0"/>
        <v>485702743.10999995</v>
      </c>
      <c r="E17" s="277">
        <v>165046.59</v>
      </c>
      <c r="F17" s="59">
        <v>0</v>
      </c>
      <c r="G17" s="59">
        <v>6221315.46</v>
      </c>
      <c r="H17" s="59">
        <v>613619.04</v>
      </c>
      <c r="I17" s="59">
        <v>0</v>
      </c>
      <c r="J17" s="347"/>
    </row>
    <row r="18" spans="1:11" ht="13">
      <c r="A18" s="2">
        <f t="shared" si="1"/>
        <v>6</v>
      </c>
      <c r="B18" s="345" t="s">
        <v>385</v>
      </c>
      <c r="C18" s="346">
        <v>2022</v>
      </c>
      <c r="D18" s="6">
        <f t="shared" si="0"/>
        <v>270066018.80000001</v>
      </c>
      <c r="E18" s="277">
        <v>165280.15</v>
      </c>
      <c r="F18" s="59">
        <v>0</v>
      </c>
      <c r="G18" s="59">
        <v>6273705.1100000003</v>
      </c>
      <c r="H18" s="59">
        <v>614756.31000000006</v>
      </c>
      <c r="I18" s="59">
        <v>0</v>
      </c>
      <c r="J18" s="347"/>
    </row>
    <row r="19" spans="1:11" ht="13">
      <c r="A19" s="2">
        <f t="shared" si="1"/>
        <v>7</v>
      </c>
      <c r="B19" s="345" t="s">
        <v>386</v>
      </c>
      <c r="C19" s="346">
        <v>2022</v>
      </c>
      <c r="D19" s="6">
        <f t="shared" si="0"/>
        <v>263440825.87</v>
      </c>
      <c r="E19" s="277">
        <v>566731.75</v>
      </c>
      <c r="F19" s="59">
        <v>0</v>
      </c>
      <c r="G19" s="59">
        <v>6301492.8899999997</v>
      </c>
      <c r="H19" s="59">
        <v>674449.62</v>
      </c>
      <c r="I19" s="59">
        <v>0</v>
      </c>
      <c r="J19" s="347"/>
    </row>
    <row r="20" spans="1:11" ht="13">
      <c r="A20" s="2">
        <f t="shared" si="1"/>
        <v>8</v>
      </c>
      <c r="B20" s="345" t="s">
        <v>387</v>
      </c>
      <c r="C20" s="346">
        <v>2022</v>
      </c>
      <c r="D20" s="6">
        <f t="shared" si="0"/>
        <v>263461520.85000002</v>
      </c>
      <c r="E20" s="277">
        <v>566595.14</v>
      </c>
      <c r="F20" s="59">
        <v>0</v>
      </c>
      <c r="G20" s="59">
        <v>6305356.3600000003</v>
      </c>
      <c r="H20" s="59">
        <v>761954.55</v>
      </c>
      <c r="I20" s="59">
        <v>0</v>
      </c>
      <c r="J20" s="347"/>
    </row>
    <row r="21" spans="1:11" ht="13">
      <c r="A21" s="2">
        <f t="shared" si="1"/>
        <v>9</v>
      </c>
      <c r="B21" s="345" t="s">
        <v>388</v>
      </c>
      <c r="C21" s="346">
        <v>2022</v>
      </c>
      <c r="D21" s="6">
        <f t="shared" si="0"/>
        <v>265019330.73999998</v>
      </c>
      <c r="E21" s="277">
        <v>565658.07999999996</v>
      </c>
      <c r="F21" s="59">
        <v>0</v>
      </c>
      <c r="G21" s="59">
        <v>6308496.1399999997</v>
      </c>
      <c r="H21" s="59">
        <v>765257.04</v>
      </c>
      <c r="I21" s="59">
        <v>0</v>
      </c>
      <c r="J21" s="347"/>
    </row>
    <row r="22" spans="1:11" ht="13">
      <c r="A22" s="2">
        <f t="shared" si="1"/>
        <v>10</v>
      </c>
      <c r="B22" s="345" t="s">
        <v>389</v>
      </c>
      <c r="C22" s="346">
        <v>2022</v>
      </c>
      <c r="D22" s="6">
        <f t="shared" si="0"/>
        <v>266696724.10000002</v>
      </c>
      <c r="E22" s="277">
        <v>565762.66</v>
      </c>
      <c r="F22" s="59">
        <v>0</v>
      </c>
      <c r="G22" s="59">
        <v>6311268.1500000004</v>
      </c>
      <c r="H22" s="59">
        <v>807652.99</v>
      </c>
      <c r="I22" s="59">
        <v>0</v>
      </c>
      <c r="J22" s="347"/>
    </row>
    <row r="23" spans="1:11" ht="13">
      <c r="A23" s="2">
        <f t="shared" si="1"/>
        <v>11</v>
      </c>
      <c r="B23" s="345" t="s">
        <v>970</v>
      </c>
      <c r="C23" s="346">
        <v>2022</v>
      </c>
      <c r="D23" s="6">
        <f t="shared" si="0"/>
        <v>268245469.81999999</v>
      </c>
      <c r="E23" s="277">
        <v>565762.66</v>
      </c>
      <c r="F23" s="59">
        <v>0</v>
      </c>
      <c r="G23" s="59">
        <v>6313329.1200000001</v>
      </c>
      <c r="H23" s="59">
        <v>854600.03</v>
      </c>
      <c r="I23" s="59">
        <v>0</v>
      </c>
      <c r="J23" s="347"/>
    </row>
    <row r="24" spans="1:11" ht="13">
      <c r="A24" s="2">
        <f t="shared" si="1"/>
        <v>12</v>
      </c>
      <c r="B24" s="345" t="s">
        <v>391</v>
      </c>
      <c r="C24" s="346">
        <v>2022</v>
      </c>
      <c r="D24" s="6">
        <f t="shared" si="0"/>
        <v>271768251.03000003</v>
      </c>
      <c r="E24" s="277">
        <v>565834.07999999996</v>
      </c>
      <c r="F24" s="59">
        <v>0</v>
      </c>
      <c r="G24" s="59">
        <v>6315803.4800000004</v>
      </c>
      <c r="H24" s="59">
        <v>882715.04</v>
      </c>
      <c r="I24" s="59">
        <v>0</v>
      </c>
      <c r="J24" s="347"/>
    </row>
    <row r="25" spans="1:11" ht="13">
      <c r="A25" s="2">
        <f t="shared" si="1"/>
        <v>13</v>
      </c>
      <c r="B25" s="345" t="s">
        <v>379</v>
      </c>
      <c r="C25" s="346">
        <v>2022</v>
      </c>
      <c r="D25" s="53">
        <f t="shared" si="0"/>
        <v>285206915.12</v>
      </c>
      <c r="E25" s="215">
        <v>569300.1</v>
      </c>
      <c r="F25" s="61">
        <v>0</v>
      </c>
      <c r="G25" s="61">
        <v>6391146.5599999996</v>
      </c>
      <c r="H25" s="61">
        <v>974727.83</v>
      </c>
      <c r="I25" s="61">
        <v>0</v>
      </c>
      <c r="J25" s="347"/>
    </row>
    <row r="26" spans="1:11" ht="13">
      <c r="A26" s="2">
        <f t="shared" si="1"/>
        <v>14</v>
      </c>
      <c r="B26" s="345"/>
      <c r="C26" s="348" t="s">
        <v>971</v>
      </c>
      <c r="D26" s="275">
        <f t="shared" ref="D26:I26" si="2">SUM(D13:D25)/13</f>
        <v>346163360.99307692</v>
      </c>
      <c r="E26" s="275">
        <f t="shared" si="2"/>
        <v>381025.51615384617</v>
      </c>
      <c r="F26" s="275">
        <f t="shared" si="2"/>
        <v>0</v>
      </c>
      <c r="G26" s="275">
        <f t="shared" si="2"/>
        <v>6246772.8100000005</v>
      </c>
      <c r="H26" s="275">
        <f t="shared" si="2"/>
        <v>671682.44923076918</v>
      </c>
      <c r="I26" s="275">
        <f t="shared" si="2"/>
        <v>0</v>
      </c>
      <c r="J26" s="347"/>
      <c r="K26" s="347"/>
    </row>
    <row r="27" spans="1:11" ht="13">
      <c r="A27" s="2"/>
      <c r="B27" s="345"/>
      <c r="C27" s="348"/>
      <c r="D27" s="275"/>
      <c r="E27" s="275"/>
      <c r="F27" s="275"/>
      <c r="G27" s="275"/>
      <c r="H27" s="275"/>
      <c r="I27" s="347"/>
      <c r="J27" s="246"/>
      <c r="K27" s="347"/>
    </row>
    <row r="28" spans="1:11" ht="13">
      <c r="A28" s="2"/>
      <c r="B28" s="345"/>
      <c r="C28" s="348"/>
      <c r="D28" s="48" t="s">
        <v>342</v>
      </c>
      <c r="E28" s="48" t="s">
        <v>343</v>
      </c>
      <c r="F28" s="48" t="s">
        <v>344</v>
      </c>
      <c r="G28" s="48" t="s">
        <v>589</v>
      </c>
      <c r="H28" s="48" t="s">
        <v>590</v>
      </c>
      <c r="I28" s="48" t="s">
        <v>591</v>
      </c>
      <c r="J28" s="840" t="s">
        <v>592</v>
      </c>
      <c r="K28" s="48"/>
    </row>
    <row r="29" spans="1:11" ht="13">
      <c r="A29" s="2"/>
      <c r="B29" s="345"/>
      <c r="C29" s="348"/>
      <c r="E29" s="186" t="s">
        <v>972</v>
      </c>
      <c r="F29" s="186"/>
      <c r="G29" s="186"/>
      <c r="H29" s="275"/>
      <c r="I29" s="347"/>
      <c r="J29" s="616"/>
      <c r="K29" s="347"/>
    </row>
    <row r="30" spans="1:11" ht="13">
      <c r="B30" s="2"/>
      <c r="D30" s="2" t="s">
        <v>973</v>
      </c>
      <c r="E30" s="2" t="s">
        <v>974</v>
      </c>
      <c r="F30" s="782"/>
      <c r="G30" s="782"/>
      <c r="H30" s="782"/>
      <c r="I30" s="186"/>
      <c r="J30" s="616"/>
      <c r="K30" s="347"/>
    </row>
    <row r="31" spans="1:11" ht="13">
      <c r="B31" s="2"/>
      <c r="D31" s="2" t="s">
        <v>709</v>
      </c>
      <c r="E31" s="2" t="s">
        <v>709</v>
      </c>
      <c r="F31" s="787"/>
      <c r="G31" s="787"/>
      <c r="H31" s="788" t="s">
        <v>975</v>
      </c>
      <c r="I31" s="186"/>
      <c r="J31" s="835"/>
      <c r="K31" s="186"/>
    </row>
    <row r="32" spans="1:11" ht="13">
      <c r="A32" s="30" t="s">
        <v>273</v>
      </c>
      <c r="B32" s="344" t="s">
        <v>371</v>
      </c>
      <c r="C32" s="344" t="s">
        <v>372</v>
      </c>
      <c r="D32" s="3" t="s">
        <v>976</v>
      </c>
      <c r="E32" s="3" t="s">
        <v>976</v>
      </c>
      <c r="F32" s="787" t="s">
        <v>977</v>
      </c>
      <c r="G32" s="787" t="s">
        <v>978</v>
      </c>
      <c r="H32" s="787" t="s">
        <v>979</v>
      </c>
      <c r="I32" s="187" t="s">
        <v>980</v>
      </c>
      <c r="J32" s="188"/>
      <c r="K32" s="187"/>
    </row>
    <row r="33" spans="1:11" ht="13">
      <c r="A33" s="2">
        <f>+A26+1</f>
        <v>15</v>
      </c>
      <c r="B33" s="345" t="s">
        <v>379</v>
      </c>
      <c r="C33" s="346">
        <v>2021</v>
      </c>
      <c r="D33" s="59">
        <v>0</v>
      </c>
      <c r="E33" s="59">
        <v>0</v>
      </c>
      <c r="F33" s="59">
        <v>201436016.56999999</v>
      </c>
      <c r="G33" s="59">
        <v>25294388.629999999</v>
      </c>
      <c r="H33" s="59">
        <v>189682923.96000001</v>
      </c>
      <c r="I33" s="596">
        <v>30071310.850000001</v>
      </c>
      <c r="J33" s="596"/>
      <c r="K33" s="837"/>
    </row>
    <row r="34" spans="1:11" ht="13">
      <c r="A34" s="2">
        <f>A33+1</f>
        <v>16</v>
      </c>
      <c r="B34" s="345" t="s">
        <v>381</v>
      </c>
      <c r="C34" s="346">
        <v>2022</v>
      </c>
      <c r="D34" s="59">
        <v>0</v>
      </c>
      <c r="E34" s="59">
        <v>0</v>
      </c>
      <c r="F34" s="59">
        <v>207960492.78999999</v>
      </c>
      <c r="G34" s="59">
        <v>25218671.050000001</v>
      </c>
      <c r="H34" s="59">
        <v>189122117.06</v>
      </c>
      <c r="I34" s="596">
        <v>30515442.800000001</v>
      </c>
      <c r="J34" s="596"/>
      <c r="K34" s="837"/>
    </row>
    <row r="35" spans="1:11" ht="13">
      <c r="A35" s="2">
        <f t="shared" ref="A35:A46" si="3">A34+1</f>
        <v>17</v>
      </c>
      <c r="B35" s="345" t="s">
        <v>382</v>
      </c>
      <c r="C35" s="346">
        <v>2022</v>
      </c>
      <c r="D35" s="59">
        <v>0</v>
      </c>
      <c r="E35" s="59">
        <v>0</v>
      </c>
      <c r="F35" s="59">
        <v>210345899.72</v>
      </c>
      <c r="G35" s="59">
        <v>25343082.530000001</v>
      </c>
      <c r="H35" s="59">
        <v>197513864.93000001</v>
      </c>
      <c r="I35" s="596">
        <v>30922609.82</v>
      </c>
      <c r="J35" s="596"/>
      <c r="K35" s="837"/>
    </row>
    <row r="36" spans="1:11" ht="13">
      <c r="A36" s="2">
        <f t="shared" si="3"/>
        <v>18</v>
      </c>
      <c r="B36" s="345" t="s">
        <v>383</v>
      </c>
      <c r="C36" s="346">
        <v>2022</v>
      </c>
      <c r="D36" s="59">
        <v>0</v>
      </c>
      <c r="E36" s="59">
        <v>0</v>
      </c>
      <c r="F36" s="59">
        <v>213013304.28</v>
      </c>
      <c r="G36" s="59">
        <v>25447581.190000001</v>
      </c>
      <c r="H36" s="59">
        <v>200404333.86000001</v>
      </c>
      <c r="I36" s="596">
        <v>31318220.280000001</v>
      </c>
      <c r="J36" s="596"/>
      <c r="K36" s="837"/>
    </row>
    <row r="37" spans="1:11" ht="13">
      <c r="A37" s="2">
        <f t="shared" si="3"/>
        <v>19</v>
      </c>
      <c r="B37" s="345" t="s">
        <v>384</v>
      </c>
      <c r="C37" s="346">
        <v>2022</v>
      </c>
      <c r="D37" s="59">
        <v>0</v>
      </c>
      <c r="E37" s="59">
        <v>0</v>
      </c>
      <c r="F37" s="59">
        <v>217524450.68000001</v>
      </c>
      <c r="G37" s="59">
        <v>25620960.629999999</v>
      </c>
      <c r="H37" s="59">
        <v>203801602.33000001</v>
      </c>
      <c r="I37" s="596">
        <v>31755748.379999999</v>
      </c>
      <c r="J37" s="596"/>
      <c r="K37" s="837"/>
    </row>
    <row r="38" spans="1:11" ht="13">
      <c r="A38" s="2">
        <f t="shared" si="3"/>
        <v>20</v>
      </c>
      <c r="B38" s="345" t="s">
        <v>385</v>
      </c>
      <c r="C38" s="346">
        <v>2022</v>
      </c>
      <c r="D38" s="59">
        <v>0</v>
      </c>
      <c r="E38" s="59">
        <v>0</v>
      </c>
      <c r="F38" s="59">
        <v>0</v>
      </c>
      <c r="G38" s="59">
        <v>25693714.510000002</v>
      </c>
      <c r="H38" s="59">
        <v>205258721.06</v>
      </c>
      <c r="I38" s="596">
        <v>32059841.66</v>
      </c>
      <c r="J38" s="596"/>
      <c r="K38" s="837"/>
    </row>
    <row r="39" spans="1:11" ht="13">
      <c r="A39" s="2">
        <f t="shared" si="3"/>
        <v>21</v>
      </c>
      <c r="B39" s="345" t="s">
        <v>386</v>
      </c>
      <c r="C39" s="346">
        <v>2022</v>
      </c>
      <c r="D39" s="59">
        <v>0</v>
      </c>
      <c r="E39" s="59">
        <v>0</v>
      </c>
      <c r="F39" s="59">
        <v>0</v>
      </c>
      <c r="G39" s="59">
        <v>25770422.27</v>
      </c>
      <c r="H39" s="59">
        <v>197827530.16</v>
      </c>
      <c r="I39" s="596">
        <v>32300199.18</v>
      </c>
      <c r="J39" s="596"/>
      <c r="K39" s="837"/>
    </row>
    <row r="40" spans="1:11" ht="13">
      <c r="A40" s="2">
        <f t="shared" si="3"/>
        <v>22</v>
      </c>
      <c r="B40" s="345" t="s">
        <v>387</v>
      </c>
      <c r="C40" s="346">
        <v>2022</v>
      </c>
      <c r="D40" s="59">
        <v>0</v>
      </c>
      <c r="E40" s="59">
        <v>0</v>
      </c>
      <c r="F40" s="59">
        <v>0</v>
      </c>
      <c r="G40" s="59">
        <v>25880102.140000001</v>
      </c>
      <c r="H40" s="59">
        <v>197560151.47999999</v>
      </c>
      <c r="I40" s="596">
        <v>32387361.18</v>
      </c>
      <c r="J40" s="596"/>
      <c r="K40" s="837"/>
    </row>
    <row r="41" spans="1:11" ht="13">
      <c r="A41" s="2">
        <f>A40+1</f>
        <v>23</v>
      </c>
      <c r="B41" s="345" t="s">
        <v>388</v>
      </c>
      <c r="C41" s="346">
        <v>2022</v>
      </c>
      <c r="D41" s="59">
        <v>0</v>
      </c>
      <c r="E41" s="59">
        <v>0</v>
      </c>
      <c r="F41" s="59">
        <v>0</v>
      </c>
      <c r="G41" s="59">
        <v>25922022.969999999</v>
      </c>
      <c r="H41" s="59">
        <v>198951448.47</v>
      </c>
      <c r="I41" s="596">
        <v>32506448.039999999</v>
      </c>
      <c r="J41" s="596"/>
      <c r="K41" s="837"/>
    </row>
    <row r="42" spans="1:11" ht="13">
      <c r="A42" s="2">
        <f t="shared" si="3"/>
        <v>24</v>
      </c>
      <c r="B42" s="345" t="s">
        <v>389</v>
      </c>
      <c r="C42" s="346">
        <v>2022</v>
      </c>
      <c r="D42" s="59">
        <v>0</v>
      </c>
      <c r="E42" s="59">
        <v>0</v>
      </c>
      <c r="F42" s="59">
        <v>0</v>
      </c>
      <c r="G42" s="59">
        <v>26119669.050000001</v>
      </c>
      <c r="H42" s="59">
        <v>200230066.22</v>
      </c>
      <c r="I42" s="596">
        <v>32662305.030000001</v>
      </c>
      <c r="J42" s="596"/>
      <c r="K42" s="837"/>
    </row>
    <row r="43" spans="1:11" ht="13">
      <c r="A43" s="2">
        <f t="shared" si="3"/>
        <v>25</v>
      </c>
      <c r="B43" s="345" t="s">
        <v>970</v>
      </c>
      <c r="C43" s="346">
        <v>2022</v>
      </c>
      <c r="D43" s="59">
        <v>0</v>
      </c>
      <c r="E43" s="59">
        <v>0</v>
      </c>
      <c r="F43" s="59">
        <v>0</v>
      </c>
      <c r="G43" s="59">
        <v>26183422.84</v>
      </c>
      <c r="H43" s="59">
        <v>201437060.78</v>
      </c>
      <c r="I43" s="596">
        <v>32891294.390000001</v>
      </c>
      <c r="J43" s="596"/>
      <c r="K43" s="837"/>
    </row>
    <row r="44" spans="1:11" ht="13">
      <c r="A44" s="2">
        <f t="shared" si="3"/>
        <v>26</v>
      </c>
      <c r="B44" s="345" t="s">
        <v>391</v>
      </c>
      <c r="C44" s="346">
        <v>2022</v>
      </c>
      <c r="D44" s="59">
        <v>0</v>
      </c>
      <c r="E44" s="59">
        <v>0</v>
      </c>
      <c r="F44" s="596">
        <v>0</v>
      </c>
      <c r="G44" s="596">
        <v>26248108.629999999</v>
      </c>
      <c r="H44" s="277">
        <v>204640768.37</v>
      </c>
      <c r="I44" s="596">
        <v>33115021.43</v>
      </c>
      <c r="J44" s="596"/>
      <c r="K44" s="837"/>
    </row>
    <row r="45" spans="1:11" ht="13">
      <c r="A45" s="2">
        <f t="shared" si="3"/>
        <v>27</v>
      </c>
      <c r="B45" s="345" t="s">
        <v>379</v>
      </c>
      <c r="C45" s="346">
        <v>2022</v>
      </c>
      <c r="D45" s="61">
        <v>0</v>
      </c>
      <c r="E45" s="61">
        <v>0</v>
      </c>
      <c r="F45" s="836">
        <v>0</v>
      </c>
      <c r="G45" s="836">
        <v>26660116.48</v>
      </c>
      <c r="H45" s="215">
        <v>212122946.66999999</v>
      </c>
      <c r="I45" s="836">
        <v>38488677.479999997</v>
      </c>
      <c r="J45" s="836"/>
      <c r="K45" s="838"/>
    </row>
    <row r="46" spans="1:11" ht="13">
      <c r="A46" s="2">
        <f t="shared" si="3"/>
        <v>28</v>
      </c>
      <c r="B46" s="345"/>
      <c r="C46" s="348" t="s">
        <v>971</v>
      </c>
      <c r="D46" s="275">
        <f t="shared" ref="D46:I46" si="4">SUM(D33:D45)/13</f>
        <v>0</v>
      </c>
      <c r="E46" s="275">
        <f t="shared" si="4"/>
        <v>0</v>
      </c>
      <c r="F46" s="275">
        <f t="shared" si="4"/>
        <v>80790781.849230766</v>
      </c>
      <c r="G46" s="275">
        <f t="shared" si="4"/>
        <v>25800174.070769232</v>
      </c>
      <c r="H46" s="275">
        <f t="shared" si="4"/>
        <v>199888733.48846155</v>
      </c>
      <c r="I46" s="275">
        <f t="shared" si="4"/>
        <v>32384190.809230771</v>
      </c>
      <c r="J46" s="349" t="s">
        <v>380</v>
      </c>
      <c r="K46" s="349"/>
    </row>
    <row r="48" spans="1:11" ht="13">
      <c r="B48" s="350" t="s">
        <v>981</v>
      </c>
    </row>
    <row r="49" spans="1:13" ht="13">
      <c r="B49" s="350"/>
      <c r="D49" s="3" t="s">
        <v>336</v>
      </c>
      <c r="E49" s="3" t="s">
        <v>337</v>
      </c>
      <c r="F49" s="3" t="s">
        <v>338</v>
      </c>
      <c r="G49" s="3" t="s">
        <v>339</v>
      </c>
      <c r="H49" s="3" t="s">
        <v>340</v>
      </c>
      <c r="I49" s="3" t="s">
        <v>341</v>
      </c>
      <c r="J49" s="3" t="s">
        <v>342</v>
      </c>
      <c r="K49" s="3" t="s">
        <v>343</v>
      </c>
    </row>
    <row r="50" spans="1:13" s="365" customFormat="1">
      <c r="D50" s="248" t="s">
        <v>346</v>
      </c>
      <c r="E50" s="248" t="s">
        <v>346</v>
      </c>
      <c r="F50" s="248" t="s">
        <v>346</v>
      </c>
      <c r="G50" s="248" t="s">
        <v>346</v>
      </c>
      <c r="H50" s="248" t="s">
        <v>346</v>
      </c>
      <c r="I50" s="248" t="s">
        <v>346</v>
      </c>
      <c r="J50" s="248" t="s">
        <v>346</v>
      </c>
      <c r="K50" s="248" t="s">
        <v>346</v>
      </c>
    </row>
    <row r="51" spans="1:13" ht="13">
      <c r="G51" s="2" t="s">
        <v>982</v>
      </c>
      <c r="K51" s="2"/>
    </row>
    <row r="52" spans="1:13" ht="13">
      <c r="A52" s="2"/>
      <c r="B52" s="2"/>
      <c r="C52" s="2"/>
      <c r="D52" s="2" t="s">
        <v>983</v>
      </c>
      <c r="E52" s="2" t="s">
        <v>984</v>
      </c>
      <c r="F52" s="2" t="s">
        <v>985</v>
      </c>
      <c r="G52" s="2" t="s">
        <v>249</v>
      </c>
      <c r="H52" s="2" t="s">
        <v>986</v>
      </c>
      <c r="I52" s="366" t="s">
        <v>987</v>
      </c>
      <c r="J52" s="2" t="s">
        <v>983</v>
      </c>
      <c r="K52" s="2" t="s">
        <v>988</v>
      </c>
    </row>
    <row r="53" spans="1:13" ht="13">
      <c r="A53" s="30" t="s">
        <v>273</v>
      </c>
      <c r="B53" s="344" t="s">
        <v>371</v>
      </c>
      <c r="C53" s="344" t="s">
        <v>372</v>
      </c>
      <c r="D53" s="3" t="s">
        <v>989</v>
      </c>
      <c r="E53" s="3" t="s">
        <v>990</v>
      </c>
      <c r="F53" s="3" t="s">
        <v>991</v>
      </c>
      <c r="G53" s="3" t="s">
        <v>992</v>
      </c>
      <c r="H53" s="3" t="s">
        <v>993</v>
      </c>
      <c r="I53" s="3" t="s">
        <v>994</v>
      </c>
      <c r="J53" s="3" t="s">
        <v>995</v>
      </c>
      <c r="K53" s="3" t="s">
        <v>996</v>
      </c>
    </row>
    <row r="54" spans="1:13" ht="13">
      <c r="A54" s="2">
        <f>A46+1</f>
        <v>29</v>
      </c>
      <c r="B54" s="345" t="s">
        <v>379</v>
      </c>
      <c r="C54" s="346">
        <v>2022</v>
      </c>
      <c r="D54" s="253" t="s">
        <v>380</v>
      </c>
      <c r="E54" s="253" t="s">
        <v>380</v>
      </c>
      <c r="F54" s="253" t="s">
        <v>380</v>
      </c>
      <c r="G54" s="253" t="s">
        <v>380</v>
      </c>
      <c r="H54" s="253" t="s">
        <v>380</v>
      </c>
      <c r="I54" s="253" t="s">
        <v>380</v>
      </c>
      <c r="J54" s="6">
        <f>D25</f>
        <v>285206915.12</v>
      </c>
      <c r="K54" s="253" t="s">
        <v>380</v>
      </c>
    </row>
    <row r="55" spans="1:13" ht="13">
      <c r="A55" s="2">
        <f>A54+1</f>
        <v>30</v>
      </c>
      <c r="B55" s="345" t="s">
        <v>381</v>
      </c>
      <c r="C55" s="346">
        <v>2023</v>
      </c>
      <c r="D55" s="6">
        <f t="shared" ref="D55:K55" si="5">D89+D122+D155+D188+D221+D254+D287+D320+D353+D386+D419</f>
        <v>6572942.5219999989</v>
      </c>
      <c r="E55" s="6">
        <f t="shared" si="5"/>
        <v>492970.68914999987</v>
      </c>
      <c r="F55" s="6">
        <f t="shared" si="5"/>
        <v>7065913.2111499989</v>
      </c>
      <c r="G55" s="6">
        <f t="shared" si="5"/>
        <v>5057408.9999999991</v>
      </c>
      <c r="H55" s="6">
        <f t="shared" si="5"/>
        <v>0</v>
      </c>
      <c r="I55" s="6">
        <f t="shared" si="5"/>
        <v>379305.67499999993</v>
      </c>
      <c r="J55" s="6">
        <f t="shared" si="5"/>
        <v>286836113.65614998</v>
      </c>
      <c r="K55" s="6">
        <f t="shared" si="5"/>
        <v>1629198.5361499931</v>
      </c>
      <c r="L55" s="455"/>
      <c r="M55" s="6"/>
    </row>
    <row r="56" spans="1:13" ht="13">
      <c r="A56" s="2">
        <f t="shared" ref="A56:A79" si="6">A55+1</f>
        <v>31</v>
      </c>
      <c r="B56" s="345" t="s">
        <v>382</v>
      </c>
      <c r="C56" s="346">
        <v>2023</v>
      </c>
      <c r="D56" s="6">
        <f t="shared" ref="D56:K56" si="7">D90+D123+D156+D189+D222+D255+D288+D321+D354+D387+D420</f>
        <v>7499545.9419999989</v>
      </c>
      <c r="E56" s="6">
        <f t="shared" si="7"/>
        <v>562465.94565000001</v>
      </c>
      <c r="F56" s="6">
        <f t="shared" si="7"/>
        <v>8062011.887649999</v>
      </c>
      <c r="G56" s="6">
        <f t="shared" si="7"/>
        <v>1952396.0000000002</v>
      </c>
      <c r="H56" s="6">
        <f t="shared" si="7"/>
        <v>0</v>
      </c>
      <c r="I56" s="6">
        <f t="shared" si="7"/>
        <v>146429.70000000001</v>
      </c>
      <c r="J56" s="6">
        <f t="shared" si="7"/>
        <v>292799299.84379995</v>
      </c>
      <c r="K56" s="6">
        <f t="shared" si="7"/>
        <v>7592384.7237999914</v>
      </c>
      <c r="L56" s="455"/>
      <c r="M56" s="6"/>
    </row>
    <row r="57" spans="1:13" ht="13">
      <c r="A57" s="2">
        <f t="shared" si="6"/>
        <v>32</v>
      </c>
      <c r="B57" s="345" t="s">
        <v>383</v>
      </c>
      <c r="C57" s="346">
        <v>2023</v>
      </c>
      <c r="D57" s="6">
        <f t="shared" ref="D57:K57" si="8">D91+D124+D157+D190+D223+D256+D289+D322+D355+D388+D421</f>
        <v>2766903.017</v>
      </c>
      <c r="E57" s="6">
        <f t="shared" si="8"/>
        <v>207517.72627500002</v>
      </c>
      <c r="F57" s="6">
        <f t="shared" si="8"/>
        <v>2974420.7432750002</v>
      </c>
      <c r="G57" s="6">
        <f t="shared" si="8"/>
        <v>1516783</v>
      </c>
      <c r="H57" s="6">
        <f t="shared" si="8"/>
        <v>0</v>
      </c>
      <c r="I57" s="6">
        <f t="shared" si="8"/>
        <v>113758.72500000001</v>
      </c>
      <c r="J57" s="6">
        <f t="shared" si="8"/>
        <v>294143178.86207497</v>
      </c>
      <c r="K57" s="6">
        <f t="shared" si="8"/>
        <v>8936263.7420749757</v>
      </c>
      <c r="L57" s="455"/>
      <c r="M57" s="6"/>
    </row>
    <row r="58" spans="1:13" ht="13">
      <c r="A58" s="2">
        <f t="shared" si="6"/>
        <v>33</v>
      </c>
      <c r="B58" s="345" t="s">
        <v>384</v>
      </c>
      <c r="C58" s="346">
        <v>2023</v>
      </c>
      <c r="D58" s="6">
        <f t="shared" ref="D58:K58" si="9">D92+D125+D158+D191+D224+D257+D290+D323+D356+D389+D422</f>
        <v>3302858.0639999998</v>
      </c>
      <c r="E58" s="6">
        <f t="shared" si="9"/>
        <v>247714.3548</v>
      </c>
      <c r="F58" s="6">
        <f t="shared" si="9"/>
        <v>3550572.4188000001</v>
      </c>
      <c r="G58" s="6">
        <f t="shared" si="9"/>
        <v>1314311</v>
      </c>
      <c r="H58" s="6">
        <f t="shared" si="9"/>
        <v>0</v>
      </c>
      <c r="I58" s="6">
        <f t="shared" si="9"/>
        <v>98573.324999999997</v>
      </c>
      <c r="J58" s="6">
        <f t="shared" si="9"/>
        <v>296280866.95587498</v>
      </c>
      <c r="K58" s="6">
        <f t="shared" si="9"/>
        <v>11073951.835874962</v>
      </c>
      <c r="L58" s="455"/>
      <c r="M58" s="6"/>
    </row>
    <row r="59" spans="1:13" ht="13">
      <c r="A59" s="2">
        <f t="shared" si="6"/>
        <v>34</v>
      </c>
      <c r="B59" s="345" t="s">
        <v>385</v>
      </c>
      <c r="C59" s="346">
        <v>2023</v>
      </c>
      <c r="D59" s="6">
        <f t="shared" ref="D59:K59" si="10">D93+D126+D159+D192+D225+D258+D291+D324+D357+D390+D423</f>
        <v>5532869.0010000002</v>
      </c>
      <c r="E59" s="6">
        <f t="shared" si="10"/>
        <v>414965.17507499998</v>
      </c>
      <c r="F59" s="6">
        <f t="shared" si="10"/>
        <v>5947834.1760749994</v>
      </c>
      <c r="G59" s="6">
        <f t="shared" si="10"/>
        <v>1706349</v>
      </c>
      <c r="H59" s="6">
        <f t="shared" si="10"/>
        <v>0</v>
      </c>
      <c r="I59" s="6">
        <f t="shared" si="10"/>
        <v>127976.175</v>
      </c>
      <c r="J59" s="6">
        <f t="shared" si="10"/>
        <v>300394375.95694995</v>
      </c>
      <c r="K59" s="6">
        <f t="shared" si="10"/>
        <v>15187460.836949961</v>
      </c>
      <c r="L59" s="455"/>
      <c r="M59" s="6"/>
    </row>
    <row r="60" spans="1:13" ht="13">
      <c r="A60" s="2">
        <f t="shared" si="6"/>
        <v>35</v>
      </c>
      <c r="B60" s="345" t="s">
        <v>594</v>
      </c>
      <c r="C60" s="346">
        <v>2023</v>
      </c>
      <c r="D60" s="6">
        <f t="shared" ref="D60:K60" si="11">D94+D127+D160+D193+D226+D259+D292+D325+D358+D391+D424</f>
        <v>2764035</v>
      </c>
      <c r="E60" s="6">
        <f t="shared" si="11"/>
        <v>207302.625</v>
      </c>
      <c r="F60" s="6">
        <f t="shared" si="11"/>
        <v>2971337.625</v>
      </c>
      <c r="G60" s="6">
        <f t="shared" si="11"/>
        <v>141195738.41999999</v>
      </c>
      <c r="H60" s="6">
        <f t="shared" si="11"/>
        <v>130664573.42000002</v>
      </c>
      <c r="I60" s="6">
        <f t="shared" si="11"/>
        <v>789837.37499999779</v>
      </c>
      <c r="J60" s="6">
        <f t="shared" si="11"/>
        <v>161380137.78694993</v>
      </c>
      <c r="K60" s="6">
        <f t="shared" si="11"/>
        <v>-123826777.33305004</v>
      </c>
      <c r="L60" s="455"/>
      <c r="M60" s="6"/>
    </row>
    <row r="61" spans="1:13" ht="13">
      <c r="A61" s="2">
        <f t="shared" si="6"/>
        <v>36</v>
      </c>
      <c r="B61" s="345" t="s">
        <v>387</v>
      </c>
      <c r="C61" s="346">
        <v>2023</v>
      </c>
      <c r="D61" s="6">
        <f t="shared" ref="D61:K61" si="12">D95+D128+D161+D194+D227+D260+D293+D326+D359+D392+D425</f>
        <v>4741634</v>
      </c>
      <c r="E61" s="6">
        <f t="shared" si="12"/>
        <v>355622.55</v>
      </c>
      <c r="F61" s="6">
        <f t="shared" si="12"/>
        <v>5097256.5500000007</v>
      </c>
      <c r="G61" s="6">
        <f t="shared" si="12"/>
        <v>3668172.9999999995</v>
      </c>
      <c r="H61" s="6">
        <f t="shared" si="12"/>
        <v>0</v>
      </c>
      <c r="I61" s="6">
        <f t="shared" si="12"/>
        <v>275112.97499999992</v>
      </c>
      <c r="J61" s="6">
        <f t="shared" si="12"/>
        <v>162534108.36194995</v>
      </c>
      <c r="K61" s="6">
        <f t="shared" si="12"/>
        <v>-122672806.75805002</v>
      </c>
      <c r="L61" s="455"/>
      <c r="M61" s="6"/>
    </row>
    <row r="62" spans="1:13" ht="13">
      <c r="A62" s="2">
        <f t="shared" si="6"/>
        <v>37</v>
      </c>
      <c r="B62" s="345" t="s">
        <v>388</v>
      </c>
      <c r="C62" s="346">
        <v>2023</v>
      </c>
      <c r="D62" s="6">
        <f t="shared" ref="D62:K62" si="13">D96+D129+D162+D195+D228+D261+D294+D327+D360+D393+D426</f>
        <v>1752948</v>
      </c>
      <c r="E62" s="6">
        <f t="shared" si="13"/>
        <v>131471.1</v>
      </c>
      <c r="F62" s="6">
        <f t="shared" si="13"/>
        <v>1884419.0999999999</v>
      </c>
      <c r="G62" s="6">
        <f t="shared" si="13"/>
        <v>1357651</v>
      </c>
      <c r="H62" s="6">
        <f t="shared" si="13"/>
        <v>0</v>
      </c>
      <c r="I62" s="6">
        <f t="shared" si="13"/>
        <v>101823.82499999998</v>
      </c>
      <c r="J62" s="6">
        <f t="shared" si="13"/>
        <v>162959052.63694996</v>
      </c>
      <c r="K62" s="6">
        <f t="shared" si="13"/>
        <v>-122247862.48305003</v>
      </c>
      <c r="L62" s="455"/>
      <c r="M62" s="6"/>
    </row>
    <row r="63" spans="1:13" ht="13">
      <c r="A63" s="2">
        <f t="shared" si="6"/>
        <v>38</v>
      </c>
      <c r="B63" s="345" t="s">
        <v>389</v>
      </c>
      <c r="C63" s="346">
        <v>2023</v>
      </c>
      <c r="D63" s="6">
        <f t="shared" ref="D63:K63" si="14">D97+D130+D163+D196+D229+D262+D295+D328+D361+D394+D427</f>
        <v>9188593</v>
      </c>
      <c r="E63" s="6">
        <f t="shared" si="14"/>
        <v>689144.47499999998</v>
      </c>
      <c r="F63" s="6">
        <f t="shared" si="14"/>
        <v>9877737.4749999996</v>
      </c>
      <c r="G63" s="6">
        <f t="shared" si="14"/>
        <v>2076096</v>
      </c>
      <c r="H63" s="6">
        <f t="shared" si="14"/>
        <v>0</v>
      </c>
      <c r="I63" s="6">
        <f t="shared" si="14"/>
        <v>155707.19999999998</v>
      </c>
      <c r="J63" s="6">
        <f t="shared" si="14"/>
        <v>170604986.91194993</v>
      </c>
      <c r="K63" s="6">
        <f t="shared" si="14"/>
        <v>-114601928.20805004</v>
      </c>
      <c r="L63" s="455"/>
      <c r="M63" s="6"/>
    </row>
    <row r="64" spans="1:13" ht="13">
      <c r="A64" s="2">
        <f t="shared" si="6"/>
        <v>39</v>
      </c>
      <c r="B64" s="345" t="s">
        <v>390</v>
      </c>
      <c r="C64" s="346">
        <v>2023</v>
      </c>
      <c r="D64" s="6">
        <f t="shared" ref="D64:K64" si="15">D98+D131+D164+D197+D230+D263+D296+D329+D362+D395+D428</f>
        <v>7659257</v>
      </c>
      <c r="E64" s="6">
        <f t="shared" si="15"/>
        <v>574444.27500000002</v>
      </c>
      <c r="F64" s="6">
        <f t="shared" si="15"/>
        <v>8233701.2750000004</v>
      </c>
      <c r="G64" s="6">
        <f t="shared" si="15"/>
        <v>831847.09677419381</v>
      </c>
      <c r="H64" s="6">
        <f t="shared" si="15"/>
        <v>0</v>
      </c>
      <c r="I64" s="6">
        <f t="shared" si="15"/>
        <v>62388.532258064537</v>
      </c>
      <c r="J64" s="6">
        <f t="shared" si="15"/>
        <v>177944452.55791768</v>
      </c>
      <c r="K64" s="6">
        <f t="shared" si="15"/>
        <v>-107262462.56208229</v>
      </c>
      <c r="L64" s="455"/>
      <c r="M64" s="6"/>
    </row>
    <row r="65" spans="1:13" ht="13">
      <c r="A65" s="2">
        <f t="shared" si="6"/>
        <v>40</v>
      </c>
      <c r="B65" s="345" t="s">
        <v>391</v>
      </c>
      <c r="C65" s="346">
        <v>2023</v>
      </c>
      <c r="D65" s="6">
        <f t="shared" ref="D65:K65" si="16">D99+D132+D165+D198+D231+D264+D297+D330+D363+D396+D429</f>
        <v>8876500.1319999993</v>
      </c>
      <c r="E65" s="6">
        <f t="shared" si="16"/>
        <v>665737.50989999995</v>
      </c>
      <c r="F65" s="6">
        <f t="shared" si="16"/>
        <v>9542237.6418999992</v>
      </c>
      <c r="G65" s="6">
        <f t="shared" si="16"/>
        <v>1988847.0967741939</v>
      </c>
      <c r="H65" s="6">
        <f t="shared" si="16"/>
        <v>0</v>
      </c>
      <c r="I65" s="6">
        <f t="shared" si="16"/>
        <v>149163.53225806454</v>
      </c>
      <c r="J65" s="6">
        <f t="shared" si="16"/>
        <v>185348679.57078546</v>
      </c>
      <c r="K65" s="6">
        <f t="shared" si="16"/>
        <v>-99858235.549214542</v>
      </c>
      <c r="L65" s="455"/>
      <c r="M65" s="6"/>
    </row>
    <row r="66" spans="1:13" ht="13">
      <c r="A66" s="2">
        <f t="shared" si="6"/>
        <v>41</v>
      </c>
      <c r="B66" s="345" t="s">
        <v>379</v>
      </c>
      <c r="C66" s="346">
        <v>2023</v>
      </c>
      <c r="D66" s="6">
        <f t="shared" ref="D66:K66" si="17">D100+D133+D166+D199+D232+D265+D298+D331+D364+D397+D430</f>
        <v>11673959.322000001</v>
      </c>
      <c r="E66" s="6">
        <f t="shared" si="17"/>
        <v>875546.94915</v>
      </c>
      <c r="F66" s="6">
        <f t="shared" si="17"/>
        <v>12549506.27115</v>
      </c>
      <c r="G66" s="6">
        <f t="shared" si="17"/>
        <v>114345230.06645143</v>
      </c>
      <c r="H66" s="6">
        <f t="shared" si="17"/>
        <v>78607147.259999812</v>
      </c>
      <c r="I66" s="6">
        <f t="shared" si="17"/>
        <v>2680356.2104838714</v>
      </c>
      <c r="J66" s="6">
        <f t="shared" si="17"/>
        <v>80872599.565000147</v>
      </c>
      <c r="K66" s="6">
        <f t="shared" si="17"/>
        <v>-204334315.55499986</v>
      </c>
      <c r="L66" s="455"/>
      <c r="M66" s="6"/>
    </row>
    <row r="67" spans="1:13" ht="13">
      <c r="A67" s="2">
        <f t="shared" si="6"/>
        <v>42</v>
      </c>
      <c r="B67" s="345" t="s">
        <v>381</v>
      </c>
      <c r="C67" s="346">
        <v>2024</v>
      </c>
      <c r="D67" s="6">
        <f t="shared" ref="D67:K67" si="18">D101+D134+D167+D200+D233+D266+D299+D332+D365+D398+D431</f>
        <v>2979315.6669999999</v>
      </c>
      <c r="E67" s="6">
        <f t="shared" si="18"/>
        <v>223448.675025</v>
      </c>
      <c r="F67" s="6">
        <f t="shared" si="18"/>
        <v>3202764.3420250001</v>
      </c>
      <c r="G67" s="6">
        <f t="shared" si="18"/>
        <v>2793000</v>
      </c>
      <c r="H67" s="6">
        <f t="shared" si="18"/>
        <v>0</v>
      </c>
      <c r="I67" s="6">
        <f t="shared" si="18"/>
        <v>209475</v>
      </c>
      <c r="J67" s="6">
        <f t="shared" si="18"/>
        <v>81072888.907025158</v>
      </c>
      <c r="K67" s="6">
        <f t="shared" si="18"/>
        <v>-204134026.21297485</v>
      </c>
      <c r="L67" s="455"/>
      <c r="M67" s="6"/>
    </row>
    <row r="68" spans="1:13" ht="13">
      <c r="A68" s="2">
        <f t="shared" si="6"/>
        <v>43</v>
      </c>
      <c r="B68" s="345" t="s">
        <v>382</v>
      </c>
      <c r="C68" s="346">
        <v>2024</v>
      </c>
      <c r="D68" s="6">
        <f t="shared" ref="D68:K68" si="19">D102+D135+D168+D201+D234+D267+D300+D333+D366+D399+D432</f>
        <v>7775755.6670000004</v>
      </c>
      <c r="E68" s="6">
        <f t="shared" si="19"/>
        <v>583181.675025</v>
      </c>
      <c r="F68" s="6">
        <f t="shared" si="19"/>
        <v>8358937.3420249997</v>
      </c>
      <c r="G68" s="6">
        <f t="shared" si="19"/>
        <v>7538000</v>
      </c>
      <c r="H68" s="6">
        <f t="shared" si="19"/>
        <v>0</v>
      </c>
      <c r="I68" s="6">
        <f t="shared" si="19"/>
        <v>565350</v>
      </c>
      <c r="J68" s="6">
        <f t="shared" si="19"/>
        <v>81328476.24905014</v>
      </c>
      <c r="K68" s="6">
        <f t="shared" si="19"/>
        <v>-203878438.87094986</v>
      </c>
      <c r="L68" s="455"/>
      <c r="M68" s="6"/>
    </row>
    <row r="69" spans="1:13" ht="13">
      <c r="A69" s="2">
        <f t="shared" si="6"/>
        <v>44</v>
      </c>
      <c r="B69" s="345" t="s">
        <v>383</v>
      </c>
      <c r="C69" s="346">
        <v>2024</v>
      </c>
      <c r="D69" s="6">
        <f t="shared" ref="D69:K69" si="20">D103+D136+D169+D202+D235+D268+D301+D334+D367+D400+D433</f>
        <v>1674195.6669999999</v>
      </c>
      <c r="E69" s="6">
        <f t="shared" si="20"/>
        <v>125564.675025</v>
      </c>
      <c r="F69" s="6">
        <f t="shared" si="20"/>
        <v>1799760.3420249999</v>
      </c>
      <c r="G69" s="6">
        <f t="shared" si="20"/>
        <v>7445253.9199999999</v>
      </c>
      <c r="H69" s="6">
        <f t="shared" si="20"/>
        <v>4395253.92</v>
      </c>
      <c r="I69" s="6">
        <f t="shared" si="20"/>
        <v>228750</v>
      </c>
      <c r="J69" s="6">
        <f t="shared" si="20"/>
        <v>75454232.671075135</v>
      </c>
      <c r="K69" s="6">
        <f t="shared" si="20"/>
        <v>-209752682.44892484</v>
      </c>
      <c r="L69" s="455"/>
      <c r="M69" s="6"/>
    </row>
    <row r="70" spans="1:13" ht="13">
      <c r="A70" s="2">
        <f t="shared" si="6"/>
        <v>45</v>
      </c>
      <c r="B70" s="345" t="s">
        <v>384</v>
      </c>
      <c r="C70" s="346">
        <v>2024</v>
      </c>
      <c r="D70" s="6">
        <f t="shared" ref="D70:K70" si="21">D104+D137+D170+D203+D236+D269+D302+D335+D368+D401+D434</f>
        <v>1674195.6669999999</v>
      </c>
      <c r="E70" s="6">
        <f t="shared" si="21"/>
        <v>125564.675025</v>
      </c>
      <c r="F70" s="6">
        <f t="shared" si="21"/>
        <v>1799760.3420249999</v>
      </c>
      <c r="G70" s="6">
        <f t="shared" si="21"/>
        <v>1155000</v>
      </c>
      <c r="H70" s="6">
        <f t="shared" si="21"/>
        <v>0</v>
      </c>
      <c r="I70" s="6">
        <f t="shared" si="21"/>
        <v>86625</v>
      </c>
      <c r="J70" s="6">
        <f t="shared" si="21"/>
        <v>76012368.013100147</v>
      </c>
      <c r="K70" s="6">
        <f t="shared" si="21"/>
        <v>-209194547.10689986</v>
      </c>
      <c r="L70" s="455"/>
      <c r="M70" s="6"/>
    </row>
    <row r="71" spans="1:13" ht="13">
      <c r="A71" s="2">
        <f t="shared" si="6"/>
        <v>46</v>
      </c>
      <c r="B71" s="345" t="s">
        <v>385</v>
      </c>
      <c r="C71" s="346">
        <v>2024</v>
      </c>
      <c r="D71" s="6">
        <f t="shared" ref="D71:K71" si="22">D105+D138+D171+D204+D237+D270+D303+D336+D369+D402+D435</f>
        <v>3440195.6669999999</v>
      </c>
      <c r="E71" s="6">
        <f t="shared" si="22"/>
        <v>258014.675025</v>
      </c>
      <c r="F71" s="6">
        <f t="shared" si="22"/>
        <v>3698210.3420250001</v>
      </c>
      <c r="G71" s="6">
        <f t="shared" si="22"/>
        <v>2921000</v>
      </c>
      <c r="H71" s="6">
        <f t="shared" si="22"/>
        <v>0</v>
      </c>
      <c r="I71" s="6">
        <f t="shared" si="22"/>
        <v>219075</v>
      </c>
      <c r="J71" s="6">
        <f t="shared" si="22"/>
        <v>76570503.355125129</v>
      </c>
      <c r="K71" s="6">
        <f t="shared" si="22"/>
        <v>-208636411.76487488</v>
      </c>
      <c r="L71" s="455"/>
      <c r="M71" s="6"/>
    </row>
    <row r="72" spans="1:13" ht="13">
      <c r="A72" s="2">
        <f t="shared" si="6"/>
        <v>47</v>
      </c>
      <c r="B72" s="345" t="s">
        <v>594</v>
      </c>
      <c r="C72" s="346">
        <v>2024</v>
      </c>
      <c r="D72" s="6">
        <f t="shared" ref="D72:K72" si="23">D106+D139+D172+D205+D238+D271+D304+D337+D370+D403+D436</f>
        <v>3359195.6669999999</v>
      </c>
      <c r="E72" s="6">
        <f t="shared" si="23"/>
        <v>251939.675025</v>
      </c>
      <c r="F72" s="6">
        <f t="shared" si="23"/>
        <v>3611135.3420250001</v>
      </c>
      <c r="G72" s="6">
        <f t="shared" si="23"/>
        <v>2940000</v>
      </c>
      <c r="H72" s="6">
        <f t="shared" si="23"/>
        <v>0</v>
      </c>
      <c r="I72" s="6">
        <f t="shared" si="23"/>
        <v>220500</v>
      </c>
      <c r="J72" s="6">
        <f t="shared" si="23"/>
        <v>77021138.697150141</v>
      </c>
      <c r="K72" s="6">
        <f t="shared" si="23"/>
        <v>-208185776.42284986</v>
      </c>
      <c r="L72" s="455"/>
      <c r="M72" s="6"/>
    </row>
    <row r="73" spans="1:13" ht="13">
      <c r="A73" s="2">
        <f t="shared" si="6"/>
        <v>48</v>
      </c>
      <c r="B73" s="345" t="s">
        <v>387</v>
      </c>
      <c r="C73" s="346">
        <v>2024</v>
      </c>
      <c r="D73" s="6">
        <f t="shared" ref="D73:K73" si="24">D107+D140+D173+D206+D239+D272+D305+D338+D371+D404+D437</f>
        <v>3122195.6669999999</v>
      </c>
      <c r="E73" s="6">
        <f t="shared" si="24"/>
        <v>234164.675025</v>
      </c>
      <c r="F73" s="6">
        <f t="shared" si="24"/>
        <v>3356360.3420250001</v>
      </c>
      <c r="G73" s="6">
        <f t="shared" si="24"/>
        <v>2683000</v>
      </c>
      <c r="H73" s="6">
        <f t="shared" si="24"/>
        <v>0</v>
      </c>
      <c r="I73" s="6">
        <f t="shared" si="24"/>
        <v>201225</v>
      </c>
      <c r="J73" s="6">
        <f t="shared" si="24"/>
        <v>77493274.039175123</v>
      </c>
      <c r="K73" s="6">
        <f t="shared" si="24"/>
        <v>-207713641.08082485</v>
      </c>
      <c r="L73" s="455"/>
      <c r="M73" s="6"/>
    </row>
    <row r="74" spans="1:13" ht="13">
      <c r="A74" s="2">
        <f t="shared" si="6"/>
        <v>49</v>
      </c>
      <c r="B74" s="345" t="s">
        <v>388</v>
      </c>
      <c r="C74" s="346">
        <v>2024</v>
      </c>
      <c r="D74" s="6">
        <f>D108+D141+D174+D207+D240+D273+D306+D339+D372+D405+D438</f>
        <v>2519195.6669999999</v>
      </c>
      <c r="E74" s="6">
        <f t="shared" ref="E74:K74" si="25">E108+E141+E174+E207+E240+E273+E306+E339+E372+E405+E438</f>
        <v>188939.675025</v>
      </c>
      <c r="F74" s="6">
        <f t="shared" si="25"/>
        <v>2708135.3420250001</v>
      </c>
      <c r="G74" s="6">
        <f t="shared" si="25"/>
        <v>2100000</v>
      </c>
      <c r="H74" s="6">
        <f t="shared" si="25"/>
        <v>0</v>
      </c>
      <c r="I74" s="6">
        <f t="shared" si="25"/>
        <v>157500</v>
      </c>
      <c r="J74" s="6">
        <f t="shared" si="25"/>
        <v>77943909.381200135</v>
      </c>
      <c r="K74" s="6">
        <f t="shared" si="25"/>
        <v>-207263005.73879987</v>
      </c>
      <c r="L74" s="455"/>
      <c r="M74" s="6"/>
    </row>
    <row r="75" spans="1:13" ht="13">
      <c r="A75" s="2">
        <f t="shared" si="6"/>
        <v>50</v>
      </c>
      <c r="B75" s="345" t="s">
        <v>389</v>
      </c>
      <c r="C75" s="346">
        <v>2024</v>
      </c>
      <c r="D75" s="6">
        <f t="shared" ref="D75:K75" si="26">D109+D142+D175+D208+D241+D274+D307+D340+D373+D406+D439</f>
        <v>2519195.6669999999</v>
      </c>
      <c r="E75" s="6">
        <f t="shared" si="26"/>
        <v>188939.675025</v>
      </c>
      <c r="F75" s="6">
        <f t="shared" si="26"/>
        <v>2708135.3420250001</v>
      </c>
      <c r="G75" s="6">
        <f t="shared" si="26"/>
        <v>2100000</v>
      </c>
      <c r="H75" s="6">
        <f t="shared" si="26"/>
        <v>0</v>
      </c>
      <c r="I75" s="6">
        <f t="shared" si="26"/>
        <v>157500</v>
      </c>
      <c r="J75" s="6">
        <f t="shared" si="26"/>
        <v>78394544.723225117</v>
      </c>
      <c r="K75" s="6">
        <f t="shared" si="26"/>
        <v>-206812370.39677489</v>
      </c>
      <c r="L75" s="455"/>
      <c r="M75" s="6"/>
    </row>
    <row r="76" spans="1:13" ht="13">
      <c r="A76" s="2">
        <f t="shared" si="6"/>
        <v>51</v>
      </c>
      <c r="B76" s="345" t="s">
        <v>390</v>
      </c>
      <c r="C76" s="346">
        <v>2024</v>
      </c>
      <c r="D76" s="6">
        <f t="shared" ref="D76:K76" si="27">D110+D143+D176+D209+D242+D275+D308+D341+D374+D407+D440</f>
        <v>2519195.6669999999</v>
      </c>
      <c r="E76" s="6">
        <f t="shared" si="27"/>
        <v>188939.675025</v>
      </c>
      <c r="F76" s="6">
        <f t="shared" si="27"/>
        <v>2708135.3420250001</v>
      </c>
      <c r="G76" s="6">
        <f t="shared" si="27"/>
        <v>2100000</v>
      </c>
      <c r="H76" s="6">
        <f t="shared" si="27"/>
        <v>0</v>
      </c>
      <c r="I76" s="6">
        <f t="shared" si="27"/>
        <v>157500</v>
      </c>
      <c r="J76" s="6">
        <f t="shared" si="27"/>
        <v>78845180.065250129</v>
      </c>
      <c r="K76" s="6">
        <f t="shared" si="27"/>
        <v>-206361735.05474988</v>
      </c>
      <c r="L76" s="455"/>
      <c r="M76" s="6"/>
    </row>
    <row r="77" spans="1:13" ht="13">
      <c r="A77" s="2">
        <f t="shared" si="6"/>
        <v>52</v>
      </c>
      <c r="B77" s="345" t="s">
        <v>391</v>
      </c>
      <c r="C77" s="346">
        <v>2024</v>
      </c>
      <c r="D77" s="6">
        <f t="shared" ref="D77:K77" si="28">D111+D144+D177+D210+D243+D276+D309+D342+D375+D408+D441</f>
        <v>2519195.6669999999</v>
      </c>
      <c r="E77" s="6">
        <f t="shared" si="28"/>
        <v>188939.675025</v>
      </c>
      <c r="F77" s="6">
        <f t="shared" si="28"/>
        <v>2708135.3420250001</v>
      </c>
      <c r="G77" s="6">
        <f t="shared" si="28"/>
        <v>2100000</v>
      </c>
      <c r="H77" s="6">
        <f t="shared" si="28"/>
        <v>0</v>
      </c>
      <c r="I77" s="6">
        <f t="shared" si="28"/>
        <v>157500</v>
      </c>
      <c r="J77" s="6">
        <f t="shared" si="28"/>
        <v>79295815.40727511</v>
      </c>
      <c r="K77" s="6">
        <f t="shared" si="28"/>
        <v>-205911099.71272486</v>
      </c>
      <c r="L77" s="455"/>
      <c r="M77" s="6"/>
    </row>
    <row r="78" spans="1:13" ht="13">
      <c r="A78" s="2">
        <f t="shared" si="6"/>
        <v>53</v>
      </c>
      <c r="B78" s="345" t="s">
        <v>379</v>
      </c>
      <c r="C78" s="346">
        <v>2024</v>
      </c>
      <c r="D78" s="6">
        <f t="shared" ref="D78:K78" si="29">D112+D145+D178+D211+D244+D277+D310+D343+D376+D409+D442</f>
        <v>6523082.6670000004</v>
      </c>
      <c r="E78" s="6">
        <f t="shared" si="29"/>
        <v>489231.20002500003</v>
      </c>
      <c r="F78" s="6">
        <f t="shared" si="29"/>
        <v>7012313.867025</v>
      </c>
      <c r="G78" s="6">
        <f t="shared" si="29"/>
        <v>6093407</v>
      </c>
      <c r="H78" s="6">
        <f t="shared" si="29"/>
        <v>0</v>
      </c>
      <c r="I78" s="6">
        <f t="shared" si="29"/>
        <v>457005.52500000002</v>
      </c>
      <c r="J78" s="6">
        <f t="shared" si="29"/>
        <v>79757716.749300122</v>
      </c>
      <c r="K78" s="53">
        <f t="shared" si="29"/>
        <v>-205449198.37069988</v>
      </c>
      <c r="L78" s="456"/>
      <c r="M78" s="6"/>
    </row>
    <row r="79" spans="1:13" ht="13">
      <c r="A79" s="2">
        <f t="shared" si="6"/>
        <v>54</v>
      </c>
      <c r="C79" s="367" t="s">
        <v>997</v>
      </c>
      <c r="K79" s="42">
        <f>AVERAGE(K66:K78)</f>
        <v>-206740557.59515756</v>
      </c>
      <c r="L79" s="457"/>
    </row>
    <row r="81" spans="1:11" ht="13">
      <c r="B81" s="350" t="s">
        <v>998</v>
      </c>
      <c r="F81" s="39" t="s">
        <v>195</v>
      </c>
      <c r="G81" s="254" t="s">
        <v>999</v>
      </c>
      <c r="H81" s="54"/>
    </row>
    <row r="82" spans="1:11" ht="13">
      <c r="B82" s="34" t="s">
        <v>1000</v>
      </c>
      <c r="D82" s="1110" t="s">
        <v>965</v>
      </c>
      <c r="E82" s="1110"/>
    </row>
    <row r="83" spans="1:11" s="3" customFormat="1" ht="13">
      <c r="D83" s="3" t="s">
        <v>336</v>
      </c>
      <c r="E83" s="3" t="s">
        <v>337</v>
      </c>
      <c r="F83" s="3" t="s">
        <v>338</v>
      </c>
      <c r="G83" s="3" t="s">
        <v>339</v>
      </c>
      <c r="H83" s="3" t="s">
        <v>340</v>
      </c>
      <c r="I83" s="3" t="s">
        <v>341</v>
      </c>
      <c r="J83" s="3" t="s">
        <v>342</v>
      </c>
      <c r="K83" s="3" t="s">
        <v>343</v>
      </c>
    </row>
    <row r="84" spans="1:11" ht="26.15" customHeight="1">
      <c r="D84" s="48"/>
      <c r="E84" s="368" t="s">
        <v>1001</v>
      </c>
      <c r="F84" s="253" t="s">
        <v>1002</v>
      </c>
      <c r="G84" s="253"/>
      <c r="H84" s="48"/>
      <c r="I84" s="368" t="s">
        <v>1003</v>
      </c>
      <c r="J84" s="368" t="s">
        <v>1004</v>
      </c>
      <c r="K84" s="368" t="s">
        <v>1005</v>
      </c>
    </row>
    <row r="85" spans="1:11" ht="13">
      <c r="D85" s="48"/>
      <c r="E85" s="369"/>
      <c r="F85" s="369"/>
      <c r="G85" s="2" t="str">
        <f>G51</f>
        <v>Unloaded</v>
      </c>
      <c r="H85" s="48"/>
      <c r="I85" s="369"/>
      <c r="J85" s="369"/>
      <c r="K85" s="2"/>
    </row>
    <row r="86" spans="1:11" s="2" customFormat="1" ht="13">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ht="13">
      <c r="A87" s="30" t="s">
        <v>273</v>
      </c>
      <c r="B87" s="344" t="s">
        <v>371</v>
      </c>
      <c r="C87" s="344" t="s">
        <v>372</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ht="13">
      <c r="A88" s="2">
        <f>A79+1</f>
        <v>55</v>
      </c>
      <c r="B88" s="345" t="s">
        <v>379</v>
      </c>
      <c r="C88" s="346">
        <v>2022</v>
      </c>
      <c r="D88" s="253" t="s">
        <v>380</v>
      </c>
      <c r="E88" s="253" t="s">
        <v>380</v>
      </c>
      <c r="F88" s="253" t="s">
        <v>380</v>
      </c>
      <c r="G88" s="253" t="s">
        <v>380</v>
      </c>
      <c r="H88" s="253" t="s">
        <v>380</v>
      </c>
      <c r="I88" s="253" t="s">
        <v>380</v>
      </c>
      <c r="J88" s="6">
        <f>E25</f>
        <v>569300.1</v>
      </c>
      <c r="K88" s="253" t="s">
        <v>380</v>
      </c>
    </row>
    <row r="89" spans="1:11" ht="13">
      <c r="A89" s="2">
        <f>A88+1</f>
        <v>56</v>
      </c>
      <c r="B89" s="345" t="s">
        <v>381</v>
      </c>
      <c r="C89" s="346">
        <v>2023</v>
      </c>
      <c r="D89" s="59">
        <v>218</v>
      </c>
      <c r="E89" s="6">
        <f>D89*'16-PlantAdditions'!$E$103</f>
        <v>16.349999999999998</v>
      </c>
      <c r="F89" s="6">
        <f>E89+D89</f>
        <v>234.35</v>
      </c>
      <c r="G89" s="59">
        <v>218</v>
      </c>
      <c r="H89" s="59">
        <v>0</v>
      </c>
      <c r="I89" s="6">
        <f>(G89-H89)*'16-PlantAdditions'!$E$103</f>
        <v>16.349999999999998</v>
      </c>
      <c r="J89" s="6">
        <f>J88+F89-G89-I89</f>
        <v>569300.1</v>
      </c>
      <c r="K89" s="6">
        <f>J89-$J$88</f>
        <v>0</v>
      </c>
    </row>
    <row r="90" spans="1:11" ht="13">
      <c r="A90" s="2">
        <f t="shared" ref="A90:A108" si="32">A89+1</f>
        <v>57</v>
      </c>
      <c r="B90" s="345" t="s">
        <v>382</v>
      </c>
      <c r="C90" s="346">
        <v>2023</v>
      </c>
      <c r="D90" s="59">
        <v>0</v>
      </c>
      <c r="E90" s="6">
        <f>D90*'16-PlantAdditions'!$E$103</f>
        <v>0</v>
      </c>
      <c r="F90" s="6">
        <f t="shared" ref="F90:F112" si="33">E90+D90</f>
        <v>0</v>
      </c>
      <c r="G90" s="59">
        <v>0</v>
      </c>
      <c r="H90" s="59">
        <v>0</v>
      </c>
      <c r="I90" s="6">
        <f>(G90-H90)*'16-PlantAdditions'!$E$103</f>
        <v>0</v>
      </c>
      <c r="J90" s="6">
        <f t="shared" ref="J90:J108" si="34">J89+F90-G90-I90</f>
        <v>569300.1</v>
      </c>
      <c r="K90" s="6">
        <f t="shared" ref="K90:K112" si="35">J90-$J$88</f>
        <v>0</v>
      </c>
    </row>
    <row r="91" spans="1:11" ht="13">
      <c r="A91" s="2">
        <f t="shared" si="32"/>
        <v>58</v>
      </c>
      <c r="B91" s="345" t="s">
        <v>383</v>
      </c>
      <c r="C91" s="346">
        <v>2023</v>
      </c>
      <c r="D91" s="59">
        <v>0</v>
      </c>
      <c r="E91" s="6">
        <f>D91*'16-PlantAdditions'!$E$103</f>
        <v>0</v>
      </c>
      <c r="F91" s="6">
        <f t="shared" si="33"/>
        <v>0</v>
      </c>
      <c r="G91" s="59">
        <v>0</v>
      </c>
      <c r="H91" s="59">
        <v>0</v>
      </c>
      <c r="I91" s="6">
        <f>(G91-H91)*'16-PlantAdditions'!$E$103</f>
        <v>0</v>
      </c>
      <c r="J91" s="6">
        <f t="shared" si="34"/>
        <v>569300.1</v>
      </c>
      <c r="K91" s="6">
        <f>J91-$J$88</f>
        <v>0</v>
      </c>
    </row>
    <row r="92" spans="1:11" ht="13">
      <c r="A92" s="2">
        <f t="shared" si="32"/>
        <v>59</v>
      </c>
      <c r="B92" s="345" t="s">
        <v>384</v>
      </c>
      <c r="C92" s="346">
        <v>2023</v>
      </c>
      <c r="D92" s="59">
        <v>0</v>
      </c>
      <c r="E92" s="6">
        <f>D92*'16-PlantAdditions'!$E$103</f>
        <v>0</v>
      </c>
      <c r="F92" s="6">
        <f t="shared" si="33"/>
        <v>0</v>
      </c>
      <c r="G92" s="59">
        <v>0</v>
      </c>
      <c r="H92" s="59">
        <v>0</v>
      </c>
      <c r="I92" s="6">
        <f>(G92-H92)*'16-PlantAdditions'!$E$103</f>
        <v>0</v>
      </c>
      <c r="J92" s="6">
        <f>J91+F92-G92-I92</f>
        <v>569300.1</v>
      </c>
      <c r="K92" s="6">
        <f>J92-$J$88</f>
        <v>0</v>
      </c>
    </row>
    <row r="93" spans="1:11" ht="13">
      <c r="A93" s="2">
        <f t="shared" si="32"/>
        <v>60</v>
      </c>
      <c r="B93" s="345" t="s">
        <v>385</v>
      </c>
      <c r="C93" s="346">
        <v>2023</v>
      </c>
      <c r="D93" s="59">
        <v>0</v>
      </c>
      <c r="E93" s="6">
        <f>D93*'16-PlantAdditions'!$E$103</f>
        <v>0</v>
      </c>
      <c r="F93" s="6">
        <f t="shared" si="33"/>
        <v>0</v>
      </c>
      <c r="G93" s="59">
        <v>0</v>
      </c>
      <c r="H93" s="59">
        <v>0</v>
      </c>
      <c r="I93" s="6">
        <f>(G93-H93)*'16-PlantAdditions'!$E$103</f>
        <v>0</v>
      </c>
      <c r="J93" s="6">
        <f t="shared" si="34"/>
        <v>569300.1</v>
      </c>
      <c r="K93" s="6">
        <f t="shared" si="35"/>
        <v>0</v>
      </c>
    </row>
    <row r="94" spans="1:11" ht="13">
      <c r="A94" s="2">
        <f t="shared" si="32"/>
        <v>61</v>
      </c>
      <c r="B94" s="345" t="s">
        <v>594</v>
      </c>
      <c r="C94" s="346">
        <v>2023</v>
      </c>
      <c r="D94" s="59">
        <v>0</v>
      </c>
      <c r="E94" s="6">
        <f>D94*'16-PlantAdditions'!$E$103</f>
        <v>0</v>
      </c>
      <c r="F94" s="6">
        <f t="shared" si="33"/>
        <v>0</v>
      </c>
      <c r="G94" s="59">
        <v>569300.09999999986</v>
      </c>
      <c r="H94" s="59">
        <v>569300.09999999986</v>
      </c>
      <c r="I94" s="6">
        <f>(G94-H94)*'16-PlantAdditions'!$E$103</f>
        <v>0</v>
      </c>
      <c r="J94" s="6">
        <f t="shared" si="34"/>
        <v>1.1641532182693481E-10</v>
      </c>
      <c r="K94" s="6">
        <f t="shared" si="35"/>
        <v>-569300.09999999986</v>
      </c>
    </row>
    <row r="95" spans="1:11" ht="13">
      <c r="A95" s="2">
        <f t="shared" si="32"/>
        <v>62</v>
      </c>
      <c r="B95" s="345" t="s">
        <v>387</v>
      </c>
      <c r="C95" s="346">
        <v>2023</v>
      </c>
      <c r="D95" s="59">
        <v>0</v>
      </c>
      <c r="E95" s="6">
        <f>D95*'16-PlantAdditions'!$E$103</f>
        <v>0</v>
      </c>
      <c r="F95" s="6">
        <f t="shared" si="33"/>
        <v>0</v>
      </c>
      <c r="G95" s="59">
        <v>0</v>
      </c>
      <c r="H95" s="59">
        <v>0</v>
      </c>
      <c r="I95" s="6">
        <f>(G95-H95)*'16-PlantAdditions'!$E$103</f>
        <v>0</v>
      </c>
      <c r="J95" s="6">
        <f t="shared" si="34"/>
        <v>1.1641532182693481E-10</v>
      </c>
      <c r="K95" s="6">
        <f t="shared" si="35"/>
        <v>-569300.09999999986</v>
      </c>
    </row>
    <row r="96" spans="1:11" ht="13">
      <c r="A96" s="2">
        <f t="shared" si="32"/>
        <v>63</v>
      </c>
      <c r="B96" s="345" t="s">
        <v>388</v>
      </c>
      <c r="C96" s="346">
        <v>2023</v>
      </c>
      <c r="D96" s="59">
        <v>0</v>
      </c>
      <c r="E96" s="6">
        <f>D96*'16-PlantAdditions'!$E$103</f>
        <v>0</v>
      </c>
      <c r="F96" s="6">
        <f t="shared" si="33"/>
        <v>0</v>
      </c>
      <c r="G96" s="59">
        <v>0</v>
      </c>
      <c r="H96" s="59">
        <v>0</v>
      </c>
      <c r="I96" s="6">
        <f>(G96-H96)*'16-PlantAdditions'!$E$103</f>
        <v>0</v>
      </c>
      <c r="J96" s="6">
        <f t="shared" si="34"/>
        <v>1.1641532182693481E-10</v>
      </c>
      <c r="K96" s="6">
        <f t="shared" si="35"/>
        <v>-569300.09999999986</v>
      </c>
    </row>
    <row r="97" spans="1:11" ht="13">
      <c r="A97" s="2">
        <f t="shared" si="32"/>
        <v>64</v>
      </c>
      <c r="B97" s="345" t="s">
        <v>389</v>
      </c>
      <c r="C97" s="346">
        <v>2023</v>
      </c>
      <c r="D97" s="59">
        <v>0</v>
      </c>
      <c r="E97" s="6">
        <f>D97*'16-PlantAdditions'!$E$103</f>
        <v>0</v>
      </c>
      <c r="F97" s="6">
        <f t="shared" si="33"/>
        <v>0</v>
      </c>
      <c r="G97" s="59">
        <v>0</v>
      </c>
      <c r="H97" s="59">
        <v>0</v>
      </c>
      <c r="I97" s="6">
        <f>(G97-H97)*'16-PlantAdditions'!$E$103</f>
        <v>0</v>
      </c>
      <c r="J97" s="6">
        <f t="shared" si="34"/>
        <v>1.1641532182693481E-10</v>
      </c>
      <c r="K97" s="6">
        <f t="shared" si="35"/>
        <v>-569300.09999999986</v>
      </c>
    </row>
    <row r="98" spans="1:11" ht="13">
      <c r="A98" s="2">
        <f t="shared" si="32"/>
        <v>65</v>
      </c>
      <c r="B98" s="345" t="s">
        <v>390</v>
      </c>
      <c r="C98" s="346">
        <v>2023</v>
      </c>
      <c r="D98" s="59">
        <v>0</v>
      </c>
      <c r="E98" s="6">
        <f>D98*'16-PlantAdditions'!$E$103</f>
        <v>0</v>
      </c>
      <c r="F98" s="6">
        <f t="shared" si="33"/>
        <v>0</v>
      </c>
      <c r="G98" s="59">
        <v>0</v>
      </c>
      <c r="H98" s="59">
        <v>0</v>
      </c>
      <c r="I98" s="6">
        <f>(G98-H98)*'16-PlantAdditions'!$E$103</f>
        <v>0</v>
      </c>
      <c r="J98" s="6">
        <f t="shared" si="34"/>
        <v>1.1641532182693481E-10</v>
      </c>
      <c r="K98" s="6">
        <f t="shared" si="35"/>
        <v>-569300.09999999986</v>
      </c>
    </row>
    <row r="99" spans="1:11" ht="13">
      <c r="A99" s="2">
        <f t="shared" si="32"/>
        <v>66</v>
      </c>
      <c r="B99" s="345" t="s">
        <v>391</v>
      </c>
      <c r="C99" s="346">
        <v>2023</v>
      </c>
      <c r="D99" s="59">
        <v>0</v>
      </c>
      <c r="E99" s="6">
        <f>D99*'16-PlantAdditions'!$E$103</f>
        <v>0</v>
      </c>
      <c r="F99" s="6">
        <f t="shared" si="33"/>
        <v>0</v>
      </c>
      <c r="G99" s="59">
        <v>0</v>
      </c>
      <c r="H99" s="59">
        <v>0</v>
      </c>
      <c r="I99" s="6">
        <f>(G99-H99)*'16-PlantAdditions'!$E$103</f>
        <v>0</v>
      </c>
      <c r="J99" s="6">
        <f t="shared" si="34"/>
        <v>1.1641532182693481E-10</v>
      </c>
      <c r="K99" s="6">
        <f t="shared" si="35"/>
        <v>-569300.09999999986</v>
      </c>
    </row>
    <row r="100" spans="1:11" ht="13">
      <c r="A100" s="2">
        <f t="shared" si="32"/>
        <v>67</v>
      </c>
      <c r="B100" s="345" t="s">
        <v>379</v>
      </c>
      <c r="C100" s="346">
        <v>2023</v>
      </c>
      <c r="D100" s="59">
        <v>0</v>
      </c>
      <c r="E100" s="6">
        <f>D100*'16-PlantAdditions'!$E$103</f>
        <v>0</v>
      </c>
      <c r="F100" s="6">
        <f t="shared" si="33"/>
        <v>0</v>
      </c>
      <c r="G100" s="59">
        <v>0</v>
      </c>
      <c r="H100" s="59">
        <v>0</v>
      </c>
      <c r="I100" s="6">
        <f>(G100-H100)*'16-PlantAdditions'!$E$103</f>
        <v>0</v>
      </c>
      <c r="J100" s="6">
        <f t="shared" si="34"/>
        <v>1.1641532182693481E-10</v>
      </c>
      <c r="K100" s="6">
        <f t="shared" si="35"/>
        <v>-569300.09999999986</v>
      </c>
    </row>
    <row r="101" spans="1:11" ht="13">
      <c r="A101" s="2">
        <f t="shared" si="32"/>
        <v>68</v>
      </c>
      <c r="B101" s="345" t="s">
        <v>381</v>
      </c>
      <c r="C101" s="346">
        <v>2024</v>
      </c>
      <c r="D101" s="59">
        <v>0</v>
      </c>
      <c r="E101" s="6">
        <f>D101*'16-PlantAdditions'!$E$103</f>
        <v>0</v>
      </c>
      <c r="F101" s="6">
        <f t="shared" si="33"/>
        <v>0</v>
      </c>
      <c r="G101" s="59">
        <v>0</v>
      </c>
      <c r="H101" s="59">
        <v>0</v>
      </c>
      <c r="I101" s="6">
        <f>(G101-H101)*'16-PlantAdditions'!$E$103</f>
        <v>0</v>
      </c>
      <c r="J101" s="6">
        <f t="shared" si="34"/>
        <v>1.1641532182693481E-10</v>
      </c>
      <c r="K101" s="6">
        <f t="shared" si="35"/>
        <v>-569300.09999999986</v>
      </c>
    </row>
    <row r="102" spans="1:11" ht="13">
      <c r="A102" s="2">
        <f t="shared" si="32"/>
        <v>69</v>
      </c>
      <c r="B102" s="345" t="s">
        <v>382</v>
      </c>
      <c r="C102" s="346">
        <v>2024</v>
      </c>
      <c r="D102" s="59">
        <v>0</v>
      </c>
      <c r="E102" s="6">
        <f>D102*'16-PlantAdditions'!$E$103</f>
        <v>0</v>
      </c>
      <c r="F102" s="6">
        <f t="shared" si="33"/>
        <v>0</v>
      </c>
      <c r="G102" s="59">
        <v>0</v>
      </c>
      <c r="H102" s="59">
        <v>0</v>
      </c>
      <c r="I102" s="6">
        <f>(G102-H102)*'16-PlantAdditions'!$E$103</f>
        <v>0</v>
      </c>
      <c r="J102" s="6">
        <f t="shared" si="34"/>
        <v>1.1641532182693481E-10</v>
      </c>
      <c r="K102" s="6">
        <f t="shared" si="35"/>
        <v>-569300.09999999986</v>
      </c>
    </row>
    <row r="103" spans="1:11" ht="13">
      <c r="A103" s="2">
        <f t="shared" si="32"/>
        <v>70</v>
      </c>
      <c r="B103" s="345" t="s">
        <v>383</v>
      </c>
      <c r="C103" s="346">
        <v>2024</v>
      </c>
      <c r="D103" s="59">
        <v>0</v>
      </c>
      <c r="E103" s="6">
        <f>D103*'16-PlantAdditions'!$E$103</f>
        <v>0</v>
      </c>
      <c r="F103" s="6">
        <f t="shared" si="33"/>
        <v>0</v>
      </c>
      <c r="G103" s="59">
        <v>0</v>
      </c>
      <c r="H103" s="59">
        <v>0</v>
      </c>
      <c r="I103" s="6">
        <f>(G103-H103)*'16-PlantAdditions'!$E$103</f>
        <v>0</v>
      </c>
      <c r="J103" s="6">
        <f t="shared" si="34"/>
        <v>1.1641532182693481E-10</v>
      </c>
      <c r="K103" s="6">
        <f t="shared" si="35"/>
        <v>-569300.09999999986</v>
      </c>
    </row>
    <row r="104" spans="1:11" ht="13">
      <c r="A104" s="2">
        <f t="shared" si="32"/>
        <v>71</v>
      </c>
      <c r="B104" s="345" t="s">
        <v>384</v>
      </c>
      <c r="C104" s="346">
        <v>2024</v>
      </c>
      <c r="D104" s="59">
        <v>0</v>
      </c>
      <c r="E104" s="6">
        <f>D104*'16-PlantAdditions'!$E$103</f>
        <v>0</v>
      </c>
      <c r="F104" s="6">
        <f t="shared" si="33"/>
        <v>0</v>
      </c>
      <c r="G104" s="59">
        <v>0</v>
      </c>
      <c r="H104" s="59">
        <v>0</v>
      </c>
      <c r="I104" s="6">
        <f>(G104-H104)*'16-PlantAdditions'!$E$103</f>
        <v>0</v>
      </c>
      <c r="J104" s="6">
        <f t="shared" si="34"/>
        <v>1.1641532182693481E-10</v>
      </c>
      <c r="K104" s="6">
        <f t="shared" si="35"/>
        <v>-569300.09999999986</v>
      </c>
    </row>
    <row r="105" spans="1:11" ht="13">
      <c r="A105" s="2">
        <f t="shared" si="32"/>
        <v>72</v>
      </c>
      <c r="B105" s="345" t="s">
        <v>385</v>
      </c>
      <c r="C105" s="346">
        <v>2024</v>
      </c>
      <c r="D105" s="59">
        <v>0</v>
      </c>
      <c r="E105" s="6">
        <f>D105*'16-PlantAdditions'!$E$103</f>
        <v>0</v>
      </c>
      <c r="F105" s="6">
        <f t="shared" si="33"/>
        <v>0</v>
      </c>
      <c r="G105" s="59">
        <v>0</v>
      </c>
      <c r="H105" s="59">
        <v>0</v>
      </c>
      <c r="I105" s="6">
        <f>(G105-H105)*'16-PlantAdditions'!$E$103</f>
        <v>0</v>
      </c>
      <c r="J105" s="6">
        <f t="shared" si="34"/>
        <v>1.1641532182693481E-10</v>
      </c>
      <c r="K105" s="6">
        <f t="shared" si="35"/>
        <v>-569300.09999999986</v>
      </c>
    </row>
    <row r="106" spans="1:11" ht="13">
      <c r="A106" s="2">
        <f t="shared" si="32"/>
        <v>73</v>
      </c>
      <c r="B106" s="345" t="s">
        <v>594</v>
      </c>
      <c r="C106" s="346">
        <v>2024</v>
      </c>
      <c r="D106" s="59">
        <v>0</v>
      </c>
      <c r="E106" s="6">
        <f>D106*'16-PlantAdditions'!$E$103</f>
        <v>0</v>
      </c>
      <c r="F106" s="6">
        <f t="shared" si="33"/>
        <v>0</v>
      </c>
      <c r="G106" s="59">
        <v>0</v>
      </c>
      <c r="H106" s="59">
        <v>0</v>
      </c>
      <c r="I106" s="6">
        <f>(G106-H106)*'16-PlantAdditions'!$E$103</f>
        <v>0</v>
      </c>
      <c r="J106" s="6">
        <f t="shared" si="34"/>
        <v>1.1641532182693481E-10</v>
      </c>
      <c r="K106" s="6">
        <f t="shared" si="35"/>
        <v>-569300.09999999986</v>
      </c>
    </row>
    <row r="107" spans="1:11" ht="13">
      <c r="A107" s="2">
        <f t="shared" si="32"/>
        <v>74</v>
      </c>
      <c r="B107" s="345" t="s">
        <v>387</v>
      </c>
      <c r="C107" s="346">
        <v>2024</v>
      </c>
      <c r="D107" s="59">
        <v>0</v>
      </c>
      <c r="E107" s="6">
        <f>D107*'16-PlantAdditions'!$E$103</f>
        <v>0</v>
      </c>
      <c r="F107" s="6">
        <f t="shared" si="33"/>
        <v>0</v>
      </c>
      <c r="G107" s="59">
        <v>0</v>
      </c>
      <c r="H107" s="59">
        <v>0</v>
      </c>
      <c r="I107" s="6">
        <f>(G107-H107)*'16-PlantAdditions'!$E$103</f>
        <v>0</v>
      </c>
      <c r="J107" s="6">
        <f t="shared" si="34"/>
        <v>1.1641532182693481E-10</v>
      </c>
      <c r="K107" s="6">
        <f t="shared" si="35"/>
        <v>-569300.09999999986</v>
      </c>
    </row>
    <row r="108" spans="1:11" ht="13">
      <c r="A108" s="2">
        <f t="shared" si="32"/>
        <v>75</v>
      </c>
      <c r="B108" s="345" t="s">
        <v>388</v>
      </c>
      <c r="C108" s="346">
        <v>2024</v>
      </c>
      <c r="D108" s="59">
        <v>0</v>
      </c>
      <c r="E108" s="6">
        <f>D108*'16-PlantAdditions'!$E$103</f>
        <v>0</v>
      </c>
      <c r="F108" s="6">
        <f t="shared" si="33"/>
        <v>0</v>
      </c>
      <c r="G108" s="59">
        <v>0</v>
      </c>
      <c r="H108" s="59">
        <v>0</v>
      </c>
      <c r="I108" s="6">
        <f>(G108-H108)*'16-PlantAdditions'!$E$103</f>
        <v>0</v>
      </c>
      <c r="J108" s="6">
        <f t="shared" si="34"/>
        <v>1.1641532182693481E-10</v>
      </c>
      <c r="K108" s="6">
        <f t="shared" si="35"/>
        <v>-569300.09999999986</v>
      </c>
    </row>
    <row r="109" spans="1:11" ht="13">
      <c r="A109" s="2">
        <f>A108+1</f>
        <v>76</v>
      </c>
      <c r="B109" s="345" t="s">
        <v>389</v>
      </c>
      <c r="C109" s="346">
        <v>2024</v>
      </c>
      <c r="D109" s="59">
        <v>0</v>
      </c>
      <c r="E109" s="6">
        <f>D109*'16-PlantAdditions'!$E$103</f>
        <v>0</v>
      </c>
      <c r="F109" s="6">
        <f t="shared" si="33"/>
        <v>0</v>
      </c>
      <c r="G109" s="59">
        <v>0</v>
      </c>
      <c r="H109" s="59">
        <v>0</v>
      </c>
      <c r="I109" s="6">
        <f>(G109-H109)*'16-PlantAdditions'!$E$103</f>
        <v>0</v>
      </c>
      <c r="J109" s="6">
        <f>J108+F109-G109-I109</f>
        <v>1.1641532182693481E-10</v>
      </c>
      <c r="K109" s="6">
        <f t="shared" si="35"/>
        <v>-569300.09999999986</v>
      </c>
    </row>
    <row r="110" spans="1:11" ht="13">
      <c r="A110" s="2">
        <f t="shared" ref="A110:A113" si="36">A109+1</f>
        <v>77</v>
      </c>
      <c r="B110" s="345" t="s">
        <v>390</v>
      </c>
      <c r="C110" s="346">
        <v>2024</v>
      </c>
      <c r="D110" s="59">
        <v>0</v>
      </c>
      <c r="E110" s="6">
        <f>D110*'16-PlantAdditions'!$E$103</f>
        <v>0</v>
      </c>
      <c r="F110" s="6">
        <f t="shared" si="33"/>
        <v>0</v>
      </c>
      <c r="G110" s="59">
        <v>0</v>
      </c>
      <c r="H110" s="59">
        <v>0</v>
      </c>
      <c r="I110" s="6">
        <f>(G110-H110)*'16-PlantAdditions'!$E$103</f>
        <v>0</v>
      </c>
      <c r="J110" s="6">
        <f t="shared" ref="J110:J112" si="37">J109+F110-G110-I110</f>
        <v>1.1641532182693481E-10</v>
      </c>
      <c r="K110" s="6">
        <f t="shared" si="35"/>
        <v>-569300.09999999986</v>
      </c>
    </row>
    <row r="111" spans="1:11" ht="13">
      <c r="A111" s="2">
        <f t="shared" si="36"/>
        <v>78</v>
      </c>
      <c r="B111" s="345" t="s">
        <v>391</v>
      </c>
      <c r="C111" s="346">
        <v>2024</v>
      </c>
      <c r="D111" s="59">
        <v>0</v>
      </c>
      <c r="E111" s="6">
        <f>D111*'16-PlantAdditions'!$E$103</f>
        <v>0</v>
      </c>
      <c r="F111" s="6">
        <f t="shared" si="33"/>
        <v>0</v>
      </c>
      <c r="G111" s="59">
        <v>0</v>
      </c>
      <c r="H111" s="59">
        <v>0</v>
      </c>
      <c r="I111" s="6">
        <f>(G111-H111)*'16-PlantAdditions'!$E$103</f>
        <v>0</v>
      </c>
      <c r="J111" s="6">
        <f t="shared" si="37"/>
        <v>1.1641532182693481E-10</v>
      </c>
      <c r="K111" s="6">
        <f t="shared" si="35"/>
        <v>-569300.09999999986</v>
      </c>
    </row>
    <row r="112" spans="1:11" ht="13">
      <c r="A112" s="2">
        <f t="shared" si="36"/>
        <v>79</v>
      </c>
      <c r="B112" s="345" t="s">
        <v>379</v>
      </c>
      <c r="C112" s="346">
        <v>2024</v>
      </c>
      <c r="D112" s="59">
        <v>0</v>
      </c>
      <c r="E112" s="6">
        <f>D112*'16-PlantAdditions'!$E$103</f>
        <v>0</v>
      </c>
      <c r="F112" s="6">
        <f t="shared" si="33"/>
        <v>0</v>
      </c>
      <c r="G112" s="59">
        <v>0</v>
      </c>
      <c r="H112" s="59">
        <v>0</v>
      </c>
      <c r="I112" s="6">
        <f>(G112-H112)*'16-PlantAdditions'!$E$103</f>
        <v>0</v>
      </c>
      <c r="J112" s="6">
        <f t="shared" si="37"/>
        <v>1.1641532182693481E-10</v>
      </c>
      <c r="K112" s="53">
        <f t="shared" si="35"/>
        <v>-569300.09999999986</v>
      </c>
    </row>
    <row r="113" spans="1:11" ht="13">
      <c r="A113" s="2">
        <f t="shared" si="36"/>
        <v>80</v>
      </c>
      <c r="C113" s="367" t="s">
        <v>997</v>
      </c>
      <c r="K113" s="42">
        <f>AVERAGE(K100:K112)</f>
        <v>-569300.09999999974</v>
      </c>
    </row>
    <row r="114" spans="1:11" ht="13">
      <c r="A114" s="2"/>
      <c r="C114" s="367"/>
      <c r="K114" s="42"/>
    </row>
    <row r="115" spans="1:11" ht="13">
      <c r="B115" s="34" t="s">
        <v>1006</v>
      </c>
      <c r="D115" s="1110" t="s">
        <v>1007</v>
      </c>
      <c r="E115" s="1110"/>
    </row>
    <row r="116" spans="1:11" ht="13">
      <c r="A116" s="3"/>
      <c r="B116" s="3"/>
      <c r="C116" s="3"/>
      <c r="D116" s="3" t="s">
        <v>336</v>
      </c>
      <c r="E116" s="3" t="s">
        <v>337</v>
      </c>
      <c r="F116" s="3" t="s">
        <v>338</v>
      </c>
      <c r="G116" s="3" t="s">
        <v>339</v>
      </c>
      <c r="H116" s="3" t="s">
        <v>340</v>
      </c>
      <c r="I116" s="3" t="s">
        <v>341</v>
      </c>
      <c r="J116" s="3" t="s">
        <v>342</v>
      </c>
      <c r="K116" s="3" t="s">
        <v>343</v>
      </c>
    </row>
    <row r="117" spans="1:11" ht="25.5">
      <c r="D117" s="48"/>
      <c r="E117" s="368" t="s">
        <v>1001</v>
      </c>
      <c r="F117" s="253" t="s">
        <v>1002</v>
      </c>
      <c r="G117" s="253"/>
      <c r="H117" s="48"/>
      <c r="I117" s="368" t="s">
        <v>1003</v>
      </c>
      <c r="J117" s="368" t="s">
        <v>1004</v>
      </c>
      <c r="K117" s="368" t="s">
        <v>1005</v>
      </c>
    </row>
    <row r="118" spans="1:11" ht="13">
      <c r="D118" s="48"/>
      <c r="E118" s="48"/>
      <c r="F118" s="48"/>
      <c r="G118" s="2" t="str">
        <f>G51</f>
        <v>Unloaded</v>
      </c>
      <c r="H118" s="48"/>
      <c r="I118" s="48"/>
    </row>
    <row r="119" spans="1:11" ht="13">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ht="13">
      <c r="A120" s="30" t="s">
        <v>273</v>
      </c>
      <c r="B120" s="344" t="s">
        <v>371</v>
      </c>
      <c r="C120" s="344" t="s">
        <v>372</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ht="13">
      <c r="A121" s="2">
        <f>A113+1</f>
        <v>81</v>
      </c>
      <c r="B121" s="345" t="s">
        <v>379</v>
      </c>
      <c r="C121" s="346">
        <v>2022</v>
      </c>
      <c r="D121" s="253" t="s">
        <v>380</v>
      </c>
      <c r="E121" s="253" t="s">
        <v>380</v>
      </c>
      <c r="F121" s="253" t="s">
        <v>380</v>
      </c>
      <c r="G121" s="253" t="s">
        <v>380</v>
      </c>
      <c r="H121" s="253" t="s">
        <v>380</v>
      </c>
      <c r="I121" s="253" t="s">
        <v>380</v>
      </c>
      <c r="J121" s="6">
        <f>F25</f>
        <v>0</v>
      </c>
      <c r="K121" s="253" t="s">
        <v>380</v>
      </c>
    </row>
    <row r="122" spans="1:11" ht="13">
      <c r="A122" s="2">
        <f>A121+1</f>
        <v>82</v>
      </c>
      <c r="B122" s="345" t="s">
        <v>381</v>
      </c>
      <c r="C122" s="346">
        <v>2023</v>
      </c>
      <c r="D122" s="59">
        <v>0</v>
      </c>
      <c r="E122" s="6">
        <f>D122*'16-PlantAdditions'!$E$103</f>
        <v>0</v>
      </c>
      <c r="F122" s="6">
        <f>E122+D122</f>
        <v>0</v>
      </c>
      <c r="G122" s="59">
        <v>0</v>
      </c>
      <c r="H122" s="59">
        <v>0</v>
      </c>
      <c r="I122" s="6">
        <f>(G122-H122)*'16-PlantAdditions'!$E$103</f>
        <v>0</v>
      </c>
      <c r="J122" s="6">
        <f>J121+F122-G122-I122</f>
        <v>0</v>
      </c>
      <c r="K122" s="249">
        <f>J122-$J$121</f>
        <v>0</v>
      </c>
    </row>
    <row r="123" spans="1:11" ht="13">
      <c r="A123" s="2">
        <f t="shared" ref="A123:A146" si="40">A122+1</f>
        <v>83</v>
      </c>
      <c r="B123" s="345" t="s">
        <v>382</v>
      </c>
      <c r="C123" s="346">
        <v>2023</v>
      </c>
      <c r="D123" s="59">
        <v>0</v>
      </c>
      <c r="E123" s="6">
        <f>D123*'16-PlantAdditions'!$E$103</f>
        <v>0</v>
      </c>
      <c r="F123" s="6">
        <f t="shared" ref="F123:F145" si="41">E123+D123</f>
        <v>0</v>
      </c>
      <c r="G123" s="59">
        <v>0</v>
      </c>
      <c r="H123" s="59">
        <v>0</v>
      </c>
      <c r="I123" s="6">
        <f>(G123-H123)*'16-PlantAdditions'!$E$103</f>
        <v>0</v>
      </c>
      <c r="J123" s="6">
        <f t="shared" ref="J123:J145" si="42">J122+F123-G123-I123</f>
        <v>0</v>
      </c>
      <c r="K123" s="249">
        <f t="shared" ref="K123:K145" si="43">J123-$J$121</f>
        <v>0</v>
      </c>
    </row>
    <row r="124" spans="1:11" ht="13">
      <c r="A124" s="2">
        <f t="shared" si="40"/>
        <v>84</v>
      </c>
      <c r="B124" s="345" t="s">
        <v>383</v>
      </c>
      <c r="C124" s="346">
        <v>2023</v>
      </c>
      <c r="D124" s="59">
        <v>0</v>
      </c>
      <c r="E124" s="6">
        <f>D124*'16-PlantAdditions'!$E$103</f>
        <v>0</v>
      </c>
      <c r="F124" s="6">
        <f t="shared" si="41"/>
        <v>0</v>
      </c>
      <c r="G124" s="59">
        <v>0</v>
      </c>
      <c r="H124" s="59">
        <v>0</v>
      </c>
      <c r="I124" s="6">
        <f>(G124-H124)*'16-PlantAdditions'!$E$103</f>
        <v>0</v>
      </c>
      <c r="J124" s="6">
        <f t="shared" si="42"/>
        <v>0</v>
      </c>
      <c r="K124" s="249">
        <f t="shared" si="43"/>
        <v>0</v>
      </c>
    </row>
    <row r="125" spans="1:11" ht="13">
      <c r="A125" s="2">
        <f t="shared" si="40"/>
        <v>85</v>
      </c>
      <c r="B125" s="345" t="s">
        <v>384</v>
      </c>
      <c r="C125" s="346">
        <v>2023</v>
      </c>
      <c r="D125" s="59">
        <v>0</v>
      </c>
      <c r="E125" s="6">
        <f>D125*'16-PlantAdditions'!$E$103</f>
        <v>0</v>
      </c>
      <c r="F125" s="6">
        <f t="shared" si="41"/>
        <v>0</v>
      </c>
      <c r="G125" s="59">
        <v>0</v>
      </c>
      <c r="H125" s="59">
        <v>0</v>
      </c>
      <c r="I125" s="6">
        <f>(G125-H125)*'16-PlantAdditions'!$E$103</f>
        <v>0</v>
      </c>
      <c r="J125" s="6">
        <f t="shared" si="42"/>
        <v>0</v>
      </c>
      <c r="K125" s="249">
        <f t="shared" si="43"/>
        <v>0</v>
      </c>
    </row>
    <row r="126" spans="1:11" ht="13">
      <c r="A126" s="2">
        <f t="shared" si="40"/>
        <v>86</v>
      </c>
      <c r="B126" s="345" t="s">
        <v>385</v>
      </c>
      <c r="C126" s="346">
        <v>2023</v>
      </c>
      <c r="D126" s="59">
        <v>0</v>
      </c>
      <c r="E126" s="6">
        <f>D126*'16-PlantAdditions'!$E$103</f>
        <v>0</v>
      </c>
      <c r="F126" s="6">
        <f t="shared" si="41"/>
        <v>0</v>
      </c>
      <c r="G126" s="59">
        <v>0</v>
      </c>
      <c r="H126" s="59">
        <v>0</v>
      </c>
      <c r="I126" s="6">
        <f>(G126-H126)*'16-PlantAdditions'!$E$103</f>
        <v>0</v>
      </c>
      <c r="J126" s="6">
        <f t="shared" si="42"/>
        <v>0</v>
      </c>
      <c r="K126" s="249">
        <f t="shared" si="43"/>
        <v>0</v>
      </c>
    </row>
    <row r="127" spans="1:11" ht="13">
      <c r="A127" s="2">
        <f t="shared" si="40"/>
        <v>87</v>
      </c>
      <c r="B127" s="345" t="s">
        <v>594</v>
      </c>
      <c r="C127" s="346">
        <v>2023</v>
      </c>
      <c r="D127" s="59">
        <v>0</v>
      </c>
      <c r="E127" s="6">
        <f>D127*'16-PlantAdditions'!$E$103</f>
        <v>0</v>
      </c>
      <c r="F127" s="6">
        <f t="shared" si="41"/>
        <v>0</v>
      </c>
      <c r="G127" s="59">
        <v>0</v>
      </c>
      <c r="H127" s="59">
        <v>0</v>
      </c>
      <c r="I127" s="6">
        <f>(G127-H127)*'16-PlantAdditions'!$E$103</f>
        <v>0</v>
      </c>
      <c r="J127" s="6">
        <f t="shared" si="42"/>
        <v>0</v>
      </c>
      <c r="K127" s="249">
        <f t="shared" si="43"/>
        <v>0</v>
      </c>
    </row>
    <row r="128" spans="1:11" ht="13">
      <c r="A128" s="2">
        <f t="shared" si="40"/>
        <v>88</v>
      </c>
      <c r="B128" s="345" t="s">
        <v>387</v>
      </c>
      <c r="C128" s="346">
        <v>2023</v>
      </c>
      <c r="D128" s="59">
        <v>0</v>
      </c>
      <c r="E128" s="6">
        <f>D128*'16-PlantAdditions'!$E$103</f>
        <v>0</v>
      </c>
      <c r="F128" s="6">
        <f t="shared" si="41"/>
        <v>0</v>
      </c>
      <c r="G128" s="59">
        <v>0</v>
      </c>
      <c r="H128" s="59">
        <v>0</v>
      </c>
      <c r="I128" s="6">
        <f>(G128-H128)*'16-PlantAdditions'!$E$103</f>
        <v>0</v>
      </c>
      <c r="J128" s="6">
        <f t="shared" si="42"/>
        <v>0</v>
      </c>
      <c r="K128" s="249">
        <f t="shared" si="43"/>
        <v>0</v>
      </c>
    </row>
    <row r="129" spans="1:11" ht="13">
      <c r="A129" s="2">
        <f t="shared" si="40"/>
        <v>89</v>
      </c>
      <c r="B129" s="345" t="s">
        <v>388</v>
      </c>
      <c r="C129" s="346">
        <v>2023</v>
      </c>
      <c r="D129" s="59">
        <v>0</v>
      </c>
      <c r="E129" s="6">
        <f>D129*'16-PlantAdditions'!$E$103</f>
        <v>0</v>
      </c>
      <c r="F129" s="6">
        <f t="shared" si="41"/>
        <v>0</v>
      </c>
      <c r="G129" s="59">
        <v>0</v>
      </c>
      <c r="H129" s="59">
        <v>0</v>
      </c>
      <c r="I129" s="6">
        <f>(G129-H129)*'16-PlantAdditions'!$E$103</f>
        <v>0</v>
      </c>
      <c r="J129" s="6">
        <f t="shared" si="42"/>
        <v>0</v>
      </c>
      <c r="K129" s="249">
        <f t="shared" si="43"/>
        <v>0</v>
      </c>
    </row>
    <row r="130" spans="1:11" ht="13">
      <c r="A130" s="2">
        <f t="shared" si="40"/>
        <v>90</v>
      </c>
      <c r="B130" s="345" t="s">
        <v>389</v>
      </c>
      <c r="C130" s="346">
        <v>2023</v>
      </c>
      <c r="D130" s="59">
        <v>0</v>
      </c>
      <c r="E130" s="6">
        <f>D130*'16-PlantAdditions'!$E$103</f>
        <v>0</v>
      </c>
      <c r="F130" s="6">
        <f t="shared" si="41"/>
        <v>0</v>
      </c>
      <c r="G130" s="59">
        <v>0</v>
      </c>
      <c r="H130" s="59">
        <v>0</v>
      </c>
      <c r="I130" s="6">
        <f>(G130-H130)*'16-PlantAdditions'!$E$103</f>
        <v>0</v>
      </c>
      <c r="J130" s="6">
        <f t="shared" si="42"/>
        <v>0</v>
      </c>
      <c r="K130" s="249">
        <f t="shared" si="43"/>
        <v>0</v>
      </c>
    </row>
    <row r="131" spans="1:11" ht="13">
      <c r="A131" s="2">
        <f t="shared" si="40"/>
        <v>91</v>
      </c>
      <c r="B131" s="345" t="s">
        <v>390</v>
      </c>
      <c r="C131" s="346">
        <v>2023</v>
      </c>
      <c r="D131" s="59">
        <v>0</v>
      </c>
      <c r="E131" s="6">
        <f>D131*'16-PlantAdditions'!$E$103</f>
        <v>0</v>
      </c>
      <c r="F131" s="6">
        <f t="shared" si="41"/>
        <v>0</v>
      </c>
      <c r="G131" s="59">
        <v>0</v>
      </c>
      <c r="H131" s="59">
        <v>0</v>
      </c>
      <c r="I131" s="6">
        <f>(G131-H131)*'16-PlantAdditions'!$E$103</f>
        <v>0</v>
      </c>
      <c r="J131" s="6">
        <f t="shared" si="42"/>
        <v>0</v>
      </c>
      <c r="K131" s="249">
        <f t="shared" si="43"/>
        <v>0</v>
      </c>
    </row>
    <row r="132" spans="1:11" ht="13">
      <c r="A132" s="2">
        <f t="shared" si="40"/>
        <v>92</v>
      </c>
      <c r="B132" s="345" t="s">
        <v>391</v>
      </c>
      <c r="C132" s="346">
        <v>2023</v>
      </c>
      <c r="D132" s="59">
        <v>0</v>
      </c>
      <c r="E132" s="6">
        <f>D132*'16-PlantAdditions'!$E$103</f>
        <v>0</v>
      </c>
      <c r="F132" s="6">
        <f t="shared" si="41"/>
        <v>0</v>
      </c>
      <c r="G132" s="59">
        <v>0</v>
      </c>
      <c r="H132" s="59">
        <v>0</v>
      </c>
      <c r="I132" s="6">
        <f>(G132-H132)*'16-PlantAdditions'!$E$103</f>
        <v>0</v>
      </c>
      <c r="J132" s="6">
        <f t="shared" si="42"/>
        <v>0</v>
      </c>
      <c r="K132" s="249">
        <f t="shared" si="43"/>
        <v>0</v>
      </c>
    </row>
    <row r="133" spans="1:11" ht="13">
      <c r="A133" s="2">
        <f t="shared" si="40"/>
        <v>93</v>
      </c>
      <c r="B133" s="345" t="s">
        <v>379</v>
      </c>
      <c r="C133" s="346">
        <v>2023</v>
      </c>
      <c r="D133" s="59">
        <v>0</v>
      </c>
      <c r="E133" s="6">
        <f>D133*'16-PlantAdditions'!$E$103</f>
        <v>0</v>
      </c>
      <c r="F133" s="6">
        <f t="shared" si="41"/>
        <v>0</v>
      </c>
      <c r="G133" s="59">
        <v>0</v>
      </c>
      <c r="H133" s="59">
        <v>0</v>
      </c>
      <c r="I133" s="6">
        <f>(G133-H133)*'16-PlantAdditions'!$E$103</f>
        <v>0</v>
      </c>
      <c r="J133" s="6">
        <f t="shared" si="42"/>
        <v>0</v>
      </c>
      <c r="K133" s="249">
        <f t="shared" si="43"/>
        <v>0</v>
      </c>
    </row>
    <row r="134" spans="1:11" ht="13">
      <c r="A134" s="2">
        <f t="shared" si="40"/>
        <v>94</v>
      </c>
      <c r="B134" s="345" t="s">
        <v>381</v>
      </c>
      <c r="C134" s="346">
        <v>2024</v>
      </c>
      <c r="D134" s="59">
        <v>0</v>
      </c>
      <c r="E134" s="6">
        <f>D134*'16-PlantAdditions'!$E$103</f>
        <v>0</v>
      </c>
      <c r="F134" s="6">
        <f t="shared" si="41"/>
        <v>0</v>
      </c>
      <c r="G134" s="59">
        <v>0</v>
      </c>
      <c r="H134" s="59">
        <v>0</v>
      </c>
      <c r="I134" s="6">
        <f>(G134-H134)*'16-PlantAdditions'!$E$103</f>
        <v>0</v>
      </c>
      <c r="J134" s="6">
        <f t="shared" si="42"/>
        <v>0</v>
      </c>
      <c r="K134" s="249">
        <f t="shared" si="43"/>
        <v>0</v>
      </c>
    </row>
    <row r="135" spans="1:11" ht="13">
      <c r="A135" s="2">
        <f t="shared" si="40"/>
        <v>95</v>
      </c>
      <c r="B135" s="345" t="s">
        <v>382</v>
      </c>
      <c r="C135" s="346">
        <v>2024</v>
      </c>
      <c r="D135" s="59">
        <v>0</v>
      </c>
      <c r="E135" s="6">
        <f>D135*'16-PlantAdditions'!$E$103</f>
        <v>0</v>
      </c>
      <c r="F135" s="6">
        <f t="shared" si="41"/>
        <v>0</v>
      </c>
      <c r="G135" s="59">
        <v>0</v>
      </c>
      <c r="H135" s="59">
        <v>0</v>
      </c>
      <c r="I135" s="6">
        <f>(G135-H135)*'16-PlantAdditions'!$E$103</f>
        <v>0</v>
      </c>
      <c r="J135" s="6">
        <f t="shared" si="42"/>
        <v>0</v>
      </c>
      <c r="K135" s="249">
        <f t="shared" si="43"/>
        <v>0</v>
      </c>
    </row>
    <row r="136" spans="1:11" ht="13">
      <c r="A136" s="2">
        <f t="shared" si="40"/>
        <v>96</v>
      </c>
      <c r="B136" s="345" t="s">
        <v>383</v>
      </c>
      <c r="C136" s="346">
        <v>2024</v>
      </c>
      <c r="D136" s="59">
        <v>0</v>
      </c>
      <c r="E136" s="6">
        <f>D136*'16-PlantAdditions'!$E$103</f>
        <v>0</v>
      </c>
      <c r="F136" s="6">
        <f t="shared" si="41"/>
        <v>0</v>
      </c>
      <c r="G136" s="59">
        <v>0</v>
      </c>
      <c r="H136" s="59">
        <v>0</v>
      </c>
      <c r="I136" s="6">
        <f>(G136-H136)*'16-PlantAdditions'!$E$103</f>
        <v>0</v>
      </c>
      <c r="J136" s="6">
        <f t="shared" si="42"/>
        <v>0</v>
      </c>
      <c r="K136" s="249">
        <f t="shared" si="43"/>
        <v>0</v>
      </c>
    </row>
    <row r="137" spans="1:11" ht="13">
      <c r="A137" s="2">
        <f t="shared" si="40"/>
        <v>97</v>
      </c>
      <c r="B137" s="345" t="s">
        <v>384</v>
      </c>
      <c r="C137" s="346">
        <v>2024</v>
      </c>
      <c r="D137" s="59">
        <v>0</v>
      </c>
      <c r="E137" s="6">
        <f>D137*'16-PlantAdditions'!$E$103</f>
        <v>0</v>
      </c>
      <c r="F137" s="6">
        <f t="shared" si="41"/>
        <v>0</v>
      </c>
      <c r="G137" s="59">
        <v>0</v>
      </c>
      <c r="H137" s="59">
        <v>0</v>
      </c>
      <c r="I137" s="6">
        <f>(G137-H137)*'16-PlantAdditions'!$E$103</f>
        <v>0</v>
      </c>
      <c r="J137" s="6">
        <f t="shared" si="42"/>
        <v>0</v>
      </c>
      <c r="K137" s="249">
        <f t="shared" si="43"/>
        <v>0</v>
      </c>
    </row>
    <row r="138" spans="1:11" ht="13">
      <c r="A138" s="2">
        <f t="shared" si="40"/>
        <v>98</v>
      </c>
      <c r="B138" s="345" t="s">
        <v>385</v>
      </c>
      <c r="C138" s="346">
        <v>2024</v>
      </c>
      <c r="D138" s="59">
        <v>0</v>
      </c>
      <c r="E138" s="6">
        <f>D138*'16-PlantAdditions'!$E$103</f>
        <v>0</v>
      </c>
      <c r="F138" s="6">
        <f t="shared" si="41"/>
        <v>0</v>
      </c>
      <c r="G138" s="59">
        <v>0</v>
      </c>
      <c r="H138" s="59">
        <v>0</v>
      </c>
      <c r="I138" s="6">
        <f>(G138-H138)*'16-PlantAdditions'!$E$103</f>
        <v>0</v>
      </c>
      <c r="J138" s="6">
        <f t="shared" si="42"/>
        <v>0</v>
      </c>
      <c r="K138" s="249">
        <f t="shared" si="43"/>
        <v>0</v>
      </c>
    </row>
    <row r="139" spans="1:11" ht="13">
      <c r="A139" s="2">
        <f t="shared" si="40"/>
        <v>99</v>
      </c>
      <c r="B139" s="345" t="s">
        <v>594</v>
      </c>
      <c r="C139" s="346">
        <v>2024</v>
      </c>
      <c r="D139" s="59">
        <v>0</v>
      </c>
      <c r="E139" s="6">
        <f>D139*'16-PlantAdditions'!$E$103</f>
        <v>0</v>
      </c>
      <c r="F139" s="6">
        <f t="shared" si="41"/>
        <v>0</v>
      </c>
      <c r="G139" s="59">
        <v>0</v>
      </c>
      <c r="H139" s="59">
        <v>0</v>
      </c>
      <c r="I139" s="6">
        <f>(G139-H139)*'16-PlantAdditions'!$E$103</f>
        <v>0</v>
      </c>
      <c r="J139" s="6">
        <f t="shared" si="42"/>
        <v>0</v>
      </c>
      <c r="K139" s="249">
        <f t="shared" si="43"/>
        <v>0</v>
      </c>
    </row>
    <row r="140" spans="1:11" ht="13">
      <c r="A140" s="2">
        <f t="shared" si="40"/>
        <v>100</v>
      </c>
      <c r="B140" s="345" t="s">
        <v>387</v>
      </c>
      <c r="C140" s="346">
        <v>2024</v>
      </c>
      <c r="D140" s="59">
        <v>0</v>
      </c>
      <c r="E140" s="6">
        <f>D140*'16-PlantAdditions'!$E$103</f>
        <v>0</v>
      </c>
      <c r="F140" s="6">
        <f t="shared" si="41"/>
        <v>0</v>
      </c>
      <c r="G140" s="59">
        <v>0</v>
      </c>
      <c r="H140" s="59">
        <v>0</v>
      </c>
      <c r="I140" s="6">
        <f>(G140-H140)*'16-PlantAdditions'!$E$103</f>
        <v>0</v>
      </c>
      <c r="J140" s="6">
        <f t="shared" si="42"/>
        <v>0</v>
      </c>
      <c r="K140" s="249">
        <f t="shared" si="43"/>
        <v>0</v>
      </c>
    </row>
    <row r="141" spans="1:11" ht="13">
      <c r="A141" s="2">
        <f t="shared" si="40"/>
        <v>101</v>
      </c>
      <c r="B141" s="345" t="s">
        <v>388</v>
      </c>
      <c r="C141" s="346">
        <v>2024</v>
      </c>
      <c r="D141" s="59">
        <v>0</v>
      </c>
      <c r="E141" s="6">
        <f>D141*'16-PlantAdditions'!$E$103</f>
        <v>0</v>
      </c>
      <c r="F141" s="6">
        <f t="shared" si="41"/>
        <v>0</v>
      </c>
      <c r="G141" s="59">
        <v>0</v>
      </c>
      <c r="H141" s="59">
        <v>0</v>
      </c>
      <c r="I141" s="6">
        <f>(G141-H141)*'16-PlantAdditions'!$E$103</f>
        <v>0</v>
      </c>
      <c r="J141" s="6">
        <f t="shared" si="42"/>
        <v>0</v>
      </c>
      <c r="K141" s="249">
        <f t="shared" si="43"/>
        <v>0</v>
      </c>
    </row>
    <row r="142" spans="1:11" ht="13">
      <c r="A142" s="2">
        <f t="shared" si="40"/>
        <v>102</v>
      </c>
      <c r="B142" s="345" t="s">
        <v>389</v>
      </c>
      <c r="C142" s="346">
        <v>2024</v>
      </c>
      <c r="D142" s="59">
        <v>0</v>
      </c>
      <c r="E142" s="6">
        <f>D142*'16-PlantAdditions'!$E$103</f>
        <v>0</v>
      </c>
      <c r="F142" s="6">
        <f t="shared" si="41"/>
        <v>0</v>
      </c>
      <c r="G142" s="59">
        <v>0</v>
      </c>
      <c r="H142" s="59">
        <v>0</v>
      </c>
      <c r="I142" s="6">
        <f>(G142-H142)*'16-PlantAdditions'!$E$103</f>
        <v>0</v>
      </c>
      <c r="J142" s="6">
        <f t="shared" si="42"/>
        <v>0</v>
      </c>
      <c r="K142" s="249">
        <f t="shared" si="43"/>
        <v>0</v>
      </c>
    </row>
    <row r="143" spans="1:11" ht="13">
      <c r="A143" s="2">
        <f t="shared" si="40"/>
        <v>103</v>
      </c>
      <c r="B143" s="345" t="s">
        <v>390</v>
      </c>
      <c r="C143" s="346">
        <v>2024</v>
      </c>
      <c r="D143" s="59">
        <v>0</v>
      </c>
      <c r="E143" s="6">
        <f>D143*'16-PlantAdditions'!$E$103</f>
        <v>0</v>
      </c>
      <c r="F143" s="6">
        <f t="shared" si="41"/>
        <v>0</v>
      </c>
      <c r="G143" s="59">
        <v>0</v>
      </c>
      <c r="H143" s="59">
        <v>0</v>
      </c>
      <c r="I143" s="6">
        <f>(G143-H143)*'16-PlantAdditions'!$E$103</f>
        <v>0</v>
      </c>
      <c r="J143" s="6">
        <f t="shared" si="42"/>
        <v>0</v>
      </c>
      <c r="K143" s="249">
        <f t="shared" si="43"/>
        <v>0</v>
      </c>
    </row>
    <row r="144" spans="1:11" ht="13">
      <c r="A144" s="2">
        <f t="shared" si="40"/>
        <v>104</v>
      </c>
      <c r="B144" s="345" t="s">
        <v>391</v>
      </c>
      <c r="C144" s="346">
        <v>2024</v>
      </c>
      <c r="D144" s="59">
        <v>0</v>
      </c>
      <c r="E144" s="6">
        <f>D144*'16-PlantAdditions'!$E$103</f>
        <v>0</v>
      </c>
      <c r="F144" s="6">
        <f t="shared" si="41"/>
        <v>0</v>
      </c>
      <c r="G144" s="59">
        <v>0</v>
      </c>
      <c r="H144" s="59">
        <v>0</v>
      </c>
      <c r="I144" s="6">
        <f>(G144-H144)*'16-PlantAdditions'!$E$103</f>
        <v>0</v>
      </c>
      <c r="J144" s="6">
        <f t="shared" si="42"/>
        <v>0</v>
      </c>
      <c r="K144" s="249">
        <f t="shared" si="43"/>
        <v>0</v>
      </c>
    </row>
    <row r="145" spans="1:11" ht="13">
      <c r="A145" s="2">
        <f t="shared" si="40"/>
        <v>105</v>
      </c>
      <c r="B145" s="345" t="s">
        <v>379</v>
      </c>
      <c r="C145" s="346">
        <v>2024</v>
      </c>
      <c r="D145" s="59">
        <v>0</v>
      </c>
      <c r="E145" s="6">
        <f>D145*'16-PlantAdditions'!$E$103</f>
        <v>0</v>
      </c>
      <c r="F145" s="6">
        <f t="shared" si="41"/>
        <v>0</v>
      </c>
      <c r="G145" s="59">
        <v>0</v>
      </c>
      <c r="H145" s="59">
        <v>0</v>
      </c>
      <c r="I145" s="6">
        <f>(G145-H145)*'16-PlantAdditions'!$E$103</f>
        <v>0</v>
      </c>
      <c r="J145" s="6">
        <f t="shared" si="42"/>
        <v>0</v>
      </c>
      <c r="K145" s="53">
        <f t="shared" si="43"/>
        <v>0</v>
      </c>
    </row>
    <row r="146" spans="1:11" ht="13">
      <c r="A146" s="2">
        <f t="shared" si="40"/>
        <v>106</v>
      </c>
      <c r="C146" s="367" t="s">
        <v>997</v>
      </c>
      <c r="K146" s="42">
        <f>AVERAGE(K133:K145)</f>
        <v>0</v>
      </c>
    </row>
    <row r="147" spans="1:11" ht="13">
      <c r="A147" s="2"/>
      <c r="C147" s="367"/>
      <c r="K147" s="42"/>
    </row>
    <row r="148" spans="1:11" ht="13">
      <c r="B148" s="34" t="s">
        <v>1008</v>
      </c>
      <c r="D148" s="1110" t="s">
        <v>1009</v>
      </c>
      <c r="E148" s="1110"/>
    </row>
    <row r="149" spans="1:11" ht="13">
      <c r="B149" s="34"/>
      <c r="D149" s="3" t="s">
        <v>336</v>
      </c>
      <c r="E149" s="3" t="s">
        <v>337</v>
      </c>
      <c r="F149" s="3" t="s">
        <v>338</v>
      </c>
      <c r="G149" s="3" t="s">
        <v>339</v>
      </c>
      <c r="H149" s="3" t="s">
        <v>340</v>
      </c>
      <c r="I149" s="3" t="s">
        <v>341</v>
      </c>
      <c r="J149" s="3" t="s">
        <v>342</v>
      </c>
      <c r="K149" s="3" t="s">
        <v>343</v>
      </c>
    </row>
    <row r="150" spans="1:11" ht="25.5">
      <c r="B150" s="34"/>
      <c r="D150" s="48"/>
      <c r="E150" s="368" t="s">
        <v>1001</v>
      </c>
      <c r="F150" s="253" t="s">
        <v>1002</v>
      </c>
      <c r="G150" s="253"/>
      <c r="H150" s="48"/>
      <c r="I150" s="368" t="s">
        <v>1003</v>
      </c>
      <c r="J150" s="368" t="s">
        <v>1004</v>
      </c>
      <c r="K150" s="368" t="s">
        <v>1005</v>
      </c>
    </row>
    <row r="151" spans="1:11" ht="13">
      <c r="D151" s="48"/>
      <c r="E151" s="48"/>
      <c r="F151" s="48"/>
      <c r="G151" s="2" t="str">
        <f>G51</f>
        <v>Unloaded</v>
      </c>
      <c r="H151" s="48"/>
      <c r="I151" s="48"/>
    </row>
    <row r="152" spans="1:11" ht="13">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ht="13">
      <c r="A153" s="30" t="s">
        <v>273</v>
      </c>
      <c r="B153" s="344" t="s">
        <v>371</v>
      </c>
      <c r="C153" s="344" t="s">
        <v>372</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ht="13">
      <c r="A154" s="2">
        <f>A146+1</f>
        <v>107</v>
      </c>
      <c r="B154" s="345" t="s">
        <v>379</v>
      </c>
      <c r="C154" s="346">
        <v>2022</v>
      </c>
      <c r="D154" s="253" t="s">
        <v>380</v>
      </c>
      <c r="E154" s="253" t="s">
        <v>380</v>
      </c>
      <c r="F154" s="253" t="s">
        <v>380</v>
      </c>
      <c r="G154" s="253" t="s">
        <v>380</v>
      </c>
      <c r="H154" s="253" t="s">
        <v>380</v>
      </c>
      <c r="I154" s="253" t="s">
        <v>380</v>
      </c>
      <c r="J154" s="6">
        <f>G25</f>
        <v>6391146.5599999996</v>
      </c>
      <c r="K154" s="253" t="s">
        <v>380</v>
      </c>
    </row>
    <row r="155" spans="1:11" ht="13">
      <c r="A155" s="2">
        <f>A154+1</f>
        <v>108</v>
      </c>
      <c r="B155" s="345" t="s">
        <v>381</v>
      </c>
      <c r="C155" s="346">
        <v>2023</v>
      </c>
      <c r="D155" s="59">
        <v>2045.9999999999998</v>
      </c>
      <c r="E155" s="6">
        <f>D155*'16-PlantAdditions'!$E$103</f>
        <v>153.44999999999999</v>
      </c>
      <c r="F155" s="6">
        <f>E155+D155</f>
        <v>2199.4499999999998</v>
      </c>
      <c r="G155" s="59">
        <v>0</v>
      </c>
      <c r="H155" s="59">
        <v>0</v>
      </c>
      <c r="I155" s="6">
        <f>(G155-H155)*'16-PlantAdditions'!$E$103</f>
        <v>0</v>
      </c>
      <c r="J155" s="6">
        <f>J154+F155-G155-I155</f>
        <v>6393346.0099999998</v>
      </c>
      <c r="K155" s="6">
        <f>J155-$J$154</f>
        <v>2199.4500000001863</v>
      </c>
    </row>
    <row r="156" spans="1:11" ht="13">
      <c r="A156" s="2">
        <f t="shared" ref="A156:A179" si="46">A155+1</f>
        <v>109</v>
      </c>
      <c r="B156" s="345" t="s">
        <v>382</v>
      </c>
      <c r="C156" s="346">
        <v>2023</v>
      </c>
      <c r="D156" s="59">
        <v>-159</v>
      </c>
      <c r="E156" s="6">
        <f>D156*'16-PlantAdditions'!$E$103</f>
        <v>-11.924999999999999</v>
      </c>
      <c r="F156" s="6">
        <f t="shared" ref="F156:F178" si="47">E156+D156</f>
        <v>-170.92500000000001</v>
      </c>
      <c r="G156" s="59">
        <v>0</v>
      </c>
      <c r="H156" s="59">
        <v>0</v>
      </c>
      <c r="I156" s="6">
        <f>(G156-H156)*'16-PlantAdditions'!$E$103</f>
        <v>0</v>
      </c>
      <c r="J156" s="6">
        <f t="shared" ref="J156:J175" si="48">J155+F156-G156-I156</f>
        <v>6393175.085</v>
      </c>
      <c r="K156" s="6">
        <f t="shared" ref="K156:K178" si="49">J156-$J$154</f>
        <v>2028.5250000003725</v>
      </c>
    </row>
    <row r="157" spans="1:11" ht="13">
      <c r="A157" s="2">
        <f t="shared" si="46"/>
        <v>110</v>
      </c>
      <c r="B157" s="345" t="s">
        <v>383</v>
      </c>
      <c r="C157" s="346">
        <v>2023</v>
      </c>
      <c r="D157" s="59">
        <v>20000</v>
      </c>
      <c r="E157" s="6">
        <f>D157*'16-PlantAdditions'!$E$103</f>
        <v>1500</v>
      </c>
      <c r="F157" s="6">
        <f t="shared" si="47"/>
        <v>21500</v>
      </c>
      <c r="G157" s="59">
        <v>0</v>
      </c>
      <c r="H157" s="59">
        <v>0</v>
      </c>
      <c r="I157" s="6">
        <f>(G157-H157)*'16-PlantAdditions'!$E$103</f>
        <v>0</v>
      </c>
      <c r="J157" s="6">
        <f t="shared" si="48"/>
        <v>6414675.085</v>
      </c>
      <c r="K157" s="6">
        <f t="shared" si="49"/>
        <v>23528.525000000373</v>
      </c>
    </row>
    <row r="158" spans="1:11" ht="13">
      <c r="A158" s="2">
        <f t="shared" si="46"/>
        <v>111</v>
      </c>
      <c r="B158" s="345" t="s">
        <v>384</v>
      </c>
      <c r="C158" s="346">
        <v>2023</v>
      </c>
      <c r="D158" s="59">
        <v>50000</v>
      </c>
      <c r="E158" s="6">
        <f>D158*'16-PlantAdditions'!$E$103</f>
        <v>3750</v>
      </c>
      <c r="F158" s="6">
        <f t="shared" si="47"/>
        <v>53750</v>
      </c>
      <c r="G158" s="59">
        <v>0</v>
      </c>
      <c r="H158" s="59">
        <v>0</v>
      </c>
      <c r="I158" s="6">
        <f>(G158-H158)*'16-PlantAdditions'!$E$103</f>
        <v>0</v>
      </c>
      <c r="J158" s="6">
        <f t="shared" si="48"/>
        <v>6468425.085</v>
      </c>
      <c r="K158" s="6">
        <f t="shared" si="49"/>
        <v>77278.525000000373</v>
      </c>
    </row>
    <row r="159" spans="1:11" ht="13">
      <c r="A159" s="2">
        <f t="shared" si="46"/>
        <v>112</v>
      </c>
      <c r="B159" s="345" t="s">
        <v>385</v>
      </c>
      <c r="C159" s="346">
        <v>2023</v>
      </c>
      <c r="D159" s="59">
        <v>50000</v>
      </c>
      <c r="E159" s="6">
        <f>D159*'16-PlantAdditions'!$E$103</f>
        <v>3750</v>
      </c>
      <c r="F159" s="6">
        <f t="shared" si="47"/>
        <v>53750</v>
      </c>
      <c r="G159" s="59">
        <v>0</v>
      </c>
      <c r="H159" s="59">
        <v>0</v>
      </c>
      <c r="I159" s="6">
        <f>(G159-H159)*'16-PlantAdditions'!$E$103</f>
        <v>0</v>
      </c>
      <c r="J159" s="6">
        <f t="shared" si="48"/>
        <v>6522175.085</v>
      </c>
      <c r="K159" s="6">
        <f t="shared" si="49"/>
        <v>131028.52500000037</v>
      </c>
    </row>
    <row r="160" spans="1:11" ht="13">
      <c r="A160" s="2">
        <f t="shared" si="46"/>
        <v>113</v>
      </c>
      <c r="B160" s="345" t="s">
        <v>594</v>
      </c>
      <c r="C160" s="346">
        <v>2023</v>
      </c>
      <c r="D160" s="59">
        <v>80000</v>
      </c>
      <c r="E160" s="6">
        <f>D160*'16-PlantAdditions'!$E$103</f>
        <v>6000</v>
      </c>
      <c r="F160" s="6">
        <f t="shared" si="47"/>
        <v>86000</v>
      </c>
      <c r="G160" s="59">
        <v>0</v>
      </c>
      <c r="H160" s="59">
        <v>0</v>
      </c>
      <c r="I160" s="6">
        <f>(G160-H160)*'16-PlantAdditions'!$E$103</f>
        <v>0</v>
      </c>
      <c r="J160" s="6">
        <f t="shared" si="48"/>
        <v>6608175.085</v>
      </c>
      <c r="K160" s="6">
        <f t="shared" si="49"/>
        <v>217028.52500000037</v>
      </c>
    </row>
    <row r="161" spans="1:11" ht="13">
      <c r="A161" s="2">
        <f t="shared" si="46"/>
        <v>114</v>
      </c>
      <c r="B161" s="345" t="s">
        <v>387</v>
      </c>
      <c r="C161" s="346">
        <v>2023</v>
      </c>
      <c r="D161" s="59">
        <v>80000</v>
      </c>
      <c r="E161" s="6">
        <f>D161*'16-PlantAdditions'!$E$103</f>
        <v>6000</v>
      </c>
      <c r="F161" s="6">
        <f t="shared" si="47"/>
        <v>86000</v>
      </c>
      <c r="G161" s="59">
        <v>0</v>
      </c>
      <c r="H161" s="59">
        <v>0</v>
      </c>
      <c r="I161" s="6">
        <f>(G161-H161)*'16-PlantAdditions'!$E$103</f>
        <v>0</v>
      </c>
      <c r="J161" s="6">
        <f t="shared" si="48"/>
        <v>6694175.085</v>
      </c>
      <c r="K161" s="6">
        <f t="shared" si="49"/>
        <v>303028.52500000037</v>
      </c>
    </row>
    <row r="162" spans="1:11" ht="13">
      <c r="A162" s="2">
        <f t="shared" si="46"/>
        <v>115</v>
      </c>
      <c r="B162" s="345" t="s">
        <v>388</v>
      </c>
      <c r="C162" s="346">
        <v>2023</v>
      </c>
      <c r="D162" s="59">
        <v>80000</v>
      </c>
      <c r="E162" s="6">
        <f>D162*'16-PlantAdditions'!$E$103</f>
        <v>6000</v>
      </c>
      <c r="F162" s="6">
        <f t="shared" si="47"/>
        <v>86000</v>
      </c>
      <c r="G162" s="59">
        <v>0</v>
      </c>
      <c r="H162" s="59">
        <v>0</v>
      </c>
      <c r="I162" s="6">
        <f>(G162-H162)*'16-PlantAdditions'!$E$103</f>
        <v>0</v>
      </c>
      <c r="J162" s="6">
        <f t="shared" si="48"/>
        <v>6780175.085</v>
      </c>
      <c r="K162" s="6">
        <f t="shared" si="49"/>
        <v>389028.52500000037</v>
      </c>
    </row>
    <row r="163" spans="1:11" ht="13">
      <c r="A163" s="2">
        <f t="shared" si="46"/>
        <v>116</v>
      </c>
      <c r="B163" s="345" t="s">
        <v>389</v>
      </c>
      <c r="C163" s="346">
        <v>2023</v>
      </c>
      <c r="D163" s="59">
        <v>98113</v>
      </c>
      <c r="E163" s="6">
        <f>D163*'16-PlantAdditions'!$E$103</f>
        <v>7358.4749999999995</v>
      </c>
      <c r="F163" s="6">
        <f t="shared" si="47"/>
        <v>105471.47500000001</v>
      </c>
      <c r="G163" s="59">
        <v>0</v>
      </c>
      <c r="H163" s="59">
        <v>0</v>
      </c>
      <c r="I163" s="6">
        <f>(G163-H163)*'16-PlantAdditions'!$E$103</f>
        <v>0</v>
      </c>
      <c r="J163" s="6">
        <f t="shared" si="48"/>
        <v>6885646.5599999996</v>
      </c>
      <c r="K163" s="6">
        <f t="shared" si="49"/>
        <v>494500</v>
      </c>
    </row>
    <row r="164" spans="1:11" ht="13">
      <c r="A164" s="2">
        <f t="shared" si="46"/>
        <v>117</v>
      </c>
      <c r="B164" s="345" t="s">
        <v>390</v>
      </c>
      <c r="C164" s="346">
        <v>2023</v>
      </c>
      <c r="D164" s="59">
        <v>80000</v>
      </c>
      <c r="E164" s="6">
        <f>D164*'16-PlantAdditions'!$E$103</f>
        <v>6000</v>
      </c>
      <c r="F164" s="6">
        <f t="shared" si="47"/>
        <v>86000</v>
      </c>
      <c r="G164" s="59">
        <v>0</v>
      </c>
      <c r="H164" s="59">
        <v>0</v>
      </c>
      <c r="I164" s="6">
        <f>(G164-H164)*'16-PlantAdditions'!$E$103</f>
        <v>0</v>
      </c>
      <c r="J164" s="6">
        <f t="shared" si="48"/>
        <v>6971646.5599999996</v>
      </c>
      <c r="K164" s="6">
        <f t="shared" si="49"/>
        <v>580500</v>
      </c>
    </row>
    <row r="165" spans="1:11" ht="13">
      <c r="A165" s="2">
        <f t="shared" si="46"/>
        <v>118</v>
      </c>
      <c r="B165" s="345" t="s">
        <v>391</v>
      </c>
      <c r="C165" s="346">
        <v>2023</v>
      </c>
      <c r="D165" s="59">
        <v>80000</v>
      </c>
      <c r="E165" s="6">
        <f>D165*'16-PlantAdditions'!$E$103</f>
        <v>6000</v>
      </c>
      <c r="F165" s="6">
        <f t="shared" si="47"/>
        <v>86000</v>
      </c>
      <c r="G165" s="59">
        <v>0</v>
      </c>
      <c r="H165" s="59">
        <v>0</v>
      </c>
      <c r="I165" s="6">
        <f>(G165-H165)*'16-PlantAdditions'!$E$103</f>
        <v>0</v>
      </c>
      <c r="J165" s="6">
        <f t="shared" si="48"/>
        <v>7057646.5599999996</v>
      </c>
      <c r="K165" s="6">
        <f t="shared" si="49"/>
        <v>666500</v>
      </c>
    </row>
    <row r="166" spans="1:11" ht="13">
      <c r="A166" s="2">
        <f t="shared" si="46"/>
        <v>119</v>
      </c>
      <c r="B166" s="345" t="s">
        <v>379</v>
      </c>
      <c r="C166" s="346">
        <v>2023</v>
      </c>
      <c r="D166" s="59">
        <v>80000</v>
      </c>
      <c r="E166" s="6">
        <f>D166*'16-PlantAdditions'!$E$103</f>
        <v>6000</v>
      </c>
      <c r="F166" s="6">
        <f t="shared" si="47"/>
        <v>86000</v>
      </c>
      <c r="G166" s="59">
        <v>0</v>
      </c>
      <c r="H166" s="59">
        <v>0</v>
      </c>
      <c r="I166" s="6">
        <f>(G166-H166)*'16-PlantAdditions'!$E$103</f>
        <v>0</v>
      </c>
      <c r="J166" s="6">
        <f t="shared" si="48"/>
        <v>7143646.5599999996</v>
      </c>
      <c r="K166" s="6">
        <f t="shared" si="49"/>
        <v>752500</v>
      </c>
    </row>
    <row r="167" spans="1:11" ht="13">
      <c r="A167" s="2">
        <f t="shared" si="46"/>
        <v>120</v>
      </c>
      <c r="B167" s="345" t="s">
        <v>381</v>
      </c>
      <c r="C167" s="346">
        <v>2024</v>
      </c>
      <c r="D167" s="59">
        <v>80000</v>
      </c>
      <c r="E167" s="6">
        <f>D167*'16-PlantAdditions'!$E$103</f>
        <v>6000</v>
      </c>
      <c r="F167" s="6">
        <f t="shared" si="47"/>
        <v>86000</v>
      </c>
      <c r="G167" s="59">
        <v>0</v>
      </c>
      <c r="H167" s="59">
        <v>0</v>
      </c>
      <c r="I167" s="6">
        <f>(G167-H167)*'16-PlantAdditions'!$E$103</f>
        <v>0</v>
      </c>
      <c r="J167" s="6">
        <f t="shared" si="48"/>
        <v>7229646.5599999996</v>
      </c>
      <c r="K167" s="6">
        <f t="shared" si="49"/>
        <v>838500</v>
      </c>
    </row>
    <row r="168" spans="1:11" ht="13">
      <c r="A168" s="2">
        <f t="shared" si="46"/>
        <v>121</v>
      </c>
      <c r="B168" s="345" t="s">
        <v>382</v>
      </c>
      <c r="C168" s="346">
        <v>2024</v>
      </c>
      <c r="D168" s="59">
        <v>100000</v>
      </c>
      <c r="E168" s="6">
        <f>D168*'16-PlantAdditions'!$E$103</f>
        <v>7500</v>
      </c>
      <c r="F168" s="6">
        <f t="shared" si="47"/>
        <v>107500</v>
      </c>
      <c r="G168" s="59">
        <v>0</v>
      </c>
      <c r="H168" s="59">
        <v>0</v>
      </c>
      <c r="I168" s="6">
        <f>(G168-H168)*'16-PlantAdditions'!$E$103</f>
        <v>0</v>
      </c>
      <c r="J168" s="6">
        <f t="shared" si="48"/>
        <v>7337146.5599999996</v>
      </c>
      <c r="K168" s="6">
        <f t="shared" si="49"/>
        <v>946000</v>
      </c>
    </row>
    <row r="169" spans="1:11" ht="13">
      <c r="A169" s="2">
        <f t="shared" si="46"/>
        <v>122</v>
      </c>
      <c r="B169" s="345" t="s">
        <v>383</v>
      </c>
      <c r="C169" s="346">
        <v>2024</v>
      </c>
      <c r="D169" s="59">
        <v>350000</v>
      </c>
      <c r="E169" s="6">
        <f>D169*'16-PlantAdditions'!$E$103</f>
        <v>26250</v>
      </c>
      <c r="F169" s="6">
        <f t="shared" si="47"/>
        <v>376250</v>
      </c>
      <c r="G169" s="59">
        <v>0</v>
      </c>
      <c r="H169" s="59">
        <v>0</v>
      </c>
      <c r="I169" s="6">
        <f>(G169-H169)*'16-PlantAdditions'!$E$103</f>
        <v>0</v>
      </c>
      <c r="J169" s="6">
        <f t="shared" si="48"/>
        <v>7713396.5599999996</v>
      </c>
      <c r="K169" s="6">
        <f t="shared" si="49"/>
        <v>1322250</v>
      </c>
    </row>
    <row r="170" spans="1:11" ht="13">
      <c r="A170" s="2">
        <f t="shared" si="46"/>
        <v>123</v>
      </c>
      <c r="B170" s="345" t="s">
        <v>384</v>
      </c>
      <c r="C170" s="346">
        <v>2024</v>
      </c>
      <c r="D170" s="59">
        <v>350000</v>
      </c>
      <c r="E170" s="6">
        <f>D170*'16-PlantAdditions'!$E$103</f>
        <v>26250</v>
      </c>
      <c r="F170" s="6">
        <f t="shared" si="47"/>
        <v>376250</v>
      </c>
      <c r="G170" s="59">
        <v>0</v>
      </c>
      <c r="H170" s="59">
        <v>0</v>
      </c>
      <c r="I170" s="6">
        <f>(G170-H170)*'16-PlantAdditions'!$E$103</f>
        <v>0</v>
      </c>
      <c r="J170" s="6">
        <f t="shared" si="48"/>
        <v>8089646.5599999996</v>
      </c>
      <c r="K170" s="6">
        <f t="shared" si="49"/>
        <v>1698500</v>
      </c>
    </row>
    <row r="171" spans="1:11" ht="13">
      <c r="A171" s="2">
        <f t="shared" si="46"/>
        <v>124</v>
      </c>
      <c r="B171" s="345" t="s">
        <v>385</v>
      </c>
      <c r="C171" s="346">
        <v>2024</v>
      </c>
      <c r="D171" s="59">
        <v>350000</v>
      </c>
      <c r="E171" s="6">
        <f>D171*'16-PlantAdditions'!$E$103</f>
        <v>26250</v>
      </c>
      <c r="F171" s="6">
        <f t="shared" si="47"/>
        <v>376250</v>
      </c>
      <c r="G171" s="59">
        <v>0</v>
      </c>
      <c r="H171" s="59">
        <v>0</v>
      </c>
      <c r="I171" s="6">
        <f>(G171-H171)*'16-PlantAdditions'!$E$103</f>
        <v>0</v>
      </c>
      <c r="J171" s="6">
        <f t="shared" si="48"/>
        <v>8465896.5599999987</v>
      </c>
      <c r="K171" s="6">
        <f t="shared" si="49"/>
        <v>2074749.9999999991</v>
      </c>
    </row>
    <row r="172" spans="1:11" ht="13">
      <c r="A172" s="2">
        <f t="shared" si="46"/>
        <v>125</v>
      </c>
      <c r="B172" s="345" t="s">
        <v>594</v>
      </c>
      <c r="C172" s="346">
        <v>2024</v>
      </c>
      <c r="D172" s="59">
        <v>250000</v>
      </c>
      <c r="E172" s="6">
        <f>D172*'16-PlantAdditions'!$E$103</f>
        <v>18750</v>
      </c>
      <c r="F172" s="6">
        <f t="shared" si="47"/>
        <v>268750</v>
      </c>
      <c r="G172" s="59">
        <v>0</v>
      </c>
      <c r="H172" s="59">
        <v>0</v>
      </c>
      <c r="I172" s="6">
        <f>(G172-H172)*'16-PlantAdditions'!$E$103</f>
        <v>0</v>
      </c>
      <c r="J172" s="6">
        <f t="shared" si="48"/>
        <v>8734646.5599999987</v>
      </c>
      <c r="K172" s="6">
        <f t="shared" si="49"/>
        <v>2343499.9999999991</v>
      </c>
    </row>
    <row r="173" spans="1:11" ht="13">
      <c r="A173" s="2">
        <f t="shared" si="46"/>
        <v>126</v>
      </c>
      <c r="B173" s="345" t="s">
        <v>387</v>
      </c>
      <c r="C173" s="346">
        <v>2024</v>
      </c>
      <c r="D173" s="59">
        <v>270000</v>
      </c>
      <c r="E173" s="6">
        <f>D173*'16-PlantAdditions'!$E$103</f>
        <v>20250</v>
      </c>
      <c r="F173" s="6">
        <f t="shared" si="47"/>
        <v>290250</v>
      </c>
      <c r="G173" s="59">
        <v>0</v>
      </c>
      <c r="H173" s="59">
        <v>0</v>
      </c>
      <c r="I173" s="6">
        <f>(G173-H173)*'16-PlantAdditions'!$E$103</f>
        <v>0</v>
      </c>
      <c r="J173" s="6">
        <f t="shared" si="48"/>
        <v>9024896.5599999987</v>
      </c>
      <c r="K173" s="6">
        <f t="shared" si="49"/>
        <v>2633749.9999999991</v>
      </c>
    </row>
    <row r="174" spans="1:11" ht="13">
      <c r="A174" s="2">
        <f t="shared" si="46"/>
        <v>127</v>
      </c>
      <c r="B174" s="345" t="s">
        <v>388</v>
      </c>
      <c r="C174" s="346">
        <v>2024</v>
      </c>
      <c r="D174" s="59">
        <v>250000</v>
      </c>
      <c r="E174" s="6">
        <f>D174*'16-PlantAdditions'!$E$103</f>
        <v>18750</v>
      </c>
      <c r="F174" s="6">
        <f t="shared" si="47"/>
        <v>268750</v>
      </c>
      <c r="G174" s="59">
        <v>0</v>
      </c>
      <c r="H174" s="59">
        <v>0</v>
      </c>
      <c r="I174" s="6">
        <f>(G174-H174)*'16-PlantAdditions'!$E$103</f>
        <v>0</v>
      </c>
      <c r="J174" s="6">
        <f t="shared" si="48"/>
        <v>9293646.5599999987</v>
      </c>
      <c r="K174" s="6">
        <f t="shared" si="49"/>
        <v>2902499.9999999991</v>
      </c>
    </row>
    <row r="175" spans="1:11" ht="13">
      <c r="A175" s="2">
        <f t="shared" si="46"/>
        <v>128</v>
      </c>
      <c r="B175" s="345" t="s">
        <v>389</v>
      </c>
      <c r="C175" s="346">
        <v>2024</v>
      </c>
      <c r="D175" s="59">
        <v>250000</v>
      </c>
      <c r="E175" s="6">
        <f>D175*'16-PlantAdditions'!$E$103</f>
        <v>18750</v>
      </c>
      <c r="F175" s="6">
        <f t="shared" si="47"/>
        <v>268750</v>
      </c>
      <c r="G175" s="59">
        <v>0</v>
      </c>
      <c r="H175" s="59">
        <v>0</v>
      </c>
      <c r="I175" s="6">
        <f>(G175-H175)*'16-PlantAdditions'!$E$103</f>
        <v>0</v>
      </c>
      <c r="J175" s="6">
        <f t="shared" si="48"/>
        <v>9562396.5599999987</v>
      </c>
      <c r="K175" s="6">
        <f t="shared" si="49"/>
        <v>3171249.9999999991</v>
      </c>
    </row>
    <row r="176" spans="1:11" ht="13">
      <c r="A176" s="2">
        <f t="shared" si="46"/>
        <v>129</v>
      </c>
      <c r="B176" s="345" t="s">
        <v>390</v>
      </c>
      <c r="C176" s="346">
        <v>2024</v>
      </c>
      <c r="D176" s="59">
        <v>250000</v>
      </c>
      <c r="E176" s="6">
        <f>D176*'16-PlantAdditions'!$E$103</f>
        <v>18750</v>
      </c>
      <c r="F176" s="6">
        <f t="shared" si="47"/>
        <v>268750</v>
      </c>
      <c r="G176" s="59">
        <v>0</v>
      </c>
      <c r="H176" s="59">
        <v>0</v>
      </c>
      <c r="I176" s="6">
        <f>(G176-H176)*'16-PlantAdditions'!$E$103</f>
        <v>0</v>
      </c>
      <c r="J176" s="6">
        <f t="shared" ref="J176:J178" si="50">J175+F176-G176-I176</f>
        <v>9831146.5599999987</v>
      </c>
      <c r="K176" s="6">
        <f t="shared" si="49"/>
        <v>3439999.9999999991</v>
      </c>
    </row>
    <row r="177" spans="1:11" ht="13">
      <c r="A177" s="2">
        <f t="shared" si="46"/>
        <v>130</v>
      </c>
      <c r="B177" s="345" t="s">
        <v>391</v>
      </c>
      <c r="C177" s="346">
        <v>2024</v>
      </c>
      <c r="D177" s="59">
        <v>250000</v>
      </c>
      <c r="E177" s="6">
        <f>D177*'16-PlantAdditions'!$E$103</f>
        <v>18750</v>
      </c>
      <c r="F177" s="6">
        <f t="shared" si="47"/>
        <v>268750</v>
      </c>
      <c r="G177" s="59">
        <v>0</v>
      </c>
      <c r="H177" s="59">
        <v>0</v>
      </c>
      <c r="I177" s="6">
        <f>(G177-H177)*'16-PlantAdditions'!$E$103</f>
        <v>0</v>
      </c>
      <c r="J177" s="6">
        <f t="shared" si="50"/>
        <v>10099896.559999999</v>
      </c>
      <c r="K177" s="6">
        <f t="shared" si="49"/>
        <v>3708749.9999999991</v>
      </c>
    </row>
    <row r="178" spans="1:11" ht="13">
      <c r="A178" s="2">
        <f t="shared" si="46"/>
        <v>131</v>
      </c>
      <c r="B178" s="345" t="s">
        <v>379</v>
      </c>
      <c r="C178" s="346">
        <v>2024</v>
      </c>
      <c r="D178" s="59">
        <v>250000</v>
      </c>
      <c r="E178" s="6">
        <f>D178*'16-PlantAdditions'!$E$103</f>
        <v>18750</v>
      </c>
      <c r="F178" s="6">
        <f t="shared" si="47"/>
        <v>268750</v>
      </c>
      <c r="G178" s="59">
        <v>0</v>
      </c>
      <c r="H178" s="59">
        <v>0</v>
      </c>
      <c r="I178" s="6">
        <f>(G178-H178)*'16-PlantAdditions'!$E$103</f>
        <v>0</v>
      </c>
      <c r="J178" s="6">
        <f t="shared" si="50"/>
        <v>10368646.559999999</v>
      </c>
      <c r="K178" s="53">
        <f t="shared" si="49"/>
        <v>3977499.9999999991</v>
      </c>
    </row>
    <row r="179" spans="1:11" ht="13">
      <c r="A179" s="2">
        <f t="shared" si="46"/>
        <v>132</v>
      </c>
      <c r="C179" s="367" t="s">
        <v>997</v>
      </c>
      <c r="K179" s="42">
        <f>AVERAGE(K166:K178)</f>
        <v>2293057.692307692</v>
      </c>
    </row>
    <row r="180" spans="1:11" ht="13">
      <c r="A180" s="2"/>
      <c r="C180" s="367"/>
      <c r="K180" s="42"/>
    </row>
    <row r="181" spans="1:11" ht="13">
      <c r="B181" s="34" t="s">
        <v>1010</v>
      </c>
      <c r="D181" s="1110" t="s">
        <v>1011</v>
      </c>
      <c r="E181" s="1110"/>
    </row>
    <row r="182" spans="1:11" ht="13">
      <c r="A182" s="3"/>
      <c r="B182" s="3"/>
      <c r="C182" s="3"/>
      <c r="D182" s="3" t="s">
        <v>336</v>
      </c>
      <c r="E182" s="3" t="s">
        <v>337</v>
      </c>
      <c r="F182" s="3" t="s">
        <v>338</v>
      </c>
      <c r="G182" s="3" t="s">
        <v>339</v>
      </c>
      <c r="H182" s="3" t="s">
        <v>340</v>
      </c>
      <c r="I182" s="3" t="s">
        <v>341</v>
      </c>
      <c r="J182" s="3" t="s">
        <v>342</v>
      </c>
      <c r="K182" s="3" t="s">
        <v>343</v>
      </c>
    </row>
    <row r="183" spans="1:11" ht="25.5">
      <c r="D183" s="48"/>
      <c r="E183" s="368" t="s">
        <v>1001</v>
      </c>
      <c r="F183" s="253" t="s">
        <v>1002</v>
      </c>
      <c r="G183" s="253"/>
      <c r="H183" s="48"/>
      <c r="I183" s="368" t="s">
        <v>1003</v>
      </c>
      <c r="J183" s="368" t="s">
        <v>1004</v>
      </c>
      <c r="K183" s="368" t="s">
        <v>1005</v>
      </c>
    </row>
    <row r="184" spans="1:11" ht="13">
      <c r="D184" s="48"/>
      <c r="E184" s="368"/>
      <c r="F184" s="253"/>
      <c r="G184" s="4" t="str">
        <f>G51</f>
        <v>Unloaded</v>
      </c>
      <c r="H184" s="48"/>
      <c r="I184" s="368"/>
      <c r="J184" s="368"/>
      <c r="K184" s="368"/>
    </row>
    <row r="185" spans="1:11" ht="13">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ht="13">
      <c r="A186" s="30" t="s">
        <v>273</v>
      </c>
      <c r="B186" s="344" t="s">
        <v>371</v>
      </c>
      <c r="C186" s="344" t="s">
        <v>372</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ht="13">
      <c r="A187" s="2">
        <f>A179+1</f>
        <v>133</v>
      </c>
      <c r="B187" s="345" t="s">
        <v>379</v>
      </c>
      <c r="C187" s="346">
        <v>2022</v>
      </c>
      <c r="D187" s="253" t="s">
        <v>380</v>
      </c>
      <c r="E187" s="253" t="s">
        <v>380</v>
      </c>
      <c r="F187" s="253" t="s">
        <v>380</v>
      </c>
      <c r="G187" s="253" t="s">
        <v>380</v>
      </c>
      <c r="H187" s="253" t="s">
        <v>380</v>
      </c>
      <c r="I187" s="253" t="s">
        <v>380</v>
      </c>
      <c r="J187" s="6">
        <f>H25</f>
        <v>974727.83</v>
      </c>
      <c r="K187" s="253" t="s">
        <v>380</v>
      </c>
    </row>
    <row r="188" spans="1:11" ht="13">
      <c r="A188" s="2">
        <f>A187+1</f>
        <v>134</v>
      </c>
      <c r="B188" s="345" t="s">
        <v>381</v>
      </c>
      <c r="C188" s="346">
        <v>2023</v>
      </c>
      <c r="D188" s="59">
        <v>16418</v>
      </c>
      <c r="E188" s="6">
        <f>D188*'16-PlantAdditions'!$E$103</f>
        <v>1231.3499999999999</v>
      </c>
      <c r="F188" s="6">
        <f>E188+D188</f>
        <v>17649.349999999999</v>
      </c>
      <c r="G188" s="59">
        <v>16114.999999999998</v>
      </c>
      <c r="H188" s="59">
        <v>0</v>
      </c>
      <c r="I188" s="6">
        <f>(G188-H188)*'16-PlantAdditions'!$E$103</f>
        <v>1208.6249999999998</v>
      </c>
      <c r="J188" s="6">
        <f>J187+F188-G188-I188</f>
        <v>975053.55499999993</v>
      </c>
      <c r="K188" s="6">
        <f>J188-$J$187</f>
        <v>325.72499999997672</v>
      </c>
    </row>
    <row r="189" spans="1:11" ht="13">
      <c r="A189" s="2">
        <f t="shared" ref="A189:A212" si="53">A188+1</f>
        <v>135</v>
      </c>
      <c r="B189" s="345" t="s">
        <v>382</v>
      </c>
      <c r="C189" s="346">
        <v>2023</v>
      </c>
      <c r="D189" s="59">
        <v>23177</v>
      </c>
      <c r="E189" s="6">
        <f>D189*'16-PlantAdditions'!$E$103</f>
        <v>1738.2749999999999</v>
      </c>
      <c r="F189" s="6">
        <f t="shared" ref="F189:F208" si="54">E189+D189</f>
        <v>24915.275000000001</v>
      </c>
      <c r="G189" s="59">
        <v>23159</v>
      </c>
      <c r="H189" s="59">
        <v>0</v>
      </c>
      <c r="I189" s="6">
        <f>(G189-H189)*'16-PlantAdditions'!$E$103</f>
        <v>1736.925</v>
      </c>
      <c r="J189" s="6">
        <f t="shared" ref="J189:J208" si="55">J188+F189-G189-I189</f>
        <v>975072.90499999991</v>
      </c>
      <c r="K189" s="6">
        <f t="shared" ref="K189:K211" si="56">J189-$J$187</f>
        <v>345.07499999995343</v>
      </c>
    </row>
    <row r="190" spans="1:11" ht="13">
      <c r="A190" s="2">
        <f t="shared" si="53"/>
        <v>136</v>
      </c>
      <c r="B190" s="345" t="s">
        <v>383</v>
      </c>
      <c r="C190" s="346">
        <v>2023</v>
      </c>
      <c r="D190" s="59">
        <v>150000</v>
      </c>
      <c r="E190" s="6">
        <f>D190*'16-PlantAdditions'!$E$103</f>
        <v>11250</v>
      </c>
      <c r="F190" s="6">
        <f t="shared" si="54"/>
        <v>161250</v>
      </c>
      <c r="G190" s="59">
        <v>150000</v>
      </c>
      <c r="H190" s="59">
        <v>0</v>
      </c>
      <c r="I190" s="6">
        <f>(G190-H190)*'16-PlantAdditions'!$E$103</f>
        <v>11250</v>
      </c>
      <c r="J190" s="6">
        <f t="shared" si="55"/>
        <v>975072.9049999998</v>
      </c>
      <c r="K190" s="6">
        <f t="shared" si="56"/>
        <v>345.07499999983702</v>
      </c>
    </row>
    <row r="191" spans="1:11" ht="13">
      <c r="A191" s="2">
        <f t="shared" si="53"/>
        <v>137</v>
      </c>
      <c r="B191" s="345" t="s">
        <v>384</v>
      </c>
      <c r="C191" s="346">
        <v>2023</v>
      </c>
      <c r="D191" s="59">
        <v>150000</v>
      </c>
      <c r="E191" s="6">
        <f>D191*'16-PlantAdditions'!$E$103</f>
        <v>11250</v>
      </c>
      <c r="F191" s="6">
        <f t="shared" si="54"/>
        <v>161250</v>
      </c>
      <c r="G191" s="59">
        <v>150000</v>
      </c>
      <c r="H191" s="59">
        <v>0</v>
      </c>
      <c r="I191" s="6">
        <f>(G191-H191)*'16-PlantAdditions'!$E$103</f>
        <v>11250</v>
      </c>
      <c r="J191" s="6">
        <f t="shared" si="55"/>
        <v>975072.9049999998</v>
      </c>
      <c r="K191" s="6">
        <f t="shared" si="56"/>
        <v>345.07499999983702</v>
      </c>
    </row>
    <row r="192" spans="1:11" ht="13">
      <c r="A192" s="2">
        <f t="shared" si="53"/>
        <v>138</v>
      </c>
      <c r="B192" s="345" t="s">
        <v>385</v>
      </c>
      <c r="C192" s="346">
        <v>2023</v>
      </c>
      <c r="D192" s="59">
        <v>150000</v>
      </c>
      <c r="E192" s="6">
        <f>D192*'16-PlantAdditions'!$E$103</f>
        <v>11250</v>
      </c>
      <c r="F192" s="6">
        <f t="shared" si="54"/>
        <v>161250</v>
      </c>
      <c r="G192" s="59">
        <v>150000</v>
      </c>
      <c r="H192" s="59">
        <v>0</v>
      </c>
      <c r="I192" s="6">
        <f>(G192-H192)*'16-PlantAdditions'!$E$103</f>
        <v>11250</v>
      </c>
      <c r="J192" s="6">
        <f t="shared" si="55"/>
        <v>975072.9049999998</v>
      </c>
      <c r="K192" s="6">
        <f t="shared" si="56"/>
        <v>345.07499999983702</v>
      </c>
    </row>
    <row r="193" spans="1:11" ht="13">
      <c r="A193" s="2">
        <f t="shared" si="53"/>
        <v>139</v>
      </c>
      <c r="B193" s="345" t="s">
        <v>594</v>
      </c>
      <c r="C193" s="346">
        <v>2023</v>
      </c>
      <c r="D193" s="59">
        <v>150000</v>
      </c>
      <c r="E193" s="6">
        <f>D193*'16-PlantAdditions'!$E$103</f>
        <v>11250</v>
      </c>
      <c r="F193" s="6">
        <f t="shared" si="54"/>
        <v>161250</v>
      </c>
      <c r="G193" s="59">
        <v>150000</v>
      </c>
      <c r="H193" s="59">
        <v>0</v>
      </c>
      <c r="I193" s="6">
        <f>(G193-H193)*'16-PlantAdditions'!$E$103</f>
        <v>11250</v>
      </c>
      <c r="J193" s="6">
        <f t="shared" si="55"/>
        <v>975072.9049999998</v>
      </c>
      <c r="K193" s="6">
        <f t="shared" si="56"/>
        <v>345.07499999983702</v>
      </c>
    </row>
    <row r="194" spans="1:11" ht="13">
      <c r="A194" s="2">
        <f t="shared" si="53"/>
        <v>140</v>
      </c>
      <c r="B194" s="345" t="s">
        <v>387</v>
      </c>
      <c r="C194" s="346">
        <v>2023</v>
      </c>
      <c r="D194" s="59">
        <v>150000</v>
      </c>
      <c r="E194" s="6">
        <f>D194*'16-PlantAdditions'!$E$103</f>
        <v>11250</v>
      </c>
      <c r="F194" s="6">
        <f t="shared" si="54"/>
        <v>161250</v>
      </c>
      <c r="G194" s="59">
        <v>150000</v>
      </c>
      <c r="H194" s="59">
        <v>0</v>
      </c>
      <c r="I194" s="6">
        <f>(G194-H194)*'16-PlantAdditions'!$E$103</f>
        <v>11250</v>
      </c>
      <c r="J194" s="6">
        <f t="shared" si="55"/>
        <v>975072.9049999998</v>
      </c>
      <c r="K194" s="6">
        <f t="shared" si="56"/>
        <v>345.07499999983702</v>
      </c>
    </row>
    <row r="195" spans="1:11" ht="13">
      <c r="A195" s="2">
        <f t="shared" si="53"/>
        <v>141</v>
      </c>
      <c r="B195" s="345" t="s">
        <v>388</v>
      </c>
      <c r="C195" s="346">
        <v>2023</v>
      </c>
      <c r="D195" s="59">
        <v>150000</v>
      </c>
      <c r="E195" s="6">
        <f>D195*'16-PlantAdditions'!$E$103</f>
        <v>11250</v>
      </c>
      <c r="F195" s="6">
        <f t="shared" si="54"/>
        <v>161250</v>
      </c>
      <c r="G195" s="59">
        <v>150000</v>
      </c>
      <c r="H195" s="59">
        <v>0</v>
      </c>
      <c r="I195" s="6">
        <f>(G195-H195)*'16-PlantAdditions'!$E$103</f>
        <v>11250</v>
      </c>
      <c r="J195" s="6">
        <f t="shared" si="55"/>
        <v>975072.9049999998</v>
      </c>
      <c r="K195" s="6">
        <f t="shared" si="56"/>
        <v>345.07499999983702</v>
      </c>
    </row>
    <row r="196" spans="1:11" ht="13">
      <c r="A196" s="2">
        <f t="shared" si="53"/>
        <v>142</v>
      </c>
      <c r="B196" s="345" t="s">
        <v>389</v>
      </c>
      <c r="C196" s="346">
        <v>2023</v>
      </c>
      <c r="D196" s="59">
        <v>6650000</v>
      </c>
      <c r="E196" s="6">
        <f>D196*'16-PlantAdditions'!$E$103</f>
        <v>498750</v>
      </c>
      <c r="F196" s="6">
        <f t="shared" si="54"/>
        <v>7148750</v>
      </c>
      <c r="G196" s="59">
        <v>150000</v>
      </c>
      <c r="H196" s="59">
        <v>0</v>
      </c>
      <c r="I196" s="6">
        <f>(G196-H196)*'16-PlantAdditions'!$E$103</f>
        <v>11250</v>
      </c>
      <c r="J196" s="6">
        <f t="shared" si="55"/>
        <v>7962572.9049999993</v>
      </c>
      <c r="K196" s="6">
        <f t="shared" si="56"/>
        <v>6987845.0749999993</v>
      </c>
    </row>
    <row r="197" spans="1:11" ht="13">
      <c r="A197" s="2">
        <f t="shared" si="53"/>
        <v>143</v>
      </c>
      <c r="B197" s="345" t="s">
        <v>390</v>
      </c>
      <c r="C197" s="346">
        <v>2023</v>
      </c>
      <c r="D197" s="59">
        <v>150000</v>
      </c>
      <c r="E197" s="6">
        <f>D197*'16-PlantAdditions'!$E$103</f>
        <v>11250</v>
      </c>
      <c r="F197" s="6">
        <f t="shared" si="54"/>
        <v>161250</v>
      </c>
      <c r="G197" s="59">
        <v>150000</v>
      </c>
      <c r="H197" s="59">
        <v>0</v>
      </c>
      <c r="I197" s="6">
        <f>(G197-H197)*'16-PlantAdditions'!$E$103</f>
        <v>11250</v>
      </c>
      <c r="J197" s="6">
        <f t="shared" si="55"/>
        <v>7962572.9049999993</v>
      </c>
      <c r="K197" s="6">
        <f t="shared" si="56"/>
        <v>6987845.0749999993</v>
      </c>
    </row>
    <row r="198" spans="1:11" ht="13">
      <c r="A198" s="2">
        <f t="shared" si="53"/>
        <v>144</v>
      </c>
      <c r="B198" s="345" t="s">
        <v>391</v>
      </c>
      <c r="C198" s="346">
        <v>2023</v>
      </c>
      <c r="D198" s="59">
        <v>225000</v>
      </c>
      <c r="E198" s="6">
        <f>D198*'16-PlantAdditions'!$E$103</f>
        <v>16875</v>
      </c>
      <c r="F198" s="6">
        <f t="shared" si="54"/>
        <v>241875</v>
      </c>
      <c r="G198" s="59">
        <v>225000</v>
      </c>
      <c r="H198" s="59">
        <v>0</v>
      </c>
      <c r="I198" s="6">
        <f>(G198-H198)*'16-PlantAdditions'!$E$103</f>
        <v>16875</v>
      </c>
      <c r="J198" s="6">
        <f t="shared" si="55"/>
        <v>7962572.9049999993</v>
      </c>
      <c r="K198" s="6">
        <f t="shared" si="56"/>
        <v>6987845.0749999993</v>
      </c>
    </row>
    <row r="199" spans="1:11" ht="13">
      <c r="A199" s="2">
        <f t="shared" si="53"/>
        <v>145</v>
      </c>
      <c r="B199" s="345" t="s">
        <v>379</v>
      </c>
      <c r="C199" s="346">
        <v>2023</v>
      </c>
      <c r="D199" s="59">
        <v>252747</v>
      </c>
      <c r="E199" s="6">
        <f>D199*'16-PlantAdditions'!$E$103</f>
        <v>18956.024999999998</v>
      </c>
      <c r="F199" s="6">
        <f t="shared" si="54"/>
        <v>271703.02500000002</v>
      </c>
      <c r="G199" s="59">
        <v>7727795.8300000001</v>
      </c>
      <c r="H199" s="59">
        <v>974727.83000000031</v>
      </c>
      <c r="I199" s="6">
        <f>(G199-H199)*'16-PlantAdditions'!$E$103</f>
        <v>506480.1</v>
      </c>
      <c r="J199" s="6">
        <f t="shared" si="55"/>
        <v>0</v>
      </c>
      <c r="K199" s="6">
        <f t="shared" si="56"/>
        <v>-974727.83</v>
      </c>
    </row>
    <row r="200" spans="1:11" ht="13">
      <c r="A200" s="2">
        <f t="shared" si="53"/>
        <v>146</v>
      </c>
      <c r="B200" s="345" t="s">
        <v>381</v>
      </c>
      <c r="C200" s="346">
        <v>2024</v>
      </c>
      <c r="D200" s="59">
        <v>100000</v>
      </c>
      <c r="E200" s="6">
        <f>D200*'16-PlantAdditions'!$E$103</f>
        <v>7500</v>
      </c>
      <c r="F200" s="6">
        <f t="shared" si="54"/>
        <v>107500</v>
      </c>
      <c r="G200" s="59">
        <v>100000</v>
      </c>
      <c r="H200" s="59">
        <v>0</v>
      </c>
      <c r="I200" s="6">
        <f>(G200-H200)*'16-PlantAdditions'!$E$103</f>
        <v>7500</v>
      </c>
      <c r="J200" s="6">
        <f t="shared" si="55"/>
        <v>0</v>
      </c>
      <c r="K200" s="6">
        <f t="shared" si="56"/>
        <v>-974727.83</v>
      </c>
    </row>
    <row r="201" spans="1:11" ht="13">
      <c r="A201" s="2">
        <f t="shared" si="53"/>
        <v>147</v>
      </c>
      <c r="B201" s="345" t="s">
        <v>382</v>
      </c>
      <c r="C201" s="346">
        <v>2024</v>
      </c>
      <c r="D201" s="59">
        <v>100000</v>
      </c>
      <c r="E201" s="6">
        <f>D201*'16-PlantAdditions'!$E$103</f>
        <v>7500</v>
      </c>
      <c r="F201" s="6">
        <f t="shared" si="54"/>
        <v>107500</v>
      </c>
      <c r="G201" s="59">
        <v>100000</v>
      </c>
      <c r="H201" s="59">
        <v>0</v>
      </c>
      <c r="I201" s="6">
        <f>(G201-H201)*'16-PlantAdditions'!$E$103</f>
        <v>7500</v>
      </c>
      <c r="J201" s="6">
        <f t="shared" si="55"/>
        <v>0</v>
      </c>
      <c r="K201" s="6">
        <f t="shared" si="56"/>
        <v>-974727.83</v>
      </c>
    </row>
    <row r="202" spans="1:11" ht="13">
      <c r="A202" s="2">
        <f t="shared" si="53"/>
        <v>148</v>
      </c>
      <c r="B202" s="345" t="s">
        <v>383</v>
      </c>
      <c r="C202" s="346">
        <v>2024</v>
      </c>
      <c r="D202" s="59">
        <v>100000</v>
      </c>
      <c r="E202" s="6">
        <f>D202*'16-PlantAdditions'!$E$103</f>
        <v>7500</v>
      </c>
      <c r="F202" s="6">
        <f t="shared" si="54"/>
        <v>107500</v>
      </c>
      <c r="G202" s="59">
        <v>100000</v>
      </c>
      <c r="H202" s="59">
        <v>0</v>
      </c>
      <c r="I202" s="6">
        <f>(G202-H202)*'16-PlantAdditions'!$E$103</f>
        <v>7500</v>
      </c>
      <c r="J202" s="6">
        <f t="shared" si="55"/>
        <v>0</v>
      </c>
      <c r="K202" s="6">
        <f t="shared" si="56"/>
        <v>-974727.83</v>
      </c>
    </row>
    <row r="203" spans="1:11" ht="13">
      <c r="A203" s="2">
        <f t="shared" si="53"/>
        <v>149</v>
      </c>
      <c r="B203" s="345" t="s">
        <v>384</v>
      </c>
      <c r="C203" s="346">
        <v>2024</v>
      </c>
      <c r="D203" s="59">
        <v>100000</v>
      </c>
      <c r="E203" s="6">
        <f>D203*'16-PlantAdditions'!$E$103</f>
        <v>7500</v>
      </c>
      <c r="F203" s="6">
        <f t="shared" si="54"/>
        <v>107500</v>
      </c>
      <c r="G203" s="59">
        <v>100000</v>
      </c>
      <c r="H203" s="59">
        <v>0</v>
      </c>
      <c r="I203" s="6">
        <f>(G203-H203)*'16-PlantAdditions'!$E$103</f>
        <v>7500</v>
      </c>
      <c r="J203" s="6">
        <f t="shared" si="55"/>
        <v>0</v>
      </c>
      <c r="K203" s="6">
        <f t="shared" si="56"/>
        <v>-974727.83</v>
      </c>
    </row>
    <row r="204" spans="1:11" ht="13">
      <c r="A204" s="2">
        <f t="shared" si="53"/>
        <v>150</v>
      </c>
      <c r="B204" s="345" t="s">
        <v>385</v>
      </c>
      <c r="C204" s="346">
        <v>2024</v>
      </c>
      <c r="D204" s="59">
        <v>100000</v>
      </c>
      <c r="E204" s="6">
        <f>D204*'16-PlantAdditions'!$E$103</f>
        <v>7500</v>
      </c>
      <c r="F204" s="6">
        <f t="shared" si="54"/>
        <v>107500</v>
      </c>
      <c r="G204" s="59">
        <v>100000</v>
      </c>
      <c r="H204" s="59">
        <v>0</v>
      </c>
      <c r="I204" s="6">
        <f>(G204-H204)*'16-PlantAdditions'!$E$103</f>
        <v>7500</v>
      </c>
      <c r="J204" s="6">
        <f t="shared" si="55"/>
        <v>0</v>
      </c>
      <c r="K204" s="6">
        <f t="shared" si="56"/>
        <v>-974727.83</v>
      </c>
    </row>
    <row r="205" spans="1:11" ht="13">
      <c r="A205" s="2">
        <f t="shared" si="53"/>
        <v>151</v>
      </c>
      <c r="B205" s="345" t="s">
        <v>594</v>
      </c>
      <c r="C205" s="346">
        <v>2024</v>
      </c>
      <c r="D205" s="59">
        <v>100000</v>
      </c>
      <c r="E205" s="6">
        <f>D205*'16-PlantAdditions'!$E$103</f>
        <v>7500</v>
      </c>
      <c r="F205" s="6">
        <f t="shared" si="54"/>
        <v>107500</v>
      </c>
      <c r="G205" s="59">
        <v>100000</v>
      </c>
      <c r="H205" s="59">
        <v>0</v>
      </c>
      <c r="I205" s="6">
        <f>(G205-H205)*'16-PlantAdditions'!$E$103</f>
        <v>7500</v>
      </c>
      <c r="J205" s="6">
        <f t="shared" si="55"/>
        <v>0</v>
      </c>
      <c r="K205" s="6">
        <f t="shared" si="56"/>
        <v>-974727.83</v>
      </c>
    </row>
    <row r="206" spans="1:11" ht="13">
      <c r="A206" s="2">
        <f t="shared" si="53"/>
        <v>152</v>
      </c>
      <c r="B206" s="345" t="s">
        <v>387</v>
      </c>
      <c r="C206" s="346">
        <v>2024</v>
      </c>
      <c r="D206" s="59">
        <v>100000</v>
      </c>
      <c r="E206" s="6">
        <f>D206*'16-PlantAdditions'!$E$103</f>
        <v>7500</v>
      </c>
      <c r="F206" s="6">
        <f t="shared" si="54"/>
        <v>107500</v>
      </c>
      <c r="G206" s="59">
        <v>100000</v>
      </c>
      <c r="H206" s="59">
        <v>0</v>
      </c>
      <c r="I206" s="6">
        <f>(G206-H206)*'16-PlantAdditions'!$E$103</f>
        <v>7500</v>
      </c>
      <c r="J206" s="6">
        <f t="shared" si="55"/>
        <v>0</v>
      </c>
      <c r="K206" s="6">
        <f t="shared" si="56"/>
        <v>-974727.83</v>
      </c>
    </row>
    <row r="207" spans="1:11" ht="13">
      <c r="A207" s="2">
        <f t="shared" si="53"/>
        <v>153</v>
      </c>
      <c r="B207" s="345" t="s">
        <v>388</v>
      </c>
      <c r="C207" s="346">
        <v>2024</v>
      </c>
      <c r="D207" s="59">
        <v>100000</v>
      </c>
      <c r="E207" s="6">
        <f>D207*'16-PlantAdditions'!$E$103</f>
        <v>7500</v>
      </c>
      <c r="F207" s="6">
        <f t="shared" si="54"/>
        <v>107500</v>
      </c>
      <c r="G207" s="59">
        <v>100000</v>
      </c>
      <c r="H207" s="59">
        <v>0</v>
      </c>
      <c r="I207" s="6">
        <f>(G207-H207)*'16-PlantAdditions'!$E$103</f>
        <v>7500</v>
      </c>
      <c r="J207" s="6">
        <f t="shared" si="55"/>
        <v>0</v>
      </c>
      <c r="K207" s="6">
        <f t="shared" si="56"/>
        <v>-974727.83</v>
      </c>
    </row>
    <row r="208" spans="1:11" ht="13">
      <c r="A208" s="2">
        <f t="shared" si="53"/>
        <v>154</v>
      </c>
      <c r="B208" s="345" t="s">
        <v>389</v>
      </c>
      <c r="C208" s="346">
        <v>2024</v>
      </c>
      <c r="D208" s="59">
        <v>100000</v>
      </c>
      <c r="E208" s="6">
        <f>D208*'16-PlantAdditions'!$E$103</f>
        <v>7500</v>
      </c>
      <c r="F208" s="6">
        <f t="shared" si="54"/>
        <v>107500</v>
      </c>
      <c r="G208" s="59">
        <v>100000</v>
      </c>
      <c r="H208" s="59">
        <v>0</v>
      </c>
      <c r="I208" s="6">
        <f>(G208-H208)*'16-PlantAdditions'!$E$103</f>
        <v>7500</v>
      </c>
      <c r="J208" s="6">
        <f t="shared" si="55"/>
        <v>0</v>
      </c>
      <c r="K208" s="6">
        <f t="shared" si="56"/>
        <v>-974727.83</v>
      </c>
    </row>
    <row r="209" spans="1:11" ht="13">
      <c r="A209" s="2">
        <f t="shared" si="53"/>
        <v>155</v>
      </c>
      <c r="B209" s="345" t="s">
        <v>390</v>
      </c>
      <c r="C209" s="346">
        <v>2024</v>
      </c>
      <c r="D209" s="59">
        <v>100000</v>
      </c>
      <c r="E209" s="6">
        <f>D209*'16-PlantAdditions'!$E$103</f>
        <v>7500</v>
      </c>
      <c r="F209" s="6">
        <f t="shared" ref="F209:F211" si="57">E209+D209</f>
        <v>107500</v>
      </c>
      <c r="G209" s="59">
        <v>100000</v>
      </c>
      <c r="H209" s="59">
        <v>0</v>
      </c>
      <c r="I209" s="6">
        <f>(G209-H209)*'16-PlantAdditions'!$E$103</f>
        <v>7500</v>
      </c>
      <c r="J209" s="6">
        <f t="shared" ref="J209:J211" si="58">J208+F209-G209-I209</f>
        <v>0</v>
      </c>
      <c r="K209" s="6">
        <f t="shared" si="56"/>
        <v>-974727.83</v>
      </c>
    </row>
    <row r="210" spans="1:11" ht="13">
      <c r="A210" s="2">
        <f t="shared" si="53"/>
        <v>156</v>
      </c>
      <c r="B210" s="345" t="s">
        <v>391</v>
      </c>
      <c r="C210" s="346">
        <v>2024</v>
      </c>
      <c r="D210" s="59">
        <v>100000</v>
      </c>
      <c r="E210" s="6">
        <f>D210*'16-PlantAdditions'!$E$103</f>
        <v>7500</v>
      </c>
      <c r="F210" s="6">
        <f t="shared" si="57"/>
        <v>107500</v>
      </c>
      <c r="G210" s="59">
        <v>100000</v>
      </c>
      <c r="H210" s="59">
        <v>0</v>
      </c>
      <c r="I210" s="6">
        <f>(G210-H210)*'16-PlantAdditions'!$E$103</f>
        <v>7500</v>
      </c>
      <c r="J210" s="6">
        <f t="shared" si="58"/>
        <v>0</v>
      </c>
      <c r="K210" s="6">
        <f t="shared" si="56"/>
        <v>-974727.83</v>
      </c>
    </row>
    <row r="211" spans="1:11" ht="13">
      <c r="A211" s="2">
        <f t="shared" si="53"/>
        <v>157</v>
      </c>
      <c r="B211" s="345" t="s">
        <v>379</v>
      </c>
      <c r="C211" s="346">
        <v>2024</v>
      </c>
      <c r="D211" s="59">
        <v>85018</v>
      </c>
      <c r="E211" s="6">
        <f>D211*'16-PlantAdditions'!$E$103</f>
        <v>6376.3499999999995</v>
      </c>
      <c r="F211" s="6">
        <f t="shared" si="57"/>
        <v>91394.35</v>
      </c>
      <c r="G211" s="59">
        <v>85018</v>
      </c>
      <c r="H211" s="59">
        <v>0</v>
      </c>
      <c r="I211" s="6">
        <f>(G211-H211)*'16-PlantAdditions'!$E$103</f>
        <v>6376.3499999999995</v>
      </c>
      <c r="J211" s="6">
        <f t="shared" si="58"/>
        <v>0</v>
      </c>
      <c r="K211" s="53">
        <f t="shared" si="56"/>
        <v>-974727.83</v>
      </c>
    </row>
    <row r="212" spans="1:11" ht="13">
      <c r="A212" s="2">
        <f t="shared" si="53"/>
        <v>158</v>
      </c>
      <c r="C212" s="367" t="s">
        <v>997</v>
      </c>
      <c r="K212" s="42">
        <f>AVERAGE(K199:K211)</f>
        <v>-974727.83</v>
      </c>
    </row>
    <row r="213" spans="1:11" ht="13">
      <c r="A213" s="2"/>
      <c r="C213" s="367"/>
      <c r="K213" s="42"/>
    </row>
    <row r="214" spans="1:11" ht="13">
      <c r="B214" s="34" t="s">
        <v>1012</v>
      </c>
      <c r="D214" s="1110" t="s">
        <v>969</v>
      </c>
      <c r="E214" s="1110"/>
    </row>
    <row r="215" spans="1:11" ht="13">
      <c r="B215" s="34"/>
      <c r="D215" s="3" t="s">
        <v>336</v>
      </c>
      <c r="E215" s="3" t="s">
        <v>337</v>
      </c>
      <c r="F215" s="3" t="s">
        <v>338</v>
      </c>
      <c r="G215" s="3" t="s">
        <v>339</v>
      </c>
      <c r="H215" s="3" t="s">
        <v>340</v>
      </c>
      <c r="I215" s="3" t="s">
        <v>341</v>
      </c>
      <c r="J215" s="3" t="s">
        <v>342</v>
      </c>
      <c r="K215" s="3" t="s">
        <v>343</v>
      </c>
    </row>
    <row r="216" spans="1:11" ht="25.5">
      <c r="B216" s="34"/>
      <c r="D216" s="48"/>
      <c r="E216" s="368" t="s">
        <v>1001</v>
      </c>
      <c r="F216" s="253" t="s">
        <v>1002</v>
      </c>
      <c r="G216" s="253"/>
      <c r="H216" s="48"/>
      <c r="I216" s="368" t="s">
        <v>1003</v>
      </c>
      <c r="J216" s="368" t="s">
        <v>1004</v>
      </c>
      <c r="K216" s="368" t="s">
        <v>1005</v>
      </c>
    </row>
    <row r="217" spans="1:11" ht="13">
      <c r="D217" s="48"/>
      <c r="E217" s="48"/>
      <c r="F217" s="48"/>
      <c r="G217" s="2" t="str">
        <f>G51</f>
        <v>Unloaded</v>
      </c>
      <c r="H217" s="48"/>
      <c r="I217" s="48"/>
    </row>
    <row r="218" spans="1:11" ht="13">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ht="13">
      <c r="A219" s="30" t="s">
        <v>273</v>
      </c>
      <c r="B219" s="344" t="s">
        <v>371</v>
      </c>
      <c r="C219" s="344" t="s">
        <v>372</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ht="13">
      <c r="A220" s="2">
        <f>A212+1</f>
        <v>159</v>
      </c>
      <c r="B220" s="345" t="s">
        <v>379</v>
      </c>
      <c r="C220" s="346">
        <v>2022</v>
      </c>
      <c r="D220" s="253" t="s">
        <v>380</v>
      </c>
      <c r="E220" s="253" t="s">
        <v>380</v>
      </c>
      <c r="F220" s="253" t="s">
        <v>380</v>
      </c>
      <c r="G220" s="253" t="s">
        <v>380</v>
      </c>
      <c r="H220" s="253" t="s">
        <v>380</v>
      </c>
      <c r="I220" s="253" t="s">
        <v>380</v>
      </c>
      <c r="J220" s="6">
        <f>I25</f>
        <v>0</v>
      </c>
      <c r="K220" s="253" t="s">
        <v>380</v>
      </c>
    </row>
    <row r="221" spans="1:11" ht="13">
      <c r="A221" s="2">
        <f>A220+1</f>
        <v>160</v>
      </c>
      <c r="B221" s="345" t="s">
        <v>381</v>
      </c>
      <c r="C221" s="346">
        <v>2023</v>
      </c>
      <c r="D221" s="59">
        <v>0</v>
      </c>
      <c r="E221" s="6">
        <f>D221*'16-PlantAdditions'!$E$103</f>
        <v>0</v>
      </c>
      <c r="F221" s="6">
        <f>E221+D221</f>
        <v>0</v>
      </c>
      <c r="G221" s="59">
        <v>0</v>
      </c>
      <c r="H221" s="59">
        <v>0</v>
      </c>
      <c r="I221" s="6">
        <f>(G221-H221)*'16-PlantAdditions'!$E$103</f>
        <v>0</v>
      </c>
      <c r="J221" s="6">
        <f>J220+F221-G221-I221</f>
        <v>0</v>
      </c>
      <c r="K221" s="6">
        <f>J221-$J$220</f>
        <v>0</v>
      </c>
    </row>
    <row r="222" spans="1:11" ht="13">
      <c r="A222" s="2">
        <f t="shared" ref="A222:A245" si="61">A221+1</f>
        <v>161</v>
      </c>
      <c r="B222" s="345" t="s">
        <v>382</v>
      </c>
      <c r="C222" s="346">
        <v>2023</v>
      </c>
      <c r="D222" s="59">
        <v>0</v>
      </c>
      <c r="E222" s="6">
        <f>D222*'16-PlantAdditions'!$E$103</f>
        <v>0</v>
      </c>
      <c r="F222" s="6">
        <f t="shared" ref="F222:F241" si="62">E222+D222</f>
        <v>0</v>
      </c>
      <c r="G222" s="59">
        <v>0</v>
      </c>
      <c r="H222" s="59">
        <v>0</v>
      </c>
      <c r="I222" s="6">
        <f>(G222-H222)*'16-PlantAdditions'!$E$103</f>
        <v>0</v>
      </c>
      <c r="J222" s="6">
        <f t="shared" ref="J222:J241" si="63">J221+F222-G222-I222</f>
        <v>0</v>
      </c>
      <c r="K222" s="6">
        <f t="shared" ref="K222:K244" si="64">J222-$J$220</f>
        <v>0</v>
      </c>
    </row>
    <row r="223" spans="1:11" ht="13">
      <c r="A223" s="2">
        <f t="shared" si="61"/>
        <v>162</v>
      </c>
      <c r="B223" s="345" t="s">
        <v>383</v>
      </c>
      <c r="C223" s="346">
        <v>2023</v>
      </c>
      <c r="D223" s="59">
        <v>0</v>
      </c>
      <c r="E223" s="6">
        <f>D223*'16-PlantAdditions'!$E$103</f>
        <v>0</v>
      </c>
      <c r="F223" s="6">
        <f t="shared" si="62"/>
        <v>0</v>
      </c>
      <c r="G223" s="59">
        <v>0</v>
      </c>
      <c r="H223" s="59">
        <v>0</v>
      </c>
      <c r="I223" s="6">
        <f>(G223-H223)*'16-PlantAdditions'!$E$103</f>
        <v>0</v>
      </c>
      <c r="J223" s="6">
        <f t="shared" si="63"/>
        <v>0</v>
      </c>
      <c r="K223" s="6">
        <f t="shared" si="64"/>
        <v>0</v>
      </c>
    </row>
    <row r="224" spans="1:11" ht="13">
      <c r="A224" s="2">
        <f t="shared" si="61"/>
        <v>163</v>
      </c>
      <c r="B224" s="345" t="s">
        <v>384</v>
      </c>
      <c r="C224" s="346">
        <v>2023</v>
      </c>
      <c r="D224" s="59">
        <v>0</v>
      </c>
      <c r="E224" s="6">
        <f>D224*'16-PlantAdditions'!$E$103</f>
        <v>0</v>
      </c>
      <c r="F224" s="6">
        <f t="shared" si="62"/>
        <v>0</v>
      </c>
      <c r="G224" s="59">
        <v>0</v>
      </c>
      <c r="H224" s="59">
        <v>0</v>
      </c>
      <c r="I224" s="6">
        <f>(G224-H224)*'16-PlantAdditions'!$E$103</f>
        <v>0</v>
      </c>
      <c r="J224" s="6">
        <f t="shared" si="63"/>
        <v>0</v>
      </c>
      <c r="K224" s="6">
        <f t="shared" si="64"/>
        <v>0</v>
      </c>
    </row>
    <row r="225" spans="1:11" ht="13">
      <c r="A225" s="2">
        <f t="shared" si="61"/>
        <v>164</v>
      </c>
      <c r="B225" s="345" t="s">
        <v>385</v>
      </c>
      <c r="C225" s="346">
        <v>2023</v>
      </c>
      <c r="D225" s="59">
        <v>0</v>
      </c>
      <c r="E225" s="6">
        <f>D225*'16-PlantAdditions'!$E$103</f>
        <v>0</v>
      </c>
      <c r="F225" s="6">
        <f t="shared" si="62"/>
        <v>0</v>
      </c>
      <c r="G225" s="59">
        <v>0</v>
      </c>
      <c r="H225" s="59">
        <v>0</v>
      </c>
      <c r="I225" s="6">
        <f>(G225-H225)*'16-PlantAdditions'!$E$103</f>
        <v>0</v>
      </c>
      <c r="J225" s="6">
        <f t="shared" si="63"/>
        <v>0</v>
      </c>
      <c r="K225" s="6">
        <f t="shared" si="64"/>
        <v>0</v>
      </c>
    </row>
    <row r="226" spans="1:11" ht="13">
      <c r="A226" s="2">
        <f t="shared" si="61"/>
        <v>165</v>
      </c>
      <c r="B226" s="345" t="s">
        <v>594</v>
      </c>
      <c r="C226" s="346">
        <v>2023</v>
      </c>
      <c r="D226" s="59">
        <v>0</v>
      </c>
      <c r="E226" s="6">
        <f>D226*'16-PlantAdditions'!$E$103</f>
        <v>0</v>
      </c>
      <c r="F226" s="6">
        <f t="shared" si="62"/>
        <v>0</v>
      </c>
      <c r="G226" s="59">
        <v>0</v>
      </c>
      <c r="H226" s="59">
        <v>0</v>
      </c>
      <c r="I226" s="6">
        <f>(G226-H226)*'16-PlantAdditions'!$E$103</f>
        <v>0</v>
      </c>
      <c r="J226" s="6">
        <f t="shared" si="63"/>
        <v>0</v>
      </c>
      <c r="K226" s="6">
        <f t="shared" si="64"/>
        <v>0</v>
      </c>
    </row>
    <row r="227" spans="1:11" ht="13">
      <c r="A227" s="2">
        <f t="shared" si="61"/>
        <v>166</v>
      </c>
      <c r="B227" s="345" t="s">
        <v>387</v>
      </c>
      <c r="C227" s="346">
        <v>2023</v>
      </c>
      <c r="D227" s="59">
        <v>0</v>
      </c>
      <c r="E227" s="6">
        <f>D227*'16-PlantAdditions'!$E$103</f>
        <v>0</v>
      </c>
      <c r="F227" s="6">
        <f t="shared" si="62"/>
        <v>0</v>
      </c>
      <c r="G227" s="59">
        <v>0</v>
      </c>
      <c r="H227" s="59">
        <v>0</v>
      </c>
      <c r="I227" s="6">
        <f>(G227-H227)*'16-PlantAdditions'!$E$103</f>
        <v>0</v>
      </c>
      <c r="J227" s="6">
        <f t="shared" si="63"/>
        <v>0</v>
      </c>
      <c r="K227" s="6">
        <f t="shared" si="64"/>
        <v>0</v>
      </c>
    </row>
    <row r="228" spans="1:11" ht="13">
      <c r="A228" s="2">
        <f t="shared" si="61"/>
        <v>167</v>
      </c>
      <c r="B228" s="345" t="s">
        <v>388</v>
      </c>
      <c r="C228" s="346">
        <v>2023</v>
      </c>
      <c r="D228" s="59">
        <v>0</v>
      </c>
      <c r="E228" s="6">
        <f>D228*'16-PlantAdditions'!$E$103</f>
        <v>0</v>
      </c>
      <c r="F228" s="6">
        <f t="shared" si="62"/>
        <v>0</v>
      </c>
      <c r="G228" s="59">
        <v>0</v>
      </c>
      <c r="H228" s="59">
        <v>0</v>
      </c>
      <c r="I228" s="6">
        <f>(G228-H228)*'16-PlantAdditions'!$E$103</f>
        <v>0</v>
      </c>
      <c r="J228" s="6">
        <f t="shared" si="63"/>
        <v>0</v>
      </c>
      <c r="K228" s="6">
        <f t="shared" si="64"/>
        <v>0</v>
      </c>
    </row>
    <row r="229" spans="1:11" ht="13">
      <c r="A229" s="2">
        <f t="shared" si="61"/>
        <v>168</v>
      </c>
      <c r="B229" s="345" t="s">
        <v>389</v>
      </c>
      <c r="C229" s="346">
        <v>2023</v>
      </c>
      <c r="D229" s="59">
        <v>0</v>
      </c>
      <c r="E229" s="6">
        <f>D229*'16-PlantAdditions'!$E$103</f>
        <v>0</v>
      </c>
      <c r="F229" s="6">
        <f t="shared" si="62"/>
        <v>0</v>
      </c>
      <c r="G229" s="59">
        <v>0</v>
      </c>
      <c r="H229" s="59">
        <v>0</v>
      </c>
      <c r="I229" s="6">
        <f>(G229-H229)*'16-PlantAdditions'!$E$103</f>
        <v>0</v>
      </c>
      <c r="J229" s="6">
        <f t="shared" si="63"/>
        <v>0</v>
      </c>
      <c r="K229" s="6">
        <f t="shared" si="64"/>
        <v>0</v>
      </c>
    </row>
    <row r="230" spans="1:11" ht="13">
      <c r="A230" s="2">
        <f t="shared" si="61"/>
        <v>169</v>
      </c>
      <c r="B230" s="345" t="s">
        <v>390</v>
      </c>
      <c r="C230" s="346">
        <v>2023</v>
      </c>
      <c r="D230" s="59">
        <v>0</v>
      </c>
      <c r="E230" s="6">
        <f>D230*'16-PlantAdditions'!$E$103</f>
        <v>0</v>
      </c>
      <c r="F230" s="6">
        <f t="shared" si="62"/>
        <v>0</v>
      </c>
      <c r="G230" s="59">
        <v>0</v>
      </c>
      <c r="H230" s="59">
        <v>0</v>
      </c>
      <c r="I230" s="6">
        <f>(G230-H230)*'16-PlantAdditions'!$E$103</f>
        <v>0</v>
      </c>
      <c r="J230" s="6">
        <f t="shared" si="63"/>
        <v>0</v>
      </c>
      <c r="K230" s="6">
        <f t="shared" si="64"/>
        <v>0</v>
      </c>
    </row>
    <row r="231" spans="1:11" ht="13">
      <c r="A231" s="2">
        <f t="shared" si="61"/>
        <v>170</v>
      </c>
      <c r="B231" s="345" t="s">
        <v>391</v>
      </c>
      <c r="C231" s="346">
        <v>2023</v>
      </c>
      <c r="D231" s="59">
        <v>0</v>
      </c>
      <c r="E231" s="6">
        <f>D231*'16-PlantAdditions'!$E$103</f>
        <v>0</v>
      </c>
      <c r="F231" s="6">
        <f t="shared" si="62"/>
        <v>0</v>
      </c>
      <c r="G231" s="59">
        <v>0</v>
      </c>
      <c r="H231" s="59">
        <v>0</v>
      </c>
      <c r="I231" s="6">
        <f>(G231-H231)*'16-PlantAdditions'!$E$103</f>
        <v>0</v>
      </c>
      <c r="J231" s="6">
        <f t="shared" si="63"/>
        <v>0</v>
      </c>
      <c r="K231" s="6">
        <f t="shared" si="64"/>
        <v>0</v>
      </c>
    </row>
    <row r="232" spans="1:11" ht="13">
      <c r="A232" s="2">
        <f t="shared" si="61"/>
        <v>171</v>
      </c>
      <c r="B232" s="345" t="s">
        <v>379</v>
      </c>
      <c r="C232" s="346">
        <v>2023</v>
      </c>
      <c r="D232" s="59">
        <v>0</v>
      </c>
      <c r="E232" s="6">
        <f>D232*'16-PlantAdditions'!$E$103</f>
        <v>0</v>
      </c>
      <c r="F232" s="6">
        <f t="shared" si="62"/>
        <v>0</v>
      </c>
      <c r="G232" s="59">
        <v>0</v>
      </c>
      <c r="H232" s="59">
        <v>0</v>
      </c>
      <c r="I232" s="6">
        <f>(G232-H232)*'16-PlantAdditions'!$E$103</f>
        <v>0</v>
      </c>
      <c r="J232" s="6">
        <f t="shared" si="63"/>
        <v>0</v>
      </c>
      <c r="K232" s="6">
        <f t="shared" si="64"/>
        <v>0</v>
      </c>
    </row>
    <row r="233" spans="1:11" ht="13">
      <c r="A233" s="2">
        <f t="shared" si="61"/>
        <v>172</v>
      </c>
      <c r="B233" s="345" t="s">
        <v>381</v>
      </c>
      <c r="C233" s="346">
        <v>2024</v>
      </c>
      <c r="D233" s="59">
        <v>0</v>
      </c>
      <c r="E233" s="6">
        <f>D233*'16-PlantAdditions'!$E$103</f>
        <v>0</v>
      </c>
      <c r="F233" s="6">
        <f t="shared" si="62"/>
        <v>0</v>
      </c>
      <c r="G233" s="59">
        <v>0</v>
      </c>
      <c r="H233" s="59">
        <v>0</v>
      </c>
      <c r="I233" s="6">
        <f>(G233-H233)*'16-PlantAdditions'!$E$103</f>
        <v>0</v>
      </c>
      <c r="J233" s="6">
        <f t="shared" si="63"/>
        <v>0</v>
      </c>
      <c r="K233" s="6">
        <f t="shared" si="64"/>
        <v>0</v>
      </c>
    </row>
    <row r="234" spans="1:11" ht="13">
      <c r="A234" s="2">
        <f t="shared" si="61"/>
        <v>173</v>
      </c>
      <c r="B234" s="345" t="s">
        <v>382</v>
      </c>
      <c r="C234" s="346">
        <v>2024</v>
      </c>
      <c r="D234" s="59">
        <v>0</v>
      </c>
      <c r="E234" s="6">
        <f>D234*'16-PlantAdditions'!$E$103</f>
        <v>0</v>
      </c>
      <c r="F234" s="6">
        <f t="shared" si="62"/>
        <v>0</v>
      </c>
      <c r="G234" s="59">
        <v>0</v>
      </c>
      <c r="H234" s="59">
        <v>0</v>
      </c>
      <c r="I234" s="6">
        <f>(G234-H234)*'16-PlantAdditions'!$E$103</f>
        <v>0</v>
      </c>
      <c r="J234" s="6">
        <f t="shared" si="63"/>
        <v>0</v>
      </c>
      <c r="K234" s="6">
        <f t="shared" si="64"/>
        <v>0</v>
      </c>
    </row>
    <row r="235" spans="1:11" ht="13">
      <c r="A235" s="2">
        <f t="shared" si="61"/>
        <v>174</v>
      </c>
      <c r="B235" s="345" t="s">
        <v>383</v>
      </c>
      <c r="C235" s="346">
        <v>2024</v>
      </c>
      <c r="D235" s="59">
        <v>0</v>
      </c>
      <c r="E235" s="6">
        <f>D235*'16-PlantAdditions'!$E$103</f>
        <v>0</v>
      </c>
      <c r="F235" s="6">
        <f t="shared" si="62"/>
        <v>0</v>
      </c>
      <c r="G235" s="59">
        <v>0</v>
      </c>
      <c r="H235" s="59">
        <v>0</v>
      </c>
      <c r="I235" s="6">
        <f>(G235-H235)*'16-PlantAdditions'!$E$103</f>
        <v>0</v>
      </c>
      <c r="J235" s="6">
        <f t="shared" si="63"/>
        <v>0</v>
      </c>
      <c r="K235" s="6">
        <f t="shared" si="64"/>
        <v>0</v>
      </c>
    </row>
    <row r="236" spans="1:11" ht="13">
      <c r="A236" s="2">
        <f t="shared" si="61"/>
        <v>175</v>
      </c>
      <c r="B236" s="345" t="s">
        <v>384</v>
      </c>
      <c r="C236" s="346">
        <v>2024</v>
      </c>
      <c r="D236" s="59">
        <v>0</v>
      </c>
      <c r="E236" s="6">
        <f>D236*'16-PlantAdditions'!$E$103</f>
        <v>0</v>
      </c>
      <c r="F236" s="6">
        <f t="shared" si="62"/>
        <v>0</v>
      </c>
      <c r="G236" s="59">
        <v>0</v>
      </c>
      <c r="H236" s="59">
        <v>0</v>
      </c>
      <c r="I236" s="6">
        <f>(G236-H236)*'16-PlantAdditions'!$E$103</f>
        <v>0</v>
      </c>
      <c r="J236" s="6">
        <f t="shared" si="63"/>
        <v>0</v>
      </c>
      <c r="K236" s="6">
        <f t="shared" si="64"/>
        <v>0</v>
      </c>
    </row>
    <row r="237" spans="1:11" ht="13">
      <c r="A237" s="2">
        <f t="shared" si="61"/>
        <v>176</v>
      </c>
      <c r="B237" s="345" t="s">
        <v>385</v>
      </c>
      <c r="C237" s="346">
        <v>2024</v>
      </c>
      <c r="D237" s="59">
        <v>0</v>
      </c>
      <c r="E237" s="6">
        <f>D237*'16-PlantAdditions'!$E$103</f>
        <v>0</v>
      </c>
      <c r="F237" s="6">
        <f t="shared" si="62"/>
        <v>0</v>
      </c>
      <c r="G237" s="59">
        <v>0</v>
      </c>
      <c r="H237" s="59">
        <v>0</v>
      </c>
      <c r="I237" s="6">
        <f>(G237-H237)*'16-PlantAdditions'!$E$103</f>
        <v>0</v>
      </c>
      <c r="J237" s="6">
        <f t="shared" si="63"/>
        <v>0</v>
      </c>
      <c r="K237" s="6">
        <f t="shared" si="64"/>
        <v>0</v>
      </c>
    </row>
    <row r="238" spans="1:11" ht="13">
      <c r="A238" s="2">
        <f t="shared" si="61"/>
        <v>177</v>
      </c>
      <c r="B238" s="345" t="s">
        <v>594</v>
      </c>
      <c r="C238" s="346">
        <v>2024</v>
      </c>
      <c r="D238" s="59">
        <v>0</v>
      </c>
      <c r="E238" s="6">
        <f>D238*'16-PlantAdditions'!$E$103</f>
        <v>0</v>
      </c>
      <c r="F238" s="6">
        <f t="shared" si="62"/>
        <v>0</v>
      </c>
      <c r="G238" s="59">
        <v>0</v>
      </c>
      <c r="H238" s="59">
        <v>0</v>
      </c>
      <c r="I238" s="6">
        <f>(G238-H238)*'16-PlantAdditions'!$E$103</f>
        <v>0</v>
      </c>
      <c r="J238" s="6">
        <f t="shared" si="63"/>
        <v>0</v>
      </c>
      <c r="K238" s="6">
        <f t="shared" si="64"/>
        <v>0</v>
      </c>
    </row>
    <row r="239" spans="1:11" ht="13">
      <c r="A239" s="2">
        <f t="shared" si="61"/>
        <v>178</v>
      </c>
      <c r="B239" s="345" t="s">
        <v>387</v>
      </c>
      <c r="C239" s="346">
        <v>2024</v>
      </c>
      <c r="D239" s="59">
        <v>0</v>
      </c>
      <c r="E239" s="6">
        <f>D239*'16-PlantAdditions'!$E$103</f>
        <v>0</v>
      </c>
      <c r="F239" s="6">
        <f t="shared" si="62"/>
        <v>0</v>
      </c>
      <c r="G239" s="59">
        <v>0</v>
      </c>
      <c r="H239" s="59">
        <v>0</v>
      </c>
      <c r="I239" s="6">
        <f>(G239-H239)*'16-PlantAdditions'!$E$103</f>
        <v>0</v>
      </c>
      <c r="J239" s="6">
        <f t="shared" si="63"/>
        <v>0</v>
      </c>
      <c r="K239" s="6">
        <f t="shared" si="64"/>
        <v>0</v>
      </c>
    </row>
    <row r="240" spans="1:11" ht="13">
      <c r="A240" s="2">
        <f t="shared" si="61"/>
        <v>179</v>
      </c>
      <c r="B240" s="345" t="s">
        <v>388</v>
      </c>
      <c r="C240" s="346">
        <v>2024</v>
      </c>
      <c r="D240" s="59">
        <v>0</v>
      </c>
      <c r="E240" s="6">
        <f>D240*'16-PlantAdditions'!$E$103</f>
        <v>0</v>
      </c>
      <c r="F240" s="6">
        <f t="shared" si="62"/>
        <v>0</v>
      </c>
      <c r="G240" s="59">
        <v>0</v>
      </c>
      <c r="H240" s="59">
        <v>0</v>
      </c>
      <c r="I240" s="6">
        <f>(G240-H240)*'16-PlantAdditions'!$E$103</f>
        <v>0</v>
      </c>
      <c r="J240" s="6">
        <f t="shared" si="63"/>
        <v>0</v>
      </c>
      <c r="K240" s="6">
        <f t="shared" si="64"/>
        <v>0</v>
      </c>
    </row>
    <row r="241" spans="1:11" ht="13">
      <c r="A241" s="2">
        <f t="shared" si="61"/>
        <v>180</v>
      </c>
      <c r="B241" s="345" t="s">
        <v>389</v>
      </c>
      <c r="C241" s="346">
        <v>2024</v>
      </c>
      <c r="D241" s="59">
        <v>0</v>
      </c>
      <c r="E241" s="6">
        <f>D241*'16-PlantAdditions'!$E$103</f>
        <v>0</v>
      </c>
      <c r="F241" s="6">
        <f t="shared" si="62"/>
        <v>0</v>
      </c>
      <c r="G241" s="59">
        <v>0</v>
      </c>
      <c r="H241" s="59">
        <v>0</v>
      </c>
      <c r="I241" s="6">
        <f>(G241-H241)*'16-PlantAdditions'!$E$103</f>
        <v>0</v>
      </c>
      <c r="J241" s="6">
        <f t="shared" si="63"/>
        <v>0</v>
      </c>
      <c r="K241" s="6">
        <f t="shared" si="64"/>
        <v>0</v>
      </c>
    </row>
    <row r="242" spans="1:11" ht="13">
      <c r="A242" s="2">
        <f t="shared" si="61"/>
        <v>181</v>
      </c>
      <c r="B242" s="345" t="s">
        <v>390</v>
      </c>
      <c r="C242" s="346">
        <v>2024</v>
      </c>
      <c r="D242" s="59">
        <v>0</v>
      </c>
      <c r="E242" s="6">
        <f>D242*'16-PlantAdditions'!$E$103</f>
        <v>0</v>
      </c>
      <c r="F242" s="6">
        <f t="shared" ref="F242:F244" si="65">E242+D242</f>
        <v>0</v>
      </c>
      <c r="G242" s="59">
        <v>0</v>
      </c>
      <c r="H242" s="59">
        <v>0</v>
      </c>
      <c r="I242" s="6">
        <f>(G242-H242)*'16-PlantAdditions'!$E$103</f>
        <v>0</v>
      </c>
      <c r="J242" s="6">
        <f t="shared" ref="J242:J244" si="66">J241+F242-G242-I242</f>
        <v>0</v>
      </c>
      <c r="K242" s="6">
        <f t="shared" si="64"/>
        <v>0</v>
      </c>
    </row>
    <row r="243" spans="1:11" ht="13">
      <c r="A243" s="2">
        <f t="shared" si="61"/>
        <v>182</v>
      </c>
      <c r="B243" s="345" t="s">
        <v>391</v>
      </c>
      <c r="C243" s="346">
        <v>2024</v>
      </c>
      <c r="D243" s="59">
        <v>0</v>
      </c>
      <c r="E243" s="6">
        <f>D243*'16-PlantAdditions'!$E$103</f>
        <v>0</v>
      </c>
      <c r="F243" s="6">
        <f t="shared" si="65"/>
        <v>0</v>
      </c>
      <c r="G243" s="59">
        <v>0</v>
      </c>
      <c r="H243" s="59">
        <v>0</v>
      </c>
      <c r="I243" s="6">
        <f>(G243-H243)*'16-PlantAdditions'!$E$103</f>
        <v>0</v>
      </c>
      <c r="J243" s="6">
        <f t="shared" si="66"/>
        <v>0</v>
      </c>
      <c r="K243" s="6">
        <f t="shared" si="64"/>
        <v>0</v>
      </c>
    </row>
    <row r="244" spans="1:11" ht="13">
      <c r="A244" s="2">
        <f t="shared" si="61"/>
        <v>183</v>
      </c>
      <c r="B244" s="345" t="s">
        <v>379</v>
      </c>
      <c r="C244" s="346">
        <v>2024</v>
      </c>
      <c r="D244" s="59">
        <v>0</v>
      </c>
      <c r="E244" s="6">
        <f>D244*'16-PlantAdditions'!$E$103</f>
        <v>0</v>
      </c>
      <c r="F244" s="6">
        <f t="shared" si="65"/>
        <v>0</v>
      </c>
      <c r="G244" s="59">
        <v>0</v>
      </c>
      <c r="H244" s="59">
        <v>0</v>
      </c>
      <c r="I244" s="6">
        <f>(G244-H244)*'16-PlantAdditions'!$E$103</f>
        <v>0</v>
      </c>
      <c r="J244" s="6">
        <f t="shared" si="66"/>
        <v>0</v>
      </c>
      <c r="K244" s="53">
        <f t="shared" si="64"/>
        <v>0</v>
      </c>
    </row>
    <row r="245" spans="1:11" ht="13">
      <c r="A245" s="2">
        <f t="shared" si="61"/>
        <v>184</v>
      </c>
      <c r="C245" s="367" t="s">
        <v>997</v>
      </c>
      <c r="K245" s="42">
        <f>AVERAGE(K232:K244)</f>
        <v>0</v>
      </c>
    </row>
    <row r="246" spans="1:11" ht="13">
      <c r="A246" s="2"/>
      <c r="C246" s="367"/>
      <c r="K246" s="42"/>
    </row>
    <row r="247" spans="1:11" ht="13">
      <c r="B247" s="34" t="s">
        <v>1013</v>
      </c>
      <c r="D247" s="1110" t="s">
        <v>1014</v>
      </c>
      <c r="E247" s="1110"/>
    </row>
    <row r="248" spans="1:11" ht="13">
      <c r="A248" s="3"/>
      <c r="B248" s="3"/>
      <c r="C248" s="3"/>
      <c r="D248" s="3" t="s">
        <v>336</v>
      </c>
      <c r="E248" s="3" t="s">
        <v>337</v>
      </c>
      <c r="F248" s="3" t="s">
        <v>338</v>
      </c>
      <c r="G248" s="3" t="s">
        <v>339</v>
      </c>
      <c r="H248" s="3" t="s">
        <v>340</v>
      </c>
      <c r="I248" s="3" t="s">
        <v>341</v>
      </c>
      <c r="J248" s="3" t="s">
        <v>342</v>
      </c>
      <c r="K248" s="3" t="s">
        <v>343</v>
      </c>
    </row>
    <row r="249" spans="1:11" ht="25.5">
      <c r="D249" s="48"/>
      <c r="E249" s="368" t="s">
        <v>1001</v>
      </c>
      <c r="F249" s="253" t="s">
        <v>1002</v>
      </c>
      <c r="G249" s="253"/>
      <c r="H249" s="48"/>
      <c r="I249" s="368" t="s">
        <v>1003</v>
      </c>
      <c r="J249" s="368" t="s">
        <v>1004</v>
      </c>
      <c r="K249" s="368" t="s">
        <v>1005</v>
      </c>
    </row>
    <row r="250" spans="1:11" ht="13">
      <c r="D250" s="48"/>
      <c r="E250" s="48"/>
      <c r="F250" s="48"/>
      <c r="G250" s="2" t="s">
        <v>1015</v>
      </c>
      <c r="H250" s="48"/>
      <c r="I250" s="48"/>
    </row>
    <row r="251" spans="1:11" ht="13">
      <c r="A251" s="2"/>
      <c r="B251" s="2"/>
      <c r="C251" s="2"/>
      <c r="D251" s="2" t="str">
        <f>D$52</f>
        <v>Forecast</v>
      </c>
      <c r="E251" s="2" t="str">
        <f t="shared" ref="E251:J251" si="67">E$52</f>
        <v>Corporate</v>
      </c>
      <c r="F251" s="2" t="str">
        <f t="shared" si="67"/>
        <v xml:space="preserve">Total </v>
      </c>
      <c r="G251" s="2" t="s">
        <v>249</v>
      </c>
      <c r="H251" s="2" t="str">
        <f t="shared" si="67"/>
        <v>Prior Period</v>
      </c>
      <c r="I251" s="2" t="str">
        <f t="shared" si="67"/>
        <v>Over Heads</v>
      </c>
      <c r="J251" s="2" t="str">
        <f t="shared" si="67"/>
        <v>Forecast</v>
      </c>
      <c r="K251" s="2" t="str">
        <f>K$52</f>
        <v>Forecast Period</v>
      </c>
    </row>
    <row r="252" spans="1:11" ht="13">
      <c r="A252" s="30" t="s">
        <v>273</v>
      </c>
      <c r="B252" s="344" t="s">
        <v>371</v>
      </c>
      <c r="C252" s="344" t="s">
        <v>372</v>
      </c>
      <c r="D252" s="3" t="str">
        <f>D$53</f>
        <v>Expenditures</v>
      </c>
      <c r="E252" s="3" t="str">
        <f t="shared" ref="E252:J252" si="68">E$53</f>
        <v>Overheads</v>
      </c>
      <c r="F252" s="3" t="str">
        <f t="shared" si="68"/>
        <v>CWIP Exp</v>
      </c>
      <c r="G252" s="3" t="s">
        <v>992</v>
      </c>
      <c r="H252" s="3" t="str">
        <f t="shared" si="68"/>
        <v>CWIP Closed</v>
      </c>
      <c r="I252" s="3" t="str">
        <f t="shared" si="68"/>
        <v>Closed to PIS</v>
      </c>
      <c r="J252" s="3" t="str">
        <f t="shared" si="68"/>
        <v>Period CWIP</v>
      </c>
      <c r="K252" s="3" t="str">
        <f>K$53</f>
        <v>Incremental CWIP</v>
      </c>
    </row>
    <row r="253" spans="1:11" ht="13">
      <c r="A253" s="2">
        <f>A245+1</f>
        <v>185</v>
      </c>
      <c r="B253" s="345" t="s">
        <v>379</v>
      </c>
      <c r="C253" s="346">
        <v>2022</v>
      </c>
      <c r="D253" s="253" t="s">
        <v>380</v>
      </c>
      <c r="E253" s="253" t="s">
        <v>380</v>
      </c>
      <c r="F253" s="253" t="s">
        <v>380</v>
      </c>
      <c r="G253" s="253" t="s">
        <v>380</v>
      </c>
      <c r="H253" s="253" t="s">
        <v>380</v>
      </c>
      <c r="I253" s="253" t="s">
        <v>380</v>
      </c>
      <c r="J253" s="6">
        <f>D45</f>
        <v>0</v>
      </c>
      <c r="K253" s="253" t="s">
        <v>380</v>
      </c>
    </row>
    <row r="254" spans="1:11" ht="13">
      <c r="A254" s="2">
        <f>A253+1</f>
        <v>186</v>
      </c>
      <c r="B254" s="345" t="s">
        <v>381</v>
      </c>
      <c r="C254" s="346">
        <v>2023</v>
      </c>
      <c r="D254" s="59">
        <v>0</v>
      </c>
      <c r="E254" s="6">
        <f>D254*'16-PlantAdditions'!$E$103</f>
        <v>0</v>
      </c>
      <c r="F254" s="6">
        <f>E254+D254</f>
        <v>0</v>
      </c>
      <c r="G254" s="59">
        <v>0</v>
      </c>
      <c r="H254" s="59">
        <v>0</v>
      </c>
      <c r="I254" s="6">
        <f>(G254-H254)*'16-PlantAdditions'!$E$103</f>
        <v>0</v>
      </c>
      <c r="J254" s="6">
        <f>J253+F254-G254-I254</f>
        <v>0</v>
      </c>
      <c r="K254" s="6">
        <f>J254-$J$253</f>
        <v>0</v>
      </c>
    </row>
    <row r="255" spans="1:11" ht="13">
      <c r="A255" s="2">
        <f t="shared" ref="A255:A278" si="69">A254+1</f>
        <v>187</v>
      </c>
      <c r="B255" s="345" t="s">
        <v>382</v>
      </c>
      <c r="C255" s="346">
        <v>2023</v>
      </c>
      <c r="D255" s="59">
        <v>0</v>
      </c>
      <c r="E255" s="6">
        <f>D255*'16-PlantAdditions'!$E$103</f>
        <v>0</v>
      </c>
      <c r="F255" s="6">
        <f t="shared" ref="F255:F274" si="70">E255+D255</f>
        <v>0</v>
      </c>
      <c r="G255" s="59">
        <v>0</v>
      </c>
      <c r="H255" s="59">
        <v>0</v>
      </c>
      <c r="I255" s="6">
        <f>(G255-H255)*'16-PlantAdditions'!$E$103</f>
        <v>0</v>
      </c>
      <c r="J255" s="6">
        <f t="shared" ref="J255:J274" si="71">J254+F255-G255-I255</f>
        <v>0</v>
      </c>
      <c r="K255" s="6">
        <f t="shared" ref="K255:K277" si="72">J255-$J$253</f>
        <v>0</v>
      </c>
    </row>
    <row r="256" spans="1:11" ht="13">
      <c r="A256" s="2">
        <f t="shared" si="69"/>
        <v>188</v>
      </c>
      <c r="B256" s="345" t="s">
        <v>383</v>
      </c>
      <c r="C256" s="346">
        <v>2023</v>
      </c>
      <c r="D256" s="59">
        <v>0</v>
      </c>
      <c r="E256" s="6">
        <f>D256*'16-PlantAdditions'!$E$103</f>
        <v>0</v>
      </c>
      <c r="F256" s="6">
        <f t="shared" si="70"/>
        <v>0</v>
      </c>
      <c r="G256" s="59">
        <v>0</v>
      </c>
      <c r="H256" s="59">
        <v>0</v>
      </c>
      <c r="I256" s="6">
        <f>(G256-H256)*'16-PlantAdditions'!$E$103</f>
        <v>0</v>
      </c>
      <c r="J256" s="6">
        <f t="shared" si="71"/>
        <v>0</v>
      </c>
      <c r="K256" s="6">
        <f t="shared" si="72"/>
        <v>0</v>
      </c>
    </row>
    <row r="257" spans="1:11" ht="13">
      <c r="A257" s="2">
        <f t="shared" si="69"/>
        <v>189</v>
      </c>
      <c r="B257" s="345" t="s">
        <v>384</v>
      </c>
      <c r="C257" s="346">
        <v>2023</v>
      </c>
      <c r="D257" s="59">
        <v>0</v>
      </c>
      <c r="E257" s="6">
        <f>D257*'16-PlantAdditions'!$E$103</f>
        <v>0</v>
      </c>
      <c r="F257" s="6">
        <f t="shared" si="70"/>
        <v>0</v>
      </c>
      <c r="G257" s="59">
        <v>0</v>
      </c>
      <c r="H257" s="59">
        <v>0</v>
      </c>
      <c r="I257" s="6">
        <f>(G257-H257)*'16-PlantAdditions'!$E$103</f>
        <v>0</v>
      </c>
      <c r="J257" s="6">
        <f t="shared" si="71"/>
        <v>0</v>
      </c>
      <c r="K257" s="6">
        <f t="shared" si="72"/>
        <v>0</v>
      </c>
    </row>
    <row r="258" spans="1:11" ht="13">
      <c r="A258" s="2">
        <f t="shared" si="69"/>
        <v>190</v>
      </c>
      <c r="B258" s="345" t="s">
        <v>385</v>
      </c>
      <c r="C258" s="346">
        <v>2023</v>
      </c>
      <c r="D258" s="59">
        <v>0</v>
      </c>
      <c r="E258" s="6">
        <f>D258*'16-PlantAdditions'!$E$103</f>
        <v>0</v>
      </c>
      <c r="F258" s="6">
        <f t="shared" si="70"/>
        <v>0</v>
      </c>
      <c r="G258" s="59">
        <v>0</v>
      </c>
      <c r="H258" s="59">
        <v>0</v>
      </c>
      <c r="I258" s="6">
        <f>(G258-H258)*'16-PlantAdditions'!$E$103</f>
        <v>0</v>
      </c>
      <c r="J258" s="6">
        <f t="shared" si="71"/>
        <v>0</v>
      </c>
      <c r="K258" s="6">
        <f t="shared" si="72"/>
        <v>0</v>
      </c>
    </row>
    <row r="259" spans="1:11" ht="13">
      <c r="A259" s="2">
        <f t="shared" si="69"/>
        <v>191</v>
      </c>
      <c r="B259" s="345" t="s">
        <v>594</v>
      </c>
      <c r="C259" s="346">
        <v>2023</v>
      </c>
      <c r="D259" s="59">
        <v>0</v>
      </c>
      <c r="E259" s="6">
        <f>D259*'16-PlantAdditions'!$E$103</f>
        <v>0</v>
      </c>
      <c r="F259" s="6">
        <f t="shared" si="70"/>
        <v>0</v>
      </c>
      <c r="G259" s="59">
        <v>0</v>
      </c>
      <c r="H259" s="59">
        <v>0</v>
      </c>
      <c r="I259" s="6">
        <f>(G259-H259)*'16-PlantAdditions'!$E$103</f>
        <v>0</v>
      </c>
      <c r="J259" s="6">
        <f>J258+F259-G259-I259</f>
        <v>0</v>
      </c>
      <c r="K259" s="6">
        <f t="shared" si="72"/>
        <v>0</v>
      </c>
    </row>
    <row r="260" spans="1:11" ht="13">
      <c r="A260" s="2">
        <f t="shared" si="69"/>
        <v>192</v>
      </c>
      <c r="B260" s="345" t="s">
        <v>387</v>
      </c>
      <c r="C260" s="346">
        <v>2023</v>
      </c>
      <c r="D260" s="59">
        <v>0</v>
      </c>
      <c r="E260" s="6">
        <f>D260*'16-PlantAdditions'!$E$103</f>
        <v>0</v>
      </c>
      <c r="F260" s="6">
        <f t="shared" si="70"/>
        <v>0</v>
      </c>
      <c r="G260" s="59">
        <v>0</v>
      </c>
      <c r="H260" s="59">
        <v>0</v>
      </c>
      <c r="I260" s="6">
        <f>(G260-H260)*'16-PlantAdditions'!$E$103</f>
        <v>0</v>
      </c>
      <c r="J260" s="6">
        <f t="shared" si="71"/>
        <v>0</v>
      </c>
      <c r="K260" s="6">
        <f t="shared" si="72"/>
        <v>0</v>
      </c>
    </row>
    <row r="261" spans="1:11" ht="13">
      <c r="A261" s="2">
        <f t="shared" si="69"/>
        <v>193</v>
      </c>
      <c r="B261" s="345" t="s">
        <v>388</v>
      </c>
      <c r="C261" s="346">
        <v>2023</v>
      </c>
      <c r="D261" s="59">
        <v>0</v>
      </c>
      <c r="E261" s="6">
        <f>D261*'16-PlantAdditions'!$E$103</f>
        <v>0</v>
      </c>
      <c r="F261" s="6">
        <f t="shared" si="70"/>
        <v>0</v>
      </c>
      <c r="G261" s="59">
        <v>0</v>
      </c>
      <c r="H261" s="59">
        <v>0</v>
      </c>
      <c r="I261" s="6">
        <f>(G261-H261)*'16-PlantAdditions'!$E$103</f>
        <v>0</v>
      </c>
      <c r="J261" s="6">
        <f t="shared" si="71"/>
        <v>0</v>
      </c>
      <c r="K261" s="6">
        <f t="shared" si="72"/>
        <v>0</v>
      </c>
    </row>
    <row r="262" spans="1:11" ht="13">
      <c r="A262" s="2">
        <f t="shared" si="69"/>
        <v>194</v>
      </c>
      <c r="B262" s="345" t="s">
        <v>389</v>
      </c>
      <c r="C262" s="346">
        <v>2023</v>
      </c>
      <c r="D262" s="59">
        <v>0</v>
      </c>
      <c r="E262" s="6">
        <f>D262*'16-PlantAdditions'!$E$103</f>
        <v>0</v>
      </c>
      <c r="F262" s="6">
        <f t="shared" si="70"/>
        <v>0</v>
      </c>
      <c r="G262" s="59">
        <v>0</v>
      </c>
      <c r="H262" s="59">
        <v>0</v>
      </c>
      <c r="I262" s="6">
        <f>(G262-H262)*'16-PlantAdditions'!$E$103</f>
        <v>0</v>
      </c>
      <c r="J262" s="6">
        <f t="shared" si="71"/>
        <v>0</v>
      </c>
      <c r="K262" s="6">
        <f t="shared" si="72"/>
        <v>0</v>
      </c>
    </row>
    <row r="263" spans="1:11" ht="13">
      <c r="A263" s="2">
        <f t="shared" si="69"/>
        <v>195</v>
      </c>
      <c r="B263" s="345" t="s">
        <v>390</v>
      </c>
      <c r="C263" s="346">
        <v>2023</v>
      </c>
      <c r="D263" s="59">
        <v>0</v>
      </c>
      <c r="E263" s="6">
        <f>D263*'16-PlantAdditions'!$E$103</f>
        <v>0</v>
      </c>
      <c r="F263" s="6">
        <f t="shared" si="70"/>
        <v>0</v>
      </c>
      <c r="G263" s="59">
        <v>0</v>
      </c>
      <c r="H263" s="59">
        <v>0</v>
      </c>
      <c r="I263" s="6">
        <f>(G263-H263)*'16-PlantAdditions'!$E$103</f>
        <v>0</v>
      </c>
      <c r="J263" s="6">
        <f t="shared" si="71"/>
        <v>0</v>
      </c>
      <c r="K263" s="6">
        <f t="shared" si="72"/>
        <v>0</v>
      </c>
    </row>
    <row r="264" spans="1:11" ht="13">
      <c r="A264" s="2">
        <f t="shared" si="69"/>
        <v>196</v>
      </c>
      <c r="B264" s="345" t="s">
        <v>391</v>
      </c>
      <c r="C264" s="346">
        <v>2023</v>
      </c>
      <c r="D264" s="59">
        <v>0</v>
      </c>
      <c r="E264" s="6">
        <f>D264*'16-PlantAdditions'!$E$103</f>
        <v>0</v>
      </c>
      <c r="F264" s="6">
        <f t="shared" si="70"/>
        <v>0</v>
      </c>
      <c r="G264" s="59">
        <v>0</v>
      </c>
      <c r="H264" s="59">
        <v>0</v>
      </c>
      <c r="I264" s="6">
        <f>(G264-H264)*'16-PlantAdditions'!$E$103</f>
        <v>0</v>
      </c>
      <c r="J264" s="6">
        <f t="shared" si="71"/>
        <v>0</v>
      </c>
      <c r="K264" s="6">
        <f t="shared" si="72"/>
        <v>0</v>
      </c>
    </row>
    <row r="265" spans="1:11" ht="13">
      <c r="A265" s="2">
        <f t="shared" si="69"/>
        <v>197</v>
      </c>
      <c r="B265" s="345" t="s">
        <v>379</v>
      </c>
      <c r="C265" s="346">
        <v>2023</v>
      </c>
      <c r="D265" s="59">
        <v>0</v>
      </c>
      <c r="E265" s="6">
        <f>D265*'16-PlantAdditions'!$E$103</f>
        <v>0</v>
      </c>
      <c r="F265" s="6">
        <f t="shared" si="70"/>
        <v>0</v>
      </c>
      <c r="G265" s="59">
        <v>0</v>
      </c>
      <c r="H265" s="59">
        <v>0</v>
      </c>
      <c r="I265" s="6">
        <f>(G265-H265)*'16-PlantAdditions'!$E$103</f>
        <v>0</v>
      </c>
      <c r="J265" s="6">
        <f t="shared" si="71"/>
        <v>0</v>
      </c>
      <c r="K265" s="6">
        <f t="shared" si="72"/>
        <v>0</v>
      </c>
    </row>
    <row r="266" spans="1:11" ht="13">
      <c r="A266" s="2">
        <f t="shared" si="69"/>
        <v>198</v>
      </c>
      <c r="B266" s="345" t="s">
        <v>381</v>
      </c>
      <c r="C266" s="346">
        <v>2024</v>
      </c>
      <c r="D266" s="59">
        <v>0</v>
      </c>
      <c r="E266" s="6">
        <f>D266*'16-PlantAdditions'!$E$103</f>
        <v>0</v>
      </c>
      <c r="F266" s="6">
        <f t="shared" si="70"/>
        <v>0</v>
      </c>
      <c r="G266" s="59">
        <v>0</v>
      </c>
      <c r="H266" s="59">
        <v>0</v>
      </c>
      <c r="I266" s="6">
        <f>(G266-H266)*'16-PlantAdditions'!$E$103</f>
        <v>0</v>
      </c>
      <c r="J266" s="6">
        <f t="shared" si="71"/>
        <v>0</v>
      </c>
      <c r="K266" s="6">
        <f t="shared" si="72"/>
        <v>0</v>
      </c>
    </row>
    <row r="267" spans="1:11" ht="13">
      <c r="A267" s="2">
        <f t="shared" si="69"/>
        <v>199</v>
      </c>
      <c r="B267" s="345" t="s">
        <v>382</v>
      </c>
      <c r="C267" s="346">
        <v>2024</v>
      </c>
      <c r="D267" s="59">
        <v>0</v>
      </c>
      <c r="E267" s="6">
        <f>D267*'16-PlantAdditions'!$E$103</f>
        <v>0</v>
      </c>
      <c r="F267" s="6">
        <f t="shared" si="70"/>
        <v>0</v>
      </c>
      <c r="G267" s="59">
        <v>0</v>
      </c>
      <c r="H267" s="59">
        <v>0</v>
      </c>
      <c r="I267" s="6">
        <f>(G267-H267)*'16-PlantAdditions'!$E$103</f>
        <v>0</v>
      </c>
      <c r="J267" s="6">
        <f t="shared" si="71"/>
        <v>0</v>
      </c>
      <c r="K267" s="6">
        <f t="shared" si="72"/>
        <v>0</v>
      </c>
    </row>
    <row r="268" spans="1:11" ht="13">
      <c r="A268" s="2">
        <f t="shared" si="69"/>
        <v>200</v>
      </c>
      <c r="B268" s="345" t="s">
        <v>383</v>
      </c>
      <c r="C268" s="346">
        <v>2024</v>
      </c>
      <c r="D268" s="59">
        <v>0</v>
      </c>
      <c r="E268" s="6">
        <f>D268*'16-PlantAdditions'!$E$103</f>
        <v>0</v>
      </c>
      <c r="F268" s="6">
        <f t="shared" si="70"/>
        <v>0</v>
      </c>
      <c r="G268" s="59">
        <v>0</v>
      </c>
      <c r="H268" s="59">
        <v>0</v>
      </c>
      <c r="I268" s="6">
        <f>(G268-H268)*'16-PlantAdditions'!$E$103</f>
        <v>0</v>
      </c>
      <c r="J268" s="6">
        <f t="shared" si="71"/>
        <v>0</v>
      </c>
      <c r="K268" s="6">
        <f t="shared" si="72"/>
        <v>0</v>
      </c>
    </row>
    <row r="269" spans="1:11" ht="13">
      <c r="A269" s="2">
        <f t="shared" si="69"/>
        <v>201</v>
      </c>
      <c r="B269" s="345" t="s">
        <v>384</v>
      </c>
      <c r="C269" s="346">
        <v>2024</v>
      </c>
      <c r="D269" s="59">
        <v>0</v>
      </c>
      <c r="E269" s="6">
        <f>D269*'16-PlantAdditions'!$E$103</f>
        <v>0</v>
      </c>
      <c r="F269" s="6">
        <f t="shared" si="70"/>
        <v>0</v>
      </c>
      <c r="G269" s="59">
        <v>0</v>
      </c>
      <c r="H269" s="59">
        <v>0</v>
      </c>
      <c r="I269" s="6">
        <f>(G269-H269)*'16-PlantAdditions'!$E$103</f>
        <v>0</v>
      </c>
      <c r="J269" s="6">
        <f t="shared" si="71"/>
        <v>0</v>
      </c>
      <c r="K269" s="6">
        <f t="shared" si="72"/>
        <v>0</v>
      </c>
    </row>
    <row r="270" spans="1:11" ht="13">
      <c r="A270" s="2">
        <f t="shared" si="69"/>
        <v>202</v>
      </c>
      <c r="B270" s="345" t="s">
        <v>385</v>
      </c>
      <c r="C270" s="346">
        <v>2024</v>
      </c>
      <c r="D270" s="59">
        <v>0</v>
      </c>
      <c r="E270" s="6">
        <f>D270*'16-PlantAdditions'!$E$103</f>
        <v>0</v>
      </c>
      <c r="F270" s="6">
        <f t="shared" si="70"/>
        <v>0</v>
      </c>
      <c r="G270" s="59">
        <v>0</v>
      </c>
      <c r="H270" s="59">
        <v>0</v>
      </c>
      <c r="I270" s="6">
        <f>(G270-H270)*'16-PlantAdditions'!$E$103</f>
        <v>0</v>
      </c>
      <c r="J270" s="6">
        <f t="shared" si="71"/>
        <v>0</v>
      </c>
      <c r="K270" s="6">
        <f t="shared" si="72"/>
        <v>0</v>
      </c>
    </row>
    <row r="271" spans="1:11" ht="13">
      <c r="A271" s="2">
        <f t="shared" si="69"/>
        <v>203</v>
      </c>
      <c r="B271" s="345" t="s">
        <v>594</v>
      </c>
      <c r="C271" s="346">
        <v>2024</v>
      </c>
      <c r="D271" s="59">
        <v>0</v>
      </c>
      <c r="E271" s="6">
        <f>D271*'16-PlantAdditions'!$E$103</f>
        <v>0</v>
      </c>
      <c r="F271" s="6">
        <f t="shared" si="70"/>
        <v>0</v>
      </c>
      <c r="G271" s="59">
        <v>0</v>
      </c>
      <c r="H271" s="59">
        <v>0</v>
      </c>
      <c r="I271" s="6">
        <f>(G271-H271)*'16-PlantAdditions'!$E$103</f>
        <v>0</v>
      </c>
      <c r="J271" s="6">
        <f t="shared" si="71"/>
        <v>0</v>
      </c>
      <c r="K271" s="6">
        <f t="shared" si="72"/>
        <v>0</v>
      </c>
    </row>
    <row r="272" spans="1:11" ht="13">
      <c r="A272" s="2">
        <f t="shared" si="69"/>
        <v>204</v>
      </c>
      <c r="B272" s="345" t="s">
        <v>387</v>
      </c>
      <c r="C272" s="346">
        <v>2024</v>
      </c>
      <c r="D272" s="59">
        <v>0</v>
      </c>
      <c r="E272" s="6">
        <f>D272*'16-PlantAdditions'!$E$103</f>
        <v>0</v>
      </c>
      <c r="F272" s="6">
        <f t="shared" si="70"/>
        <v>0</v>
      </c>
      <c r="G272" s="59">
        <v>0</v>
      </c>
      <c r="H272" s="59">
        <v>0</v>
      </c>
      <c r="I272" s="6">
        <f>(G272-H272)*'16-PlantAdditions'!$E$103</f>
        <v>0</v>
      </c>
      <c r="J272" s="6">
        <f t="shared" si="71"/>
        <v>0</v>
      </c>
      <c r="K272" s="6">
        <f t="shared" si="72"/>
        <v>0</v>
      </c>
    </row>
    <row r="273" spans="1:11" ht="13">
      <c r="A273" s="2">
        <f t="shared" si="69"/>
        <v>205</v>
      </c>
      <c r="B273" s="345" t="s">
        <v>388</v>
      </c>
      <c r="C273" s="346">
        <v>2024</v>
      </c>
      <c r="D273" s="59">
        <v>0</v>
      </c>
      <c r="E273" s="6">
        <f>D273*'16-PlantAdditions'!$E$103</f>
        <v>0</v>
      </c>
      <c r="F273" s="6">
        <f t="shared" si="70"/>
        <v>0</v>
      </c>
      <c r="G273" s="59">
        <v>0</v>
      </c>
      <c r="H273" s="59">
        <v>0</v>
      </c>
      <c r="I273" s="6">
        <f>(G273-H273)*'16-PlantAdditions'!$E$103</f>
        <v>0</v>
      </c>
      <c r="J273" s="6">
        <f t="shared" si="71"/>
        <v>0</v>
      </c>
      <c r="K273" s="6">
        <f t="shared" si="72"/>
        <v>0</v>
      </c>
    </row>
    <row r="274" spans="1:11" ht="13">
      <c r="A274" s="2">
        <f t="shared" si="69"/>
        <v>206</v>
      </c>
      <c r="B274" s="345" t="s">
        <v>389</v>
      </c>
      <c r="C274" s="346">
        <v>2024</v>
      </c>
      <c r="D274" s="59">
        <v>0</v>
      </c>
      <c r="E274" s="6">
        <f>D274*'16-PlantAdditions'!$E$103</f>
        <v>0</v>
      </c>
      <c r="F274" s="6">
        <f t="shared" si="70"/>
        <v>0</v>
      </c>
      <c r="G274" s="59">
        <v>0</v>
      </c>
      <c r="H274" s="59">
        <v>0</v>
      </c>
      <c r="I274" s="6">
        <f>(G274-H274)*'16-PlantAdditions'!$E$103</f>
        <v>0</v>
      </c>
      <c r="J274" s="6">
        <f t="shared" si="71"/>
        <v>0</v>
      </c>
      <c r="K274" s="6">
        <f t="shared" si="72"/>
        <v>0</v>
      </c>
    </row>
    <row r="275" spans="1:11" ht="13">
      <c r="A275" s="2">
        <f t="shared" si="69"/>
        <v>207</v>
      </c>
      <c r="B275" s="345" t="s">
        <v>390</v>
      </c>
      <c r="C275" s="346">
        <v>2024</v>
      </c>
      <c r="D275" s="59">
        <v>0</v>
      </c>
      <c r="E275" s="6">
        <f>D275*'16-PlantAdditions'!$E$103</f>
        <v>0</v>
      </c>
      <c r="F275" s="6">
        <f t="shared" ref="F275:F277" si="73">E275+D275</f>
        <v>0</v>
      </c>
      <c r="G275" s="59">
        <v>0</v>
      </c>
      <c r="H275" s="59">
        <v>0</v>
      </c>
      <c r="I275" s="6">
        <f>(G275-H275)*'16-PlantAdditions'!$E$103</f>
        <v>0</v>
      </c>
      <c r="J275" s="6">
        <f t="shared" ref="J275:J277" si="74">J274+F275-G275-I275</f>
        <v>0</v>
      </c>
      <c r="K275" s="6">
        <f t="shared" si="72"/>
        <v>0</v>
      </c>
    </row>
    <row r="276" spans="1:11" ht="13">
      <c r="A276" s="2">
        <f t="shared" si="69"/>
        <v>208</v>
      </c>
      <c r="B276" s="345" t="s">
        <v>391</v>
      </c>
      <c r="C276" s="346">
        <v>2024</v>
      </c>
      <c r="D276" s="59">
        <v>0</v>
      </c>
      <c r="E276" s="6">
        <f>D276*'16-PlantAdditions'!$E$103</f>
        <v>0</v>
      </c>
      <c r="F276" s="6">
        <f t="shared" si="73"/>
        <v>0</v>
      </c>
      <c r="G276" s="59">
        <v>0</v>
      </c>
      <c r="H276" s="59">
        <v>0</v>
      </c>
      <c r="I276" s="6">
        <f>(G276-H276)*'16-PlantAdditions'!$E$103</f>
        <v>0</v>
      </c>
      <c r="J276" s="6">
        <f t="shared" si="74"/>
        <v>0</v>
      </c>
      <c r="K276" s="6">
        <f t="shared" si="72"/>
        <v>0</v>
      </c>
    </row>
    <row r="277" spans="1:11" ht="13">
      <c r="A277" s="2">
        <f t="shared" si="69"/>
        <v>209</v>
      </c>
      <c r="B277" s="345" t="s">
        <v>379</v>
      </c>
      <c r="C277" s="346">
        <v>2024</v>
      </c>
      <c r="D277" s="59">
        <v>0</v>
      </c>
      <c r="E277" s="6">
        <f>D277*'16-PlantAdditions'!$E$103</f>
        <v>0</v>
      </c>
      <c r="F277" s="6">
        <f t="shared" si="73"/>
        <v>0</v>
      </c>
      <c r="G277" s="59">
        <v>0</v>
      </c>
      <c r="H277" s="59">
        <v>0</v>
      </c>
      <c r="I277" s="6">
        <f>(G277-H277)*'16-PlantAdditions'!$E$103</f>
        <v>0</v>
      </c>
      <c r="J277" s="6">
        <f t="shared" si="74"/>
        <v>0</v>
      </c>
      <c r="K277" s="53">
        <f t="shared" si="72"/>
        <v>0</v>
      </c>
    </row>
    <row r="278" spans="1:11" ht="13">
      <c r="A278" s="2">
        <f t="shared" si="69"/>
        <v>210</v>
      </c>
      <c r="C278" s="367" t="s">
        <v>997</v>
      </c>
      <c r="K278" s="42">
        <f>AVERAGE(K265:K277)</f>
        <v>0</v>
      </c>
    </row>
    <row r="279" spans="1:11" ht="12.75" customHeight="1">
      <c r="A279" s="2"/>
      <c r="C279" s="367"/>
      <c r="K279" s="42"/>
    </row>
    <row r="280" spans="1:11" ht="13">
      <c r="B280" s="34" t="s">
        <v>1016</v>
      </c>
      <c r="D280" s="1110" t="s">
        <v>1017</v>
      </c>
      <c r="E280" s="1110"/>
    </row>
    <row r="281" spans="1:11" ht="13">
      <c r="B281" s="34"/>
      <c r="D281" s="3" t="s">
        <v>336</v>
      </c>
      <c r="E281" s="3" t="s">
        <v>337</v>
      </c>
      <c r="F281" s="3" t="s">
        <v>338</v>
      </c>
      <c r="G281" s="3" t="s">
        <v>339</v>
      </c>
      <c r="H281" s="3" t="s">
        <v>340</v>
      </c>
      <c r="I281" s="3" t="s">
        <v>341</v>
      </c>
      <c r="J281" s="3" t="s">
        <v>342</v>
      </c>
      <c r="K281" s="3" t="s">
        <v>343</v>
      </c>
    </row>
    <row r="282" spans="1:11" ht="25.5">
      <c r="B282" s="34"/>
      <c r="D282" s="48"/>
      <c r="E282" s="368" t="s">
        <v>1001</v>
      </c>
      <c r="F282" s="253" t="s">
        <v>1002</v>
      </c>
      <c r="G282" s="253"/>
      <c r="H282" s="48"/>
      <c r="I282" s="368" t="s">
        <v>1003</v>
      </c>
      <c r="J282" s="368" t="s">
        <v>1004</v>
      </c>
      <c r="K282" s="368" t="s">
        <v>1005</v>
      </c>
    </row>
    <row r="283" spans="1:11" ht="13">
      <c r="D283" s="48"/>
      <c r="E283" s="368"/>
      <c r="F283" s="253"/>
      <c r="G283" s="2" t="str">
        <f>G51</f>
        <v>Unloaded</v>
      </c>
      <c r="H283" s="48"/>
      <c r="I283" s="368"/>
      <c r="J283" s="368"/>
      <c r="K283" s="368"/>
    </row>
    <row r="284" spans="1:11" ht="13">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ht="13">
      <c r="A285" s="30" t="s">
        <v>273</v>
      </c>
      <c r="B285" s="344" t="s">
        <v>371</v>
      </c>
      <c r="C285" s="344" t="s">
        <v>372</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ht="13">
      <c r="A286" s="2">
        <f>A278+1</f>
        <v>211</v>
      </c>
      <c r="B286" s="345" t="s">
        <v>379</v>
      </c>
      <c r="C286" s="346">
        <v>2022</v>
      </c>
      <c r="D286" s="253" t="s">
        <v>380</v>
      </c>
      <c r="E286" s="253" t="s">
        <v>380</v>
      </c>
      <c r="F286" s="253" t="s">
        <v>380</v>
      </c>
      <c r="G286" s="253" t="s">
        <v>380</v>
      </c>
      <c r="H286" s="253" t="s">
        <v>380</v>
      </c>
      <c r="I286" s="253" t="s">
        <v>380</v>
      </c>
      <c r="J286" s="6">
        <f>E45</f>
        <v>0</v>
      </c>
      <c r="K286" s="253" t="s">
        <v>380</v>
      </c>
    </row>
    <row r="287" spans="1:11" ht="13">
      <c r="A287" s="2">
        <f>A286+1</f>
        <v>212</v>
      </c>
      <c r="B287" s="345" t="s">
        <v>381</v>
      </c>
      <c r="C287" s="346">
        <v>2023</v>
      </c>
      <c r="D287" s="59">
        <v>32473</v>
      </c>
      <c r="E287" s="6">
        <f>D287*'16-PlantAdditions'!$E$103</f>
        <v>2435.4749999999999</v>
      </c>
      <c r="F287" s="6">
        <f>E287+D287</f>
        <v>34908.474999999999</v>
      </c>
      <c r="G287" s="59">
        <v>32473</v>
      </c>
      <c r="H287" s="59">
        <v>0</v>
      </c>
      <c r="I287" s="6">
        <f>(G287-H287)*'16-PlantAdditions'!$E$103</f>
        <v>2435.4749999999999</v>
      </c>
      <c r="J287" s="6">
        <f>J286+F287-G287-I287</f>
        <v>0</v>
      </c>
      <c r="K287" s="6">
        <f>J287-$J$286</f>
        <v>0</v>
      </c>
    </row>
    <row r="288" spans="1:11" ht="13">
      <c r="A288" s="2">
        <f t="shared" ref="A288:A311" si="77">A287+1</f>
        <v>213</v>
      </c>
      <c r="B288" s="345" t="s">
        <v>382</v>
      </c>
      <c r="C288" s="346">
        <v>2023</v>
      </c>
      <c r="D288" s="59">
        <v>16247</v>
      </c>
      <c r="E288" s="6">
        <f>D288*'16-PlantAdditions'!$E$103</f>
        <v>1218.5249999999999</v>
      </c>
      <c r="F288" s="6">
        <f t="shared" ref="F288:F307" si="78">E288+D288</f>
        <v>17465.525000000001</v>
      </c>
      <c r="G288" s="59">
        <v>16247</v>
      </c>
      <c r="H288" s="59">
        <v>0</v>
      </c>
      <c r="I288" s="6">
        <f>(G288-H288)*'16-PlantAdditions'!$E$103</f>
        <v>1218.5249999999999</v>
      </c>
      <c r="J288" s="6">
        <f t="shared" ref="J288:J307" si="79">J287+F288-G288-I288</f>
        <v>0</v>
      </c>
      <c r="K288" s="6">
        <f t="shared" ref="K288:K310" si="80">J288-$J$286</f>
        <v>0</v>
      </c>
    </row>
    <row r="289" spans="1:13" ht="13">
      <c r="A289" s="2">
        <f t="shared" si="77"/>
        <v>214</v>
      </c>
      <c r="B289" s="345" t="s">
        <v>383</v>
      </c>
      <c r="C289" s="346">
        <v>2023</v>
      </c>
      <c r="D289" s="59">
        <v>37820</v>
      </c>
      <c r="E289" s="6">
        <f>D289*'16-PlantAdditions'!$E$103</f>
        <v>2836.5</v>
      </c>
      <c r="F289" s="6">
        <f t="shared" si="78"/>
        <v>40656.5</v>
      </c>
      <c r="G289" s="59">
        <v>37820</v>
      </c>
      <c r="H289" s="59">
        <v>0</v>
      </c>
      <c r="I289" s="6">
        <f>(G289-H289)*'16-PlantAdditions'!$E$103</f>
        <v>2836.5</v>
      </c>
      <c r="J289" s="6">
        <f t="shared" si="79"/>
        <v>0</v>
      </c>
      <c r="K289" s="6">
        <f t="shared" si="80"/>
        <v>0</v>
      </c>
    </row>
    <row r="290" spans="1:13" ht="13">
      <c r="A290" s="2">
        <f t="shared" si="77"/>
        <v>215</v>
      </c>
      <c r="B290" s="345" t="s">
        <v>384</v>
      </c>
      <c r="C290" s="346">
        <v>2023</v>
      </c>
      <c r="D290" s="59">
        <v>37820</v>
      </c>
      <c r="E290" s="6">
        <f>D290*'16-PlantAdditions'!$E$103</f>
        <v>2836.5</v>
      </c>
      <c r="F290" s="6">
        <f t="shared" si="78"/>
        <v>40656.5</v>
      </c>
      <c r="G290" s="59">
        <v>37820</v>
      </c>
      <c r="H290" s="59">
        <v>0</v>
      </c>
      <c r="I290" s="6">
        <f>(G290-H290)*'16-PlantAdditions'!$E$103</f>
        <v>2836.5</v>
      </c>
      <c r="J290" s="6">
        <f t="shared" si="79"/>
        <v>0</v>
      </c>
      <c r="K290" s="6">
        <f t="shared" si="80"/>
        <v>0</v>
      </c>
    </row>
    <row r="291" spans="1:13" ht="13">
      <c r="A291" s="2">
        <f t="shared" si="77"/>
        <v>216</v>
      </c>
      <c r="B291" s="345" t="s">
        <v>385</v>
      </c>
      <c r="C291" s="346">
        <v>2023</v>
      </c>
      <c r="D291" s="59">
        <v>37820</v>
      </c>
      <c r="E291" s="6">
        <f>D291*'16-PlantAdditions'!$E$103</f>
        <v>2836.5</v>
      </c>
      <c r="F291" s="6">
        <f t="shared" si="78"/>
        <v>40656.5</v>
      </c>
      <c r="G291" s="59">
        <v>37820</v>
      </c>
      <c r="H291" s="59">
        <v>0</v>
      </c>
      <c r="I291" s="6">
        <f>(G291-H291)*'16-PlantAdditions'!$E$103</f>
        <v>2836.5</v>
      </c>
      <c r="J291" s="6">
        <f t="shared" si="79"/>
        <v>0</v>
      </c>
      <c r="K291" s="6">
        <f t="shared" si="80"/>
        <v>0</v>
      </c>
      <c r="L291" s="2"/>
      <c r="M291" s="2"/>
    </row>
    <row r="292" spans="1:13" ht="13">
      <c r="A292" s="2">
        <f t="shared" si="77"/>
        <v>217</v>
      </c>
      <c r="B292" s="345" t="s">
        <v>594</v>
      </c>
      <c r="C292" s="346">
        <v>2023</v>
      </c>
      <c r="D292" s="59">
        <v>37820</v>
      </c>
      <c r="E292" s="6">
        <f>D292*'16-PlantAdditions'!$E$103</f>
        <v>2836.5</v>
      </c>
      <c r="F292" s="6">
        <f t="shared" si="78"/>
        <v>40656.5</v>
      </c>
      <c r="G292" s="59">
        <v>37820</v>
      </c>
      <c r="H292" s="59">
        <v>0</v>
      </c>
      <c r="I292" s="6">
        <f>(G292-H292)*'16-PlantAdditions'!$E$103</f>
        <v>2836.5</v>
      </c>
      <c r="J292" s="6">
        <f t="shared" si="79"/>
        <v>0</v>
      </c>
      <c r="K292" s="6">
        <f t="shared" si="80"/>
        <v>0</v>
      </c>
      <c r="L292" s="3"/>
      <c r="M292" s="3"/>
    </row>
    <row r="293" spans="1:13" ht="13">
      <c r="A293" s="2">
        <f t="shared" si="77"/>
        <v>218</v>
      </c>
      <c r="B293" s="345" t="s">
        <v>387</v>
      </c>
      <c r="C293" s="346">
        <v>2023</v>
      </c>
      <c r="D293" s="59">
        <v>0</v>
      </c>
      <c r="E293" s="6">
        <f>D293*'16-PlantAdditions'!$E$103</f>
        <v>0</v>
      </c>
      <c r="F293" s="6">
        <f t="shared" si="78"/>
        <v>0</v>
      </c>
      <c r="G293" s="59">
        <v>0</v>
      </c>
      <c r="H293" s="59">
        <v>0</v>
      </c>
      <c r="I293" s="6">
        <f>(G293-H293)*'16-PlantAdditions'!$E$103</f>
        <v>0</v>
      </c>
      <c r="J293" s="6">
        <f t="shared" si="79"/>
        <v>0</v>
      </c>
      <c r="K293" s="6">
        <f t="shared" si="80"/>
        <v>0</v>
      </c>
    </row>
    <row r="294" spans="1:13" ht="13">
      <c r="A294" s="2">
        <f t="shared" si="77"/>
        <v>219</v>
      </c>
      <c r="B294" s="345" t="s">
        <v>388</v>
      </c>
      <c r="C294" s="346">
        <v>2023</v>
      </c>
      <c r="D294" s="59">
        <v>0</v>
      </c>
      <c r="E294" s="6">
        <f>D294*'16-PlantAdditions'!$E$103</f>
        <v>0</v>
      </c>
      <c r="F294" s="6">
        <f t="shared" si="78"/>
        <v>0</v>
      </c>
      <c r="G294" s="59">
        <v>0</v>
      </c>
      <c r="H294" s="59">
        <v>0</v>
      </c>
      <c r="I294" s="6">
        <f>(G294-H294)*'16-PlantAdditions'!$E$103</f>
        <v>0</v>
      </c>
      <c r="J294" s="6">
        <f t="shared" si="79"/>
        <v>0</v>
      </c>
      <c r="K294" s="6">
        <f t="shared" si="80"/>
        <v>0</v>
      </c>
    </row>
    <row r="295" spans="1:13" ht="13">
      <c r="A295" s="2">
        <f t="shared" si="77"/>
        <v>220</v>
      </c>
      <c r="B295" s="345" t="s">
        <v>389</v>
      </c>
      <c r="C295" s="346">
        <v>2023</v>
      </c>
      <c r="D295" s="59">
        <v>0</v>
      </c>
      <c r="E295" s="6">
        <f>D295*'16-PlantAdditions'!$E$103</f>
        <v>0</v>
      </c>
      <c r="F295" s="6">
        <f t="shared" si="78"/>
        <v>0</v>
      </c>
      <c r="G295" s="59">
        <v>0</v>
      </c>
      <c r="H295" s="59">
        <v>0</v>
      </c>
      <c r="I295" s="6">
        <f>(G295-H295)*'16-PlantAdditions'!$E$103</f>
        <v>0</v>
      </c>
      <c r="J295" s="6">
        <f t="shared" si="79"/>
        <v>0</v>
      </c>
      <c r="K295" s="6">
        <f t="shared" si="80"/>
        <v>0</v>
      </c>
    </row>
    <row r="296" spans="1:13" ht="13">
      <c r="A296" s="2">
        <f t="shared" si="77"/>
        <v>221</v>
      </c>
      <c r="B296" s="345" t="s">
        <v>390</v>
      </c>
      <c r="C296" s="346">
        <v>2023</v>
      </c>
      <c r="D296" s="59">
        <v>0</v>
      </c>
      <c r="E296" s="6">
        <f>D296*'16-PlantAdditions'!$E$103</f>
        <v>0</v>
      </c>
      <c r="F296" s="6">
        <f t="shared" si="78"/>
        <v>0</v>
      </c>
      <c r="G296" s="59">
        <v>0</v>
      </c>
      <c r="H296" s="59">
        <v>0</v>
      </c>
      <c r="I296" s="6">
        <f>(G296-H296)*'16-PlantAdditions'!$E$103</f>
        <v>0</v>
      </c>
      <c r="J296" s="6">
        <f t="shared" si="79"/>
        <v>0</v>
      </c>
      <c r="K296" s="6">
        <f t="shared" si="80"/>
        <v>0</v>
      </c>
    </row>
    <row r="297" spans="1:13" ht="13">
      <c r="A297" s="2">
        <f t="shared" si="77"/>
        <v>222</v>
      </c>
      <c r="B297" s="345" t="s">
        <v>391</v>
      </c>
      <c r="C297" s="346">
        <v>2023</v>
      </c>
      <c r="D297" s="59">
        <v>0</v>
      </c>
      <c r="E297" s="6">
        <f>D297*'16-PlantAdditions'!$E$103</f>
        <v>0</v>
      </c>
      <c r="F297" s="6">
        <f t="shared" si="78"/>
        <v>0</v>
      </c>
      <c r="G297" s="59">
        <v>0</v>
      </c>
      <c r="H297" s="59">
        <v>0</v>
      </c>
      <c r="I297" s="6">
        <f>(G297-H297)*'16-PlantAdditions'!$E$103</f>
        <v>0</v>
      </c>
      <c r="J297" s="6">
        <f t="shared" si="79"/>
        <v>0</v>
      </c>
      <c r="K297" s="6">
        <f t="shared" si="80"/>
        <v>0</v>
      </c>
    </row>
    <row r="298" spans="1:13" ht="13">
      <c r="A298" s="2">
        <f t="shared" si="77"/>
        <v>223</v>
      </c>
      <c r="B298" s="345" t="s">
        <v>379</v>
      </c>
      <c r="C298" s="346">
        <v>2023</v>
      </c>
      <c r="D298" s="59">
        <v>0</v>
      </c>
      <c r="E298" s="6">
        <f>D298*'16-PlantAdditions'!$E$103</f>
        <v>0</v>
      </c>
      <c r="F298" s="6">
        <f t="shared" si="78"/>
        <v>0</v>
      </c>
      <c r="G298" s="59">
        <v>0</v>
      </c>
      <c r="H298" s="59">
        <v>0</v>
      </c>
      <c r="I298" s="6">
        <f>(G298-H298)*'16-PlantAdditions'!$E$103</f>
        <v>0</v>
      </c>
      <c r="J298" s="6">
        <f t="shared" si="79"/>
        <v>0</v>
      </c>
      <c r="K298" s="6">
        <f t="shared" si="80"/>
        <v>0</v>
      </c>
    </row>
    <row r="299" spans="1:13" ht="13">
      <c r="A299" s="2">
        <f t="shared" si="77"/>
        <v>224</v>
      </c>
      <c r="B299" s="345" t="s">
        <v>381</v>
      </c>
      <c r="C299" s="346">
        <v>2024</v>
      </c>
      <c r="D299" s="59">
        <v>0</v>
      </c>
      <c r="E299" s="6">
        <f>D299*'16-PlantAdditions'!$E$103</f>
        <v>0</v>
      </c>
      <c r="F299" s="6">
        <f t="shared" si="78"/>
        <v>0</v>
      </c>
      <c r="G299" s="59">
        <v>0</v>
      </c>
      <c r="H299" s="59">
        <v>0</v>
      </c>
      <c r="I299" s="6">
        <f>(G299-H299)*'16-PlantAdditions'!$E$103</f>
        <v>0</v>
      </c>
      <c r="J299" s="6">
        <f t="shared" si="79"/>
        <v>0</v>
      </c>
      <c r="K299" s="6">
        <f t="shared" si="80"/>
        <v>0</v>
      </c>
    </row>
    <row r="300" spans="1:13" ht="13">
      <c r="A300" s="2">
        <f t="shared" si="77"/>
        <v>225</v>
      </c>
      <c r="B300" s="345" t="s">
        <v>382</v>
      </c>
      <c r="C300" s="346">
        <v>2024</v>
      </c>
      <c r="D300" s="59">
        <v>0</v>
      </c>
      <c r="E300" s="6">
        <f>D300*'16-PlantAdditions'!$E$103</f>
        <v>0</v>
      </c>
      <c r="F300" s="6">
        <f t="shared" si="78"/>
        <v>0</v>
      </c>
      <c r="G300" s="59">
        <v>0</v>
      </c>
      <c r="H300" s="59">
        <v>0</v>
      </c>
      <c r="I300" s="6">
        <f>(G300-H300)*'16-PlantAdditions'!$E$103</f>
        <v>0</v>
      </c>
      <c r="J300" s="6">
        <f t="shared" si="79"/>
        <v>0</v>
      </c>
      <c r="K300" s="6">
        <f t="shared" si="80"/>
        <v>0</v>
      </c>
    </row>
    <row r="301" spans="1:13" ht="13">
      <c r="A301" s="2">
        <f t="shared" si="77"/>
        <v>226</v>
      </c>
      <c r="B301" s="345" t="s">
        <v>383</v>
      </c>
      <c r="C301" s="346">
        <v>2024</v>
      </c>
      <c r="D301" s="59">
        <v>0</v>
      </c>
      <c r="E301" s="6">
        <f>D301*'16-PlantAdditions'!$E$103</f>
        <v>0</v>
      </c>
      <c r="F301" s="6">
        <f t="shared" si="78"/>
        <v>0</v>
      </c>
      <c r="G301" s="59">
        <v>0</v>
      </c>
      <c r="H301" s="59">
        <v>0</v>
      </c>
      <c r="I301" s="6">
        <f>(G301-H301)*'16-PlantAdditions'!$E$103</f>
        <v>0</v>
      </c>
      <c r="J301" s="6">
        <f t="shared" si="79"/>
        <v>0</v>
      </c>
      <c r="K301" s="6">
        <f t="shared" si="80"/>
        <v>0</v>
      </c>
    </row>
    <row r="302" spans="1:13" ht="13">
      <c r="A302" s="2">
        <f t="shared" si="77"/>
        <v>227</v>
      </c>
      <c r="B302" s="345" t="s">
        <v>384</v>
      </c>
      <c r="C302" s="346">
        <v>2024</v>
      </c>
      <c r="D302" s="59">
        <v>0</v>
      </c>
      <c r="E302" s="6">
        <f>D302*'16-PlantAdditions'!$E$103</f>
        <v>0</v>
      </c>
      <c r="F302" s="6">
        <f t="shared" si="78"/>
        <v>0</v>
      </c>
      <c r="G302" s="59">
        <v>0</v>
      </c>
      <c r="H302" s="59">
        <v>0</v>
      </c>
      <c r="I302" s="6">
        <f>(G302-H302)*'16-PlantAdditions'!$E$103</f>
        <v>0</v>
      </c>
      <c r="J302" s="6">
        <f t="shared" si="79"/>
        <v>0</v>
      </c>
      <c r="K302" s="6">
        <f t="shared" si="80"/>
        <v>0</v>
      </c>
    </row>
    <row r="303" spans="1:13" ht="13">
      <c r="A303" s="2">
        <f t="shared" si="77"/>
        <v>228</v>
      </c>
      <c r="B303" s="345" t="s">
        <v>385</v>
      </c>
      <c r="C303" s="346">
        <v>2024</v>
      </c>
      <c r="D303" s="59">
        <v>0</v>
      </c>
      <c r="E303" s="6">
        <f>D303*'16-PlantAdditions'!$E$103</f>
        <v>0</v>
      </c>
      <c r="F303" s="6">
        <f t="shared" si="78"/>
        <v>0</v>
      </c>
      <c r="G303" s="59">
        <v>0</v>
      </c>
      <c r="H303" s="59">
        <v>0</v>
      </c>
      <c r="I303" s="6">
        <f>(G303-H303)*'16-PlantAdditions'!$E$103</f>
        <v>0</v>
      </c>
      <c r="J303" s="6">
        <f t="shared" si="79"/>
        <v>0</v>
      </c>
      <c r="K303" s="6">
        <f t="shared" si="80"/>
        <v>0</v>
      </c>
    </row>
    <row r="304" spans="1:13" ht="13">
      <c r="A304" s="2">
        <f t="shared" si="77"/>
        <v>229</v>
      </c>
      <c r="B304" s="345" t="s">
        <v>594</v>
      </c>
      <c r="C304" s="346">
        <v>2024</v>
      </c>
      <c r="D304" s="59">
        <v>0</v>
      </c>
      <c r="E304" s="6">
        <f>D304*'16-PlantAdditions'!$E$103</f>
        <v>0</v>
      </c>
      <c r="F304" s="6">
        <f t="shared" si="78"/>
        <v>0</v>
      </c>
      <c r="G304" s="59">
        <v>0</v>
      </c>
      <c r="H304" s="59">
        <v>0</v>
      </c>
      <c r="I304" s="6">
        <f>(G304-H304)*'16-PlantAdditions'!$E$103</f>
        <v>0</v>
      </c>
      <c r="J304" s="6">
        <f t="shared" si="79"/>
        <v>0</v>
      </c>
      <c r="K304" s="6">
        <f t="shared" si="80"/>
        <v>0</v>
      </c>
    </row>
    <row r="305" spans="1:12" ht="13">
      <c r="A305" s="2">
        <f t="shared" si="77"/>
        <v>230</v>
      </c>
      <c r="B305" s="345" t="s">
        <v>387</v>
      </c>
      <c r="C305" s="346">
        <v>2024</v>
      </c>
      <c r="D305" s="59">
        <v>0</v>
      </c>
      <c r="E305" s="6">
        <f>D305*'16-PlantAdditions'!$E$103</f>
        <v>0</v>
      </c>
      <c r="F305" s="6">
        <f t="shared" si="78"/>
        <v>0</v>
      </c>
      <c r="G305" s="59">
        <v>0</v>
      </c>
      <c r="H305" s="59">
        <v>0</v>
      </c>
      <c r="I305" s="6">
        <f>(G305-H305)*'16-PlantAdditions'!$E$103</f>
        <v>0</v>
      </c>
      <c r="J305" s="6">
        <f t="shared" si="79"/>
        <v>0</v>
      </c>
      <c r="K305" s="6">
        <f t="shared" si="80"/>
        <v>0</v>
      </c>
    </row>
    <row r="306" spans="1:12" ht="13">
      <c r="A306" s="2">
        <f t="shared" si="77"/>
        <v>231</v>
      </c>
      <c r="B306" s="345" t="s">
        <v>388</v>
      </c>
      <c r="C306" s="346">
        <v>2024</v>
      </c>
      <c r="D306" s="59">
        <v>0</v>
      </c>
      <c r="E306" s="6">
        <f>D306*'16-PlantAdditions'!$E$103</f>
        <v>0</v>
      </c>
      <c r="F306" s="6">
        <f t="shared" si="78"/>
        <v>0</v>
      </c>
      <c r="G306" s="59">
        <v>0</v>
      </c>
      <c r="H306" s="59">
        <v>0</v>
      </c>
      <c r="I306" s="6">
        <f>(G306-H306)*'16-PlantAdditions'!$E$103</f>
        <v>0</v>
      </c>
      <c r="J306" s="6">
        <f t="shared" si="79"/>
        <v>0</v>
      </c>
      <c r="K306" s="6">
        <f t="shared" si="80"/>
        <v>0</v>
      </c>
    </row>
    <row r="307" spans="1:12" ht="13">
      <c r="A307" s="2">
        <f t="shared" si="77"/>
        <v>232</v>
      </c>
      <c r="B307" s="345" t="s">
        <v>389</v>
      </c>
      <c r="C307" s="346">
        <v>2024</v>
      </c>
      <c r="D307" s="59">
        <v>0</v>
      </c>
      <c r="E307" s="6">
        <f>D307*'16-PlantAdditions'!$E$103</f>
        <v>0</v>
      </c>
      <c r="F307" s="6">
        <f t="shared" si="78"/>
        <v>0</v>
      </c>
      <c r="G307" s="59">
        <v>0</v>
      </c>
      <c r="H307" s="59">
        <v>0</v>
      </c>
      <c r="I307" s="6">
        <f>(G307-H307)*'16-PlantAdditions'!$E$103</f>
        <v>0</v>
      </c>
      <c r="J307" s="6">
        <f t="shared" si="79"/>
        <v>0</v>
      </c>
      <c r="K307" s="6">
        <f t="shared" si="80"/>
        <v>0</v>
      </c>
    </row>
    <row r="308" spans="1:12" ht="13">
      <c r="A308" s="2">
        <f t="shared" si="77"/>
        <v>233</v>
      </c>
      <c r="B308" s="345" t="s">
        <v>390</v>
      </c>
      <c r="C308" s="346">
        <v>2024</v>
      </c>
      <c r="D308" s="59">
        <v>0</v>
      </c>
      <c r="E308" s="6">
        <f>D308*'16-PlantAdditions'!$E$103</f>
        <v>0</v>
      </c>
      <c r="F308" s="6">
        <f t="shared" ref="F308:F310" si="81">E308+D308</f>
        <v>0</v>
      </c>
      <c r="G308" s="59">
        <v>0</v>
      </c>
      <c r="H308" s="59">
        <v>0</v>
      </c>
      <c r="I308" s="6">
        <f>(G308-H308)*'16-PlantAdditions'!$E$103</f>
        <v>0</v>
      </c>
      <c r="J308" s="6">
        <f t="shared" ref="J308:J310" si="82">J307+F308-G308-I308</f>
        <v>0</v>
      </c>
      <c r="K308" s="6">
        <f t="shared" si="80"/>
        <v>0</v>
      </c>
    </row>
    <row r="309" spans="1:12" ht="13">
      <c r="A309" s="2">
        <f t="shared" si="77"/>
        <v>234</v>
      </c>
      <c r="B309" s="345" t="s">
        <v>391</v>
      </c>
      <c r="C309" s="346">
        <v>2024</v>
      </c>
      <c r="D309" s="59">
        <v>0</v>
      </c>
      <c r="E309" s="6">
        <f>D309*'16-PlantAdditions'!$E$103</f>
        <v>0</v>
      </c>
      <c r="F309" s="6">
        <f t="shared" si="81"/>
        <v>0</v>
      </c>
      <c r="G309" s="59">
        <v>0</v>
      </c>
      <c r="H309" s="59">
        <v>0</v>
      </c>
      <c r="I309" s="6">
        <f>(G309-H309)*'16-PlantAdditions'!$E$103</f>
        <v>0</v>
      </c>
      <c r="J309" s="6">
        <f t="shared" si="82"/>
        <v>0</v>
      </c>
      <c r="K309" s="6">
        <f t="shared" si="80"/>
        <v>0</v>
      </c>
    </row>
    <row r="310" spans="1:12" ht="13">
      <c r="A310" s="2">
        <f t="shared" si="77"/>
        <v>235</v>
      </c>
      <c r="B310" s="345" t="s">
        <v>379</v>
      </c>
      <c r="C310" s="346">
        <v>2024</v>
      </c>
      <c r="D310" s="59">
        <v>0</v>
      </c>
      <c r="E310" s="6">
        <f>D310*'16-PlantAdditions'!$E$103</f>
        <v>0</v>
      </c>
      <c r="F310" s="6">
        <f t="shared" si="81"/>
        <v>0</v>
      </c>
      <c r="G310" s="59">
        <v>0</v>
      </c>
      <c r="H310" s="59">
        <v>0</v>
      </c>
      <c r="I310" s="6">
        <f>(G310-H310)*'16-PlantAdditions'!$E$103</f>
        <v>0</v>
      </c>
      <c r="J310" s="6">
        <f t="shared" si="82"/>
        <v>0</v>
      </c>
      <c r="K310" s="53">
        <f t="shared" si="80"/>
        <v>0</v>
      </c>
    </row>
    <row r="311" spans="1:12" ht="13">
      <c r="A311" s="2">
        <f t="shared" si="77"/>
        <v>236</v>
      </c>
      <c r="C311" s="367" t="s">
        <v>997</v>
      </c>
      <c r="K311" s="42">
        <f>AVERAGE(K298:K310)</f>
        <v>0</v>
      </c>
    </row>
    <row r="312" spans="1:12" ht="13">
      <c r="A312" s="2"/>
      <c r="C312" s="367"/>
      <c r="K312" s="42"/>
    </row>
    <row r="313" spans="1:12" ht="13">
      <c r="B313" s="34" t="s">
        <v>1018</v>
      </c>
      <c r="D313" s="1110" t="s">
        <v>977</v>
      </c>
      <c r="E313" s="1110"/>
    </row>
    <row r="314" spans="1:12" ht="13">
      <c r="A314" s="3"/>
      <c r="B314" s="3"/>
      <c r="C314" s="3"/>
      <c r="D314" s="3" t="s">
        <v>336</v>
      </c>
      <c r="E314" s="3" t="s">
        <v>337</v>
      </c>
      <c r="F314" s="3" t="s">
        <v>338</v>
      </c>
      <c r="G314" s="3" t="s">
        <v>339</v>
      </c>
      <c r="H314" s="3" t="s">
        <v>340</v>
      </c>
      <c r="I314" s="3" t="s">
        <v>341</v>
      </c>
      <c r="J314" s="3" t="s">
        <v>342</v>
      </c>
      <c r="K314" s="3" t="s">
        <v>343</v>
      </c>
    </row>
    <row r="315" spans="1:12" ht="25.5">
      <c r="D315" s="48"/>
      <c r="E315" s="368" t="s">
        <v>1001</v>
      </c>
      <c r="F315" s="253" t="s">
        <v>1002</v>
      </c>
      <c r="G315" s="253"/>
      <c r="H315" s="48"/>
      <c r="I315" s="368" t="s">
        <v>1003</v>
      </c>
      <c r="J315" s="368" t="s">
        <v>1004</v>
      </c>
      <c r="K315" s="368" t="s">
        <v>1005</v>
      </c>
    </row>
    <row r="316" spans="1:12" ht="13">
      <c r="D316" s="48"/>
      <c r="E316" s="48"/>
      <c r="F316" s="48"/>
      <c r="G316" s="2" t="str">
        <f>G51</f>
        <v>Unloaded</v>
      </c>
      <c r="H316" s="48"/>
      <c r="I316" s="48"/>
    </row>
    <row r="317" spans="1:12" ht="13">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ht="13">
      <c r="A318" s="30" t="s">
        <v>273</v>
      </c>
      <c r="B318" s="344" t="s">
        <v>371</v>
      </c>
      <c r="C318" s="344" t="s">
        <v>372</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ht="13">
      <c r="A319" s="2">
        <f>A311+1</f>
        <v>237</v>
      </c>
      <c r="B319" s="345" t="s">
        <v>379</v>
      </c>
      <c r="C319" s="346">
        <v>2022</v>
      </c>
      <c r="D319" s="253" t="s">
        <v>380</v>
      </c>
      <c r="E319" s="253" t="s">
        <v>380</v>
      </c>
      <c r="F319" s="253" t="s">
        <v>380</v>
      </c>
      <c r="G319" s="253" t="s">
        <v>380</v>
      </c>
      <c r="H319" s="253" t="s">
        <v>380</v>
      </c>
      <c r="I319" s="253" t="s">
        <v>380</v>
      </c>
      <c r="J319" s="6">
        <f>F45</f>
        <v>0</v>
      </c>
      <c r="K319" s="253" t="s">
        <v>380</v>
      </c>
    </row>
    <row r="320" spans="1:12" ht="13">
      <c r="A320" s="2">
        <f>A319+1</f>
        <v>238</v>
      </c>
      <c r="B320" s="345" t="s">
        <v>381</v>
      </c>
      <c r="C320" s="346">
        <v>2023</v>
      </c>
      <c r="D320" s="59">
        <v>5004165.9999999991</v>
      </c>
      <c r="E320" s="6">
        <f>D320*'16-PlantAdditions'!$E$103</f>
        <v>375312.4499999999</v>
      </c>
      <c r="F320" s="6">
        <f>E320+D320</f>
        <v>5379478.4499999993</v>
      </c>
      <c r="G320" s="59">
        <v>5004165.9999999991</v>
      </c>
      <c r="H320" s="59">
        <v>0</v>
      </c>
      <c r="I320" s="6">
        <f>(G320-H320)*'16-PlantAdditions'!$E$103</f>
        <v>375312.4499999999</v>
      </c>
      <c r="J320" s="6">
        <f>J319+F320-G320-I320</f>
        <v>0</v>
      </c>
      <c r="K320" s="6">
        <f>J320-$J$319</f>
        <v>0</v>
      </c>
      <c r="L320" s="2"/>
    </row>
    <row r="321" spans="1:12" ht="13">
      <c r="A321" s="2">
        <f t="shared" ref="A321:A344" si="85">A320+1</f>
        <v>239</v>
      </c>
      <c r="B321" s="345" t="s">
        <v>382</v>
      </c>
      <c r="C321" s="346">
        <v>2023</v>
      </c>
      <c r="D321" s="59">
        <v>1630830.0000000002</v>
      </c>
      <c r="E321" s="6">
        <f>D321*'16-PlantAdditions'!$E$103</f>
        <v>122312.25000000001</v>
      </c>
      <c r="F321" s="6">
        <f t="shared" ref="F321:F340" si="86">E321+D321</f>
        <v>1753142.2500000002</v>
      </c>
      <c r="G321" s="59">
        <v>1630830.0000000002</v>
      </c>
      <c r="H321" s="59">
        <v>0</v>
      </c>
      <c r="I321" s="6">
        <f>(G321-H321)*'16-PlantAdditions'!$E$103</f>
        <v>122312.25000000001</v>
      </c>
      <c r="J321" s="6">
        <f t="shared" ref="J321:J340" si="87">J320+F321-G321-I321</f>
        <v>0</v>
      </c>
      <c r="K321" s="6">
        <f t="shared" ref="K321:K343" si="88">J321-$J$319</f>
        <v>0</v>
      </c>
      <c r="L321" s="2"/>
    </row>
    <row r="322" spans="1:12" ht="13">
      <c r="A322" s="2">
        <f t="shared" si="85"/>
        <v>240</v>
      </c>
      <c r="B322" s="345" t="s">
        <v>383</v>
      </c>
      <c r="C322" s="346">
        <v>2023</v>
      </c>
      <c r="D322" s="59">
        <v>1326859</v>
      </c>
      <c r="E322" s="6">
        <f>D322*'16-PlantAdditions'!$E$103</f>
        <v>99514.425000000003</v>
      </c>
      <c r="F322" s="6">
        <f t="shared" si="86"/>
        <v>1426373.425</v>
      </c>
      <c r="G322" s="59">
        <v>1326859</v>
      </c>
      <c r="H322" s="59">
        <v>0</v>
      </c>
      <c r="I322" s="6">
        <f>(G322-H322)*'16-PlantAdditions'!$E$103</f>
        <v>99514.425000000003</v>
      </c>
      <c r="J322" s="6">
        <f t="shared" si="87"/>
        <v>0</v>
      </c>
      <c r="K322" s="6">
        <f t="shared" si="88"/>
        <v>0</v>
      </c>
      <c r="L322" s="2"/>
    </row>
    <row r="323" spans="1:12" ht="13">
      <c r="A323" s="2">
        <f t="shared" si="85"/>
        <v>241</v>
      </c>
      <c r="B323" s="345" t="s">
        <v>384</v>
      </c>
      <c r="C323" s="346">
        <v>2023</v>
      </c>
      <c r="D323" s="59">
        <v>1120491</v>
      </c>
      <c r="E323" s="6">
        <f>D323*'16-PlantAdditions'!$E$103</f>
        <v>84036.824999999997</v>
      </c>
      <c r="F323" s="6">
        <f t="shared" si="86"/>
        <v>1204527.825</v>
      </c>
      <c r="G323" s="59">
        <v>1120491</v>
      </c>
      <c r="H323" s="59">
        <v>0</v>
      </c>
      <c r="I323" s="6">
        <f>(G323-H323)*'16-PlantAdditions'!$E$103</f>
        <v>84036.824999999997</v>
      </c>
      <c r="J323" s="6">
        <f t="shared" si="87"/>
        <v>0</v>
      </c>
      <c r="K323" s="6">
        <f t="shared" si="88"/>
        <v>0</v>
      </c>
      <c r="L323" s="3"/>
    </row>
    <row r="324" spans="1:12" ht="13">
      <c r="A324" s="2">
        <f t="shared" si="85"/>
        <v>242</v>
      </c>
      <c r="B324" s="345" t="s">
        <v>385</v>
      </c>
      <c r="C324" s="346">
        <v>2023</v>
      </c>
      <c r="D324" s="59">
        <v>1512529</v>
      </c>
      <c r="E324" s="6">
        <f>D324*'16-PlantAdditions'!$E$103</f>
        <v>113439.675</v>
      </c>
      <c r="F324" s="6">
        <f t="shared" si="86"/>
        <v>1625968.675</v>
      </c>
      <c r="G324" s="59">
        <v>1512529</v>
      </c>
      <c r="H324" s="59">
        <v>0</v>
      </c>
      <c r="I324" s="6">
        <f>(G324-H324)*'16-PlantAdditions'!$E$103</f>
        <v>113439.675</v>
      </c>
      <c r="J324" s="6">
        <f t="shared" si="87"/>
        <v>0</v>
      </c>
      <c r="K324" s="6">
        <f t="shared" si="88"/>
        <v>0</v>
      </c>
    </row>
    <row r="325" spans="1:12" ht="13">
      <c r="A325" s="2">
        <f t="shared" si="85"/>
        <v>243</v>
      </c>
      <c r="B325" s="345" t="s">
        <v>594</v>
      </c>
      <c r="C325" s="346">
        <v>2023</v>
      </c>
      <c r="D325" s="59">
        <v>701459.99999999988</v>
      </c>
      <c r="E325" s="6">
        <f>D325*'16-PlantAdditions'!$E$103</f>
        <v>52609.499999999993</v>
      </c>
      <c r="F325" s="6">
        <f t="shared" si="86"/>
        <v>754069.49999999988</v>
      </c>
      <c r="G325" s="59">
        <v>701459.99999999988</v>
      </c>
      <c r="H325" s="59">
        <v>0</v>
      </c>
      <c r="I325" s="6">
        <f>(G325-H325)*'16-PlantAdditions'!$E$103</f>
        <v>52609.499999999993</v>
      </c>
      <c r="J325" s="6">
        <f t="shared" si="87"/>
        <v>0</v>
      </c>
      <c r="K325" s="6">
        <f t="shared" si="88"/>
        <v>0</v>
      </c>
    </row>
    <row r="326" spans="1:12" ht="13">
      <c r="A326" s="2">
        <f t="shared" si="85"/>
        <v>244</v>
      </c>
      <c r="B326" s="345" t="s">
        <v>387</v>
      </c>
      <c r="C326" s="346">
        <v>2023</v>
      </c>
      <c r="D326" s="59">
        <v>681459.99999999988</v>
      </c>
      <c r="E326" s="6">
        <f>D326*'16-PlantAdditions'!$E$103</f>
        <v>51109.499999999993</v>
      </c>
      <c r="F326" s="6">
        <f t="shared" si="86"/>
        <v>732569.49999999988</v>
      </c>
      <c r="G326" s="59">
        <v>681459.99999999988</v>
      </c>
      <c r="H326" s="59">
        <v>0</v>
      </c>
      <c r="I326" s="6">
        <f>(G326-H326)*'16-PlantAdditions'!$E$103</f>
        <v>51109.499999999993</v>
      </c>
      <c r="J326" s="6">
        <f t="shared" si="87"/>
        <v>0</v>
      </c>
      <c r="K326" s="6">
        <f t="shared" si="88"/>
        <v>0</v>
      </c>
    </row>
    <row r="327" spans="1:12" ht="13">
      <c r="A327" s="2">
        <f t="shared" si="85"/>
        <v>245</v>
      </c>
      <c r="B327" s="345" t="s">
        <v>388</v>
      </c>
      <c r="C327" s="346">
        <v>2023</v>
      </c>
      <c r="D327" s="59">
        <v>681459.99999999988</v>
      </c>
      <c r="E327" s="6">
        <f>D327*'16-PlantAdditions'!$E$103</f>
        <v>51109.499999999993</v>
      </c>
      <c r="F327" s="6">
        <f t="shared" si="86"/>
        <v>732569.49999999988</v>
      </c>
      <c r="G327" s="59">
        <v>681459.99999999988</v>
      </c>
      <c r="H327" s="59">
        <v>0</v>
      </c>
      <c r="I327" s="6">
        <f>(G327-H327)*'16-PlantAdditions'!$E$103</f>
        <v>51109.499999999993</v>
      </c>
      <c r="J327" s="6">
        <f t="shared" si="87"/>
        <v>0</v>
      </c>
      <c r="K327" s="6">
        <f t="shared" si="88"/>
        <v>0</v>
      </c>
    </row>
    <row r="328" spans="1:12" ht="13">
      <c r="A328" s="2">
        <f t="shared" si="85"/>
        <v>246</v>
      </c>
      <c r="B328" s="345" t="s">
        <v>389</v>
      </c>
      <c r="C328" s="346">
        <v>2023</v>
      </c>
      <c r="D328" s="59">
        <v>681459.99999999988</v>
      </c>
      <c r="E328" s="6">
        <f>D328*'16-PlantAdditions'!$E$103</f>
        <v>51109.499999999993</v>
      </c>
      <c r="F328" s="6">
        <f t="shared" si="86"/>
        <v>732569.49999999988</v>
      </c>
      <c r="G328" s="59">
        <v>681459.99999999988</v>
      </c>
      <c r="H328" s="59">
        <v>0</v>
      </c>
      <c r="I328" s="6">
        <f>(G328-H328)*'16-PlantAdditions'!$E$103</f>
        <v>51109.499999999993</v>
      </c>
      <c r="J328" s="6">
        <f t="shared" si="87"/>
        <v>0</v>
      </c>
      <c r="K328" s="6">
        <f t="shared" si="88"/>
        <v>0</v>
      </c>
    </row>
    <row r="329" spans="1:12" ht="13">
      <c r="A329" s="2">
        <f t="shared" si="85"/>
        <v>247</v>
      </c>
      <c r="B329" s="345" t="s">
        <v>390</v>
      </c>
      <c r="C329" s="346">
        <v>2023</v>
      </c>
      <c r="D329" s="59">
        <v>681459.99999999988</v>
      </c>
      <c r="E329" s="6">
        <f>D329*'16-PlantAdditions'!$E$103</f>
        <v>51109.499999999993</v>
      </c>
      <c r="F329" s="6">
        <f t="shared" si="86"/>
        <v>732569.49999999988</v>
      </c>
      <c r="G329" s="59">
        <v>681459.99999999988</v>
      </c>
      <c r="H329" s="59">
        <v>0</v>
      </c>
      <c r="I329" s="6">
        <f>(G329-H329)*'16-PlantAdditions'!$E$103</f>
        <v>51109.499999999993</v>
      </c>
      <c r="J329" s="6">
        <f t="shared" si="87"/>
        <v>0</v>
      </c>
      <c r="K329" s="6">
        <f t="shared" si="88"/>
        <v>0</v>
      </c>
    </row>
    <row r="330" spans="1:12" ht="13">
      <c r="A330" s="2">
        <f t="shared" si="85"/>
        <v>248</v>
      </c>
      <c r="B330" s="345" t="s">
        <v>391</v>
      </c>
      <c r="C330" s="346">
        <v>2023</v>
      </c>
      <c r="D330" s="59">
        <v>681459.99999999988</v>
      </c>
      <c r="E330" s="6">
        <f>D330*'16-PlantAdditions'!$E$103</f>
        <v>51109.499999999993</v>
      </c>
      <c r="F330" s="6">
        <f t="shared" si="86"/>
        <v>732569.49999999988</v>
      </c>
      <c r="G330" s="59">
        <v>681459.99999999988</v>
      </c>
      <c r="H330" s="59">
        <v>0</v>
      </c>
      <c r="I330" s="6">
        <f>(G330-H330)*'16-PlantAdditions'!$E$103</f>
        <v>51109.499999999993</v>
      </c>
      <c r="J330" s="6">
        <f t="shared" si="87"/>
        <v>0</v>
      </c>
      <c r="K330" s="6">
        <f t="shared" si="88"/>
        <v>0</v>
      </c>
    </row>
    <row r="331" spans="1:12" ht="13">
      <c r="A331" s="2">
        <f t="shared" si="85"/>
        <v>249</v>
      </c>
      <c r="B331" s="345" t="s">
        <v>379</v>
      </c>
      <c r="C331" s="346">
        <v>2023</v>
      </c>
      <c r="D331" s="59">
        <v>554915</v>
      </c>
      <c r="E331" s="6">
        <f>D331*'16-PlantAdditions'!$E$103</f>
        <v>41618.625</v>
      </c>
      <c r="F331" s="6">
        <f t="shared" si="86"/>
        <v>596533.625</v>
      </c>
      <c r="G331" s="59">
        <v>554915</v>
      </c>
      <c r="H331" s="59">
        <v>0</v>
      </c>
      <c r="I331" s="6">
        <f>(G331-H331)*'16-PlantAdditions'!$E$103</f>
        <v>41618.625</v>
      </c>
      <c r="J331" s="6">
        <f t="shared" si="87"/>
        <v>0</v>
      </c>
      <c r="K331" s="6">
        <f t="shared" si="88"/>
        <v>0</v>
      </c>
    </row>
    <row r="332" spans="1:12" ht="13">
      <c r="A332" s="2">
        <f t="shared" si="85"/>
        <v>250</v>
      </c>
      <c r="B332" s="345" t="s">
        <v>381</v>
      </c>
      <c r="C332" s="346">
        <v>2024</v>
      </c>
      <c r="D332" s="59">
        <v>0</v>
      </c>
      <c r="E332" s="6">
        <f>D332*'16-PlantAdditions'!$E$103</f>
        <v>0</v>
      </c>
      <c r="F332" s="6">
        <f t="shared" si="86"/>
        <v>0</v>
      </c>
      <c r="G332" s="59">
        <v>0</v>
      </c>
      <c r="H332" s="59">
        <v>0</v>
      </c>
      <c r="I332" s="6">
        <f>(G332-H332)*'16-PlantAdditions'!$E$103</f>
        <v>0</v>
      </c>
      <c r="J332" s="6">
        <f t="shared" si="87"/>
        <v>0</v>
      </c>
      <c r="K332" s="6">
        <f t="shared" si="88"/>
        <v>0</v>
      </c>
    </row>
    <row r="333" spans="1:12" ht="13">
      <c r="A333" s="2">
        <f t="shared" si="85"/>
        <v>251</v>
      </c>
      <c r="B333" s="345" t="s">
        <v>382</v>
      </c>
      <c r="C333" s="346">
        <v>2024</v>
      </c>
      <c r="D333" s="59">
        <v>0</v>
      </c>
      <c r="E333" s="6">
        <f>D333*'16-PlantAdditions'!$E$103</f>
        <v>0</v>
      </c>
      <c r="F333" s="6">
        <f t="shared" si="86"/>
        <v>0</v>
      </c>
      <c r="G333" s="59">
        <v>0</v>
      </c>
      <c r="H333" s="59">
        <v>0</v>
      </c>
      <c r="I333" s="6">
        <f>(G333-H333)*'16-PlantAdditions'!$E$103</f>
        <v>0</v>
      </c>
      <c r="J333" s="6">
        <f t="shared" si="87"/>
        <v>0</v>
      </c>
      <c r="K333" s="6">
        <f t="shared" si="88"/>
        <v>0</v>
      </c>
    </row>
    <row r="334" spans="1:12" ht="13">
      <c r="A334" s="2">
        <f t="shared" si="85"/>
        <v>252</v>
      </c>
      <c r="B334" s="345" t="s">
        <v>383</v>
      </c>
      <c r="C334" s="346">
        <v>2024</v>
      </c>
      <c r="D334" s="59">
        <v>0</v>
      </c>
      <c r="E334" s="6">
        <f>D334*'16-PlantAdditions'!$E$103</f>
        <v>0</v>
      </c>
      <c r="F334" s="6">
        <f t="shared" si="86"/>
        <v>0</v>
      </c>
      <c r="G334" s="59">
        <v>0</v>
      </c>
      <c r="H334" s="59">
        <v>0</v>
      </c>
      <c r="I334" s="6">
        <f>(G334-H334)*'16-PlantAdditions'!$E$103</f>
        <v>0</v>
      </c>
      <c r="J334" s="6">
        <f>J333+F334-G334-I334</f>
        <v>0</v>
      </c>
      <c r="K334" s="6">
        <f t="shared" si="88"/>
        <v>0</v>
      </c>
    </row>
    <row r="335" spans="1:12" ht="13">
      <c r="A335" s="2">
        <f t="shared" si="85"/>
        <v>253</v>
      </c>
      <c r="B335" s="345" t="s">
        <v>384</v>
      </c>
      <c r="C335" s="346">
        <v>2024</v>
      </c>
      <c r="D335" s="59">
        <v>0</v>
      </c>
      <c r="E335" s="6">
        <f>D335*'16-PlantAdditions'!$E$103</f>
        <v>0</v>
      </c>
      <c r="F335" s="6">
        <f t="shared" si="86"/>
        <v>0</v>
      </c>
      <c r="G335" s="59">
        <v>0</v>
      </c>
      <c r="H335" s="59">
        <v>0</v>
      </c>
      <c r="I335" s="6">
        <f>(G335-H335)*'16-PlantAdditions'!$E$103</f>
        <v>0</v>
      </c>
      <c r="J335" s="6">
        <f t="shared" si="87"/>
        <v>0</v>
      </c>
      <c r="K335" s="6">
        <f t="shared" si="88"/>
        <v>0</v>
      </c>
    </row>
    <row r="336" spans="1:12" ht="13">
      <c r="A336" s="2">
        <f t="shared" si="85"/>
        <v>254</v>
      </c>
      <c r="B336" s="345" t="s">
        <v>385</v>
      </c>
      <c r="C336" s="346">
        <v>2024</v>
      </c>
      <c r="D336" s="59">
        <v>0</v>
      </c>
      <c r="E336" s="6">
        <f>D336*'16-PlantAdditions'!$E$103</f>
        <v>0</v>
      </c>
      <c r="F336" s="6">
        <f t="shared" si="86"/>
        <v>0</v>
      </c>
      <c r="G336" s="59">
        <v>0</v>
      </c>
      <c r="H336" s="59">
        <v>0</v>
      </c>
      <c r="I336" s="6">
        <f>(G336-H336)*'16-PlantAdditions'!$E$103</f>
        <v>0</v>
      </c>
      <c r="J336" s="6">
        <f t="shared" si="87"/>
        <v>0</v>
      </c>
      <c r="K336" s="6">
        <f t="shared" si="88"/>
        <v>0</v>
      </c>
    </row>
    <row r="337" spans="1:11" ht="13">
      <c r="A337" s="2">
        <f t="shared" si="85"/>
        <v>255</v>
      </c>
      <c r="B337" s="345" t="s">
        <v>594</v>
      </c>
      <c r="C337" s="346">
        <v>2024</v>
      </c>
      <c r="D337" s="59">
        <v>0</v>
      </c>
      <c r="E337" s="6">
        <f>D337*'16-PlantAdditions'!$E$103</f>
        <v>0</v>
      </c>
      <c r="F337" s="6">
        <f t="shared" si="86"/>
        <v>0</v>
      </c>
      <c r="G337" s="59">
        <v>0</v>
      </c>
      <c r="H337" s="59">
        <v>0</v>
      </c>
      <c r="I337" s="6">
        <f>(G337-H337)*'16-PlantAdditions'!$E$103</f>
        <v>0</v>
      </c>
      <c r="J337" s="6">
        <f t="shared" si="87"/>
        <v>0</v>
      </c>
      <c r="K337" s="6">
        <f t="shared" si="88"/>
        <v>0</v>
      </c>
    </row>
    <row r="338" spans="1:11" ht="13">
      <c r="A338" s="2">
        <f t="shared" si="85"/>
        <v>256</v>
      </c>
      <c r="B338" s="345" t="s">
        <v>387</v>
      </c>
      <c r="C338" s="346">
        <v>2024</v>
      </c>
      <c r="D338" s="59">
        <v>0</v>
      </c>
      <c r="E338" s="6">
        <f>D338*'16-PlantAdditions'!$E$103</f>
        <v>0</v>
      </c>
      <c r="F338" s="6">
        <f t="shared" si="86"/>
        <v>0</v>
      </c>
      <c r="G338" s="59">
        <v>0</v>
      </c>
      <c r="H338" s="59">
        <v>0</v>
      </c>
      <c r="I338" s="6">
        <f>(G338-H338)*'16-PlantAdditions'!$E$103</f>
        <v>0</v>
      </c>
      <c r="J338" s="6">
        <f t="shared" si="87"/>
        <v>0</v>
      </c>
      <c r="K338" s="6">
        <f t="shared" si="88"/>
        <v>0</v>
      </c>
    </row>
    <row r="339" spans="1:11" ht="13">
      <c r="A339" s="2">
        <f t="shared" si="85"/>
        <v>257</v>
      </c>
      <c r="B339" s="345" t="s">
        <v>388</v>
      </c>
      <c r="C339" s="346">
        <v>2024</v>
      </c>
      <c r="D339" s="59">
        <v>0</v>
      </c>
      <c r="E339" s="6">
        <f>D339*'16-PlantAdditions'!$E$103</f>
        <v>0</v>
      </c>
      <c r="F339" s="6">
        <f t="shared" si="86"/>
        <v>0</v>
      </c>
      <c r="G339" s="59">
        <v>0</v>
      </c>
      <c r="H339" s="59">
        <v>0</v>
      </c>
      <c r="I339" s="6">
        <f>(G339-H339)*'16-PlantAdditions'!$E$103</f>
        <v>0</v>
      </c>
      <c r="J339" s="6">
        <f t="shared" si="87"/>
        <v>0</v>
      </c>
      <c r="K339" s="6">
        <f t="shared" si="88"/>
        <v>0</v>
      </c>
    </row>
    <row r="340" spans="1:11" ht="13">
      <c r="A340" s="2">
        <f t="shared" si="85"/>
        <v>258</v>
      </c>
      <c r="B340" s="345" t="s">
        <v>389</v>
      </c>
      <c r="C340" s="346">
        <v>2024</v>
      </c>
      <c r="D340" s="59">
        <v>0</v>
      </c>
      <c r="E340" s="6">
        <f>D340*'16-PlantAdditions'!$E$103</f>
        <v>0</v>
      </c>
      <c r="F340" s="6">
        <f t="shared" si="86"/>
        <v>0</v>
      </c>
      <c r="G340" s="59">
        <v>0</v>
      </c>
      <c r="H340" s="59">
        <v>0</v>
      </c>
      <c r="I340" s="6">
        <f>(G340-H340)*'16-PlantAdditions'!$E$103</f>
        <v>0</v>
      </c>
      <c r="J340" s="6">
        <f t="shared" si="87"/>
        <v>0</v>
      </c>
      <c r="K340" s="6">
        <f t="shared" si="88"/>
        <v>0</v>
      </c>
    </row>
    <row r="341" spans="1:11" ht="13">
      <c r="A341" s="2">
        <f t="shared" si="85"/>
        <v>259</v>
      </c>
      <c r="B341" s="345" t="s">
        <v>390</v>
      </c>
      <c r="C341" s="346">
        <v>2024</v>
      </c>
      <c r="D341" s="59">
        <v>0</v>
      </c>
      <c r="E341" s="6">
        <f>D341*'16-PlantAdditions'!$E$103</f>
        <v>0</v>
      </c>
      <c r="F341" s="6">
        <f t="shared" ref="F341:F343" si="89">E341+D341</f>
        <v>0</v>
      </c>
      <c r="G341" s="59">
        <v>0</v>
      </c>
      <c r="H341" s="59">
        <v>0</v>
      </c>
      <c r="I341" s="6">
        <f>(G341-H341)*'16-PlantAdditions'!$E$103</f>
        <v>0</v>
      </c>
      <c r="J341" s="6">
        <f t="shared" ref="J341:J343" si="90">J340+F341-G341-I341</f>
        <v>0</v>
      </c>
      <c r="K341" s="6">
        <f t="shared" si="88"/>
        <v>0</v>
      </c>
    </row>
    <row r="342" spans="1:11" ht="13">
      <c r="A342" s="2">
        <f t="shared" si="85"/>
        <v>260</v>
      </c>
      <c r="B342" s="345" t="s">
        <v>391</v>
      </c>
      <c r="C342" s="346">
        <v>2024</v>
      </c>
      <c r="D342" s="59">
        <v>0</v>
      </c>
      <c r="E342" s="6">
        <f>D342*'16-PlantAdditions'!$E$103</f>
        <v>0</v>
      </c>
      <c r="F342" s="6">
        <f t="shared" si="89"/>
        <v>0</v>
      </c>
      <c r="G342" s="59">
        <v>0</v>
      </c>
      <c r="H342" s="59">
        <v>0</v>
      </c>
      <c r="I342" s="6">
        <f>(G342-H342)*'16-PlantAdditions'!$E$103</f>
        <v>0</v>
      </c>
      <c r="J342" s="6">
        <f t="shared" si="90"/>
        <v>0</v>
      </c>
      <c r="K342" s="6">
        <f t="shared" si="88"/>
        <v>0</v>
      </c>
    </row>
    <row r="343" spans="1:11" ht="13">
      <c r="A343" s="2">
        <f t="shared" si="85"/>
        <v>261</v>
      </c>
      <c r="B343" s="345" t="s">
        <v>379</v>
      </c>
      <c r="C343" s="346">
        <v>2024</v>
      </c>
      <c r="D343" s="59">
        <v>3019389</v>
      </c>
      <c r="E343" s="6">
        <f>D343*'16-PlantAdditions'!$E$103</f>
        <v>226454.17499999999</v>
      </c>
      <c r="F343" s="6">
        <f t="shared" si="89"/>
        <v>3245843.1749999998</v>
      </c>
      <c r="G343" s="59">
        <v>3019389</v>
      </c>
      <c r="H343" s="59">
        <v>0</v>
      </c>
      <c r="I343" s="6">
        <f>(G343-H343)*'16-PlantAdditions'!$E$103</f>
        <v>226454.17499999999</v>
      </c>
      <c r="J343" s="6">
        <f t="shared" si="90"/>
        <v>0</v>
      </c>
      <c r="K343" s="53">
        <f t="shared" si="88"/>
        <v>0</v>
      </c>
    </row>
    <row r="344" spans="1:11" ht="13">
      <c r="A344" s="2">
        <f t="shared" si="85"/>
        <v>262</v>
      </c>
      <c r="C344" s="367" t="s">
        <v>997</v>
      </c>
      <c r="K344" s="42">
        <f>AVERAGE(K331:K343)</f>
        <v>0</v>
      </c>
    </row>
    <row r="345" spans="1:11" ht="13">
      <c r="A345" s="2"/>
      <c r="C345" s="367"/>
      <c r="K345" s="42"/>
    </row>
    <row r="346" spans="1:11" ht="13">
      <c r="B346" s="34" t="s">
        <v>1019</v>
      </c>
      <c r="D346" s="1110" t="s">
        <v>978</v>
      </c>
      <c r="E346" s="1110"/>
    </row>
    <row r="347" spans="1:11" ht="13">
      <c r="B347" s="34"/>
      <c r="D347" s="3" t="s">
        <v>336</v>
      </c>
      <c r="E347" s="3" t="s">
        <v>337</v>
      </c>
      <c r="F347" s="3" t="s">
        <v>338</v>
      </c>
      <c r="G347" s="3" t="s">
        <v>339</v>
      </c>
      <c r="H347" s="3" t="s">
        <v>340</v>
      </c>
      <c r="I347" s="3" t="s">
        <v>341</v>
      </c>
      <c r="J347" s="3" t="s">
        <v>342</v>
      </c>
      <c r="K347" s="3" t="s">
        <v>343</v>
      </c>
    </row>
    <row r="348" spans="1:11" ht="25.5">
      <c r="B348" s="34"/>
      <c r="D348" s="48"/>
      <c r="E348" s="368" t="s">
        <v>1001</v>
      </c>
      <c r="F348" s="253" t="s">
        <v>1002</v>
      </c>
      <c r="G348" s="253"/>
      <c r="H348" s="48"/>
      <c r="I348" s="368" t="s">
        <v>1003</v>
      </c>
      <c r="J348" s="368" t="s">
        <v>1004</v>
      </c>
      <c r="K348" s="368" t="s">
        <v>1005</v>
      </c>
    </row>
    <row r="349" spans="1:11" ht="13">
      <c r="D349" s="48"/>
      <c r="E349" s="48"/>
      <c r="F349" s="48"/>
      <c r="G349" s="2" t="str">
        <f>G51</f>
        <v>Unloaded</v>
      </c>
      <c r="H349" s="48"/>
      <c r="I349" s="48"/>
    </row>
    <row r="350" spans="1:11" ht="13">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ht="13">
      <c r="A351" s="30" t="s">
        <v>273</v>
      </c>
      <c r="B351" s="344" t="s">
        <v>371</v>
      </c>
      <c r="C351" s="344" t="s">
        <v>372</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ht="13">
      <c r="A352" s="2">
        <f>A344+1</f>
        <v>263</v>
      </c>
      <c r="B352" s="345" t="s">
        <v>379</v>
      </c>
      <c r="C352" s="346">
        <v>2022</v>
      </c>
      <c r="D352" s="253" t="s">
        <v>380</v>
      </c>
      <c r="E352" s="253" t="s">
        <v>380</v>
      </c>
      <c r="F352" s="253" t="s">
        <v>380</v>
      </c>
      <c r="G352" s="253" t="s">
        <v>380</v>
      </c>
      <c r="H352" s="253" t="s">
        <v>380</v>
      </c>
      <c r="I352" s="253" t="s">
        <v>380</v>
      </c>
      <c r="J352" s="6">
        <f>G45</f>
        <v>26660116.48</v>
      </c>
      <c r="K352" s="253" t="s">
        <v>380</v>
      </c>
    </row>
    <row r="353" spans="1:11" ht="13">
      <c r="A353" s="2">
        <f>A352+1</f>
        <v>264</v>
      </c>
      <c r="B353" s="345" t="s">
        <v>381</v>
      </c>
      <c r="C353" s="346">
        <v>2023</v>
      </c>
      <c r="D353" s="59">
        <v>-124732.96</v>
      </c>
      <c r="E353" s="6">
        <f>D353*'16-PlantAdditions'!$E$103</f>
        <v>-9354.9719999999998</v>
      </c>
      <c r="F353" s="6">
        <f>E353+D353</f>
        <v>-134087.932</v>
      </c>
      <c r="G353" s="59">
        <v>0</v>
      </c>
      <c r="H353" s="59">
        <v>0</v>
      </c>
      <c r="I353" s="6">
        <f>(G353-H353)*'16-PlantAdditions'!$E$103</f>
        <v>0</v>
      </c>
      <c r="J353" s="6">
        <f>J352+F353-G353-I353</f>
        <v>26526028.548</v>
      </c>
      <c r="K353" s="6">
        <f>J353-$J$352</f>
        <v>-134087.93200000003</v>
      </c>
    </row>
    <row r="354" spans="1:11" ht="13">
      <c r="A354" s="2">
        <f t="shared" ref="A354:A377" si="93">A353+1</f>
        <v>265</v>
      </c>
      <c r="B354" s="345" t="s">
        <v>382</v>
      </c>
      <c r="C354" s="346">
        <v>2023</v>
      </c>
      <c r="D354" s="59">
        <v>100113.868</v>
      </c>
      <c r="E354" s="6">
        <f>D354*'16-PlantAdditions'!$E$103</f>
        <v>7508.5401000000002</v>
      </c>
      <c r="F354" s="6">
        <f t="shared" ref="F354:F373" si="94">E354+D354</f>
        <v>107622.4081</v>
      </c>
      <c r="G354" s="59">
        <v>0</v>
      </c>
      <c r="H354" s="59">
        <v>0</v>
      </c>
      <c r="I354" s="6">
        <f>(G354-H354)*'16-PlantAdditions'!$E$103</f>
        <v>0</v>
      </c>
      <c r="J354" s="6">
        <f t="shared" ref="J354:J373" si="95">J353+F354-G354-I354</f>
        <v>26633650.956100002</v>
      </c>
      <c r="K354" s="6">
        <f t="shared" ref="K354:K376" si="96">J354-$J$352</f>
        <v>-26465.523899998516</v>
      </c>
    </row>
    <row r="355" spans="1:11" ht="13">
      <c r="A355" s="2">
        <f t="shared" si="93"/>
        <v>266</v>
      </c>
      <c r="B355" s="345" t="s">
        <v>383</v>
      </c>
      <c r="C355" s="346">
        <v>2023</v>
      </c>
      <c r="D355" s="59">
        <v>104800.00000000001</v>
      </c>
      <c r="E355" s="6">
        <f>D355*'16-PlantAdditions'!$E$103</f>
        <v>7860.0000000000009</v>
      </c>
      <c r="F355" s="6">
        <f t="shared" si="94"/>
        <v>112660.00000000001</v>
      </c>
      <c r="G355" s="59">
        <v>0</v>
      </c>
      <c r="H355" s="59">
        <v>0</v>
      </c>
      <c r="I355" s="6">
        <f>(G355-H355)*'16-PlantAdditions'!$E$103</f>
        <v>0</v>
      </c>
      <c r="J355" s="6">
        <f t="shared" si="95"/>
        <v>26746310.956100002</v>
      </c>
      <c r="K355" s="6">
        <f t="shared" si="96"/>
        <v>86194.476100001484</v>
      </c>
    </row>
    <row r="356" spans="1:11" ht="13">
      <c r="A356" s="2">
        <f t="shared" si="93"/>
        <v>267</v>
      </c>
      <c r="B356" s="345" t="s">
        <v>384</v>
      </c>
      <c r="C356" s="346">
        <v>2023</v>
      </c>
      <c r="D356" s="59">
        <v>96436.959999999992</v>
      </c>
      <c r="E356" s="6">
        <f>D356*'16-PlantAdditions'!$E$103</f>
        <v>7232.771999999999</v>
      </c>
      <c r="F356" s="6">
        <f t="shared" si="94"/>
        <v>103669.73199999999</v>
      </c>
      <c r="G356" s="59">
        <v>0</v>
      </c>
      <c r="H356" s="59">
        <v>0</v>
      </c>
      <c r="I356" s="6">
        <f>(G356-H356)*'16-PlantAdditions'!$E$103</f>
        <v>0</v>
      </c>
      <c r="J356" s="6">
        <f t="shared" si="95"/>
        <v>26849980.688100003</v>
      </c>
      <c r="K356" s="6">
        <f t="shared" si="96"/>
        <v>189864.20810000226</v>
      </c>
    </row>
    <row r="357" spans="1:11" ht="13">
      <c r="A357" s="2">
        <f t="shared" si="93"/>
        <v>268</v>
      </c>
      <c r="B357" s="345" t="s">
        <v>385</v>
      </c>
      <c r="C357" s="346">
        <v>2023</v>
      </c>
      <c r="D357" s="59">
        <v>52400.000000000007</v>
      </c>
      <c r="E357" s="6">
        <f>D357*'16-PlantAdditions'!$E$103</f>
        <v>3930.0000000000005</v>
      </c>
      <c r="F357" s="6">
        <f t="shared" si="94"/>
        <v>56330.000000000007</v>
      </c>
      <c r="G357" s="59">
        <v>0</v>
      </c>
      <c r="H357" s="59">
        <v>0</v>
      </c>
      <c r="I357" s="6">
        <f>(G357-H357)*'16-PlantAdditions'!$E$103</f>
        <v>0</v>
      </c>
      <c r="J357" s="6">
        <f t="shared" si="95"/>
        <v>26906310.688100003</v>
      </c>
      <c r="K357" s="6">
        <f t="shared" si="96"/>
        <v>246194.20810000226</v>
      </c>
    </row>
    <row r="358" spans="1:11" ht="13">
      <c r="A358" s="2">
        <f t="shared" si="93"/>
        <v>269</v>
      </c>
      <c r="B358" s="345" t="s">
        <v>594</v>
      </c>
      <c r="C358" s="346">
        <v>2023</v>
      </c>
      <c r="D358" s="59">
        <v>52400.000000000007</v>
      </c>
      <c r="E358" s="6">
        <f>D358*'16-PlantAdditions'!$E$103</f>
        <v>3930.0000000000005</v>
      </c>
      <c r="F358" s="6">
        <f t="shared" si="94"/>
        <v>56330.000000000007</v>
      </c>
      <c r="G358" s="59">
        <v>0</v>
      </c>
      <c r="H358" s="59">
        <v>0</v>
      </c>
      <c r="I358" s="6">
        <f>(G358-H358)*'16-PlantAdditions'!$E$103</f>
        <v>0</v>
      </c>
      <c r="J358" s="6">
        <f t="shared" si="95"/>
        <v>26962640.688100003</v>
      </c>
      <c r="K358" s="6">
        <f t="shared" si="96"/>
        <v>302524.20810000226</v>
      </c>
    </row>
    <row r="359" spans="1:11" ht="13">
      <c r="A359" s="2">
        <f t="shared" si="93"/>
        <v>270</v>
      </c>
      <c r="B359" s="345" t="s">
        <v>387</v>
      </c>
      <c r="C359" s="346">
        <v>2023</v>
      </c>
      <c r="D359" s="59">
        <v>104800.00000000001</v>
      </c>
      <c r="E359" s="6">
        <f>D359*'16-PlantAdditions'!$E$103</f>
        <v>7860.0000000000009</v>
      </c>
      <c r="F359" s="6">
        <f t="shared" si="94"/>
        <v>112660.00000000001</v>
      </c>
      <c r="G359" s="59">
        <v>0</v>
      </c>
      <c r="H359" s="59">
        <v>0</v>
      </c>
      <c r="I359" s="6">
        <f>(G359-H359)*'16-PlantAdditions'!$E$103</f>
        <v>0</v>
      </c>
      <c r="J359" s="6">
        <f t="shared" si="95"/>
        <v>27075300.688100003</v>
      </c>
      <c r="K359" s="6">
        <f t="shared" si="96"/>
        <v>415184.20810000226</v>
      </c>
    </row>
    <row r="360" spans="1:11" ht="13">
      <c r="A360" s="2">
        <f t="shared" si="93"/>
        <v>271</v>
      </c>
      <c r="B360" s="345" t="s">
        <v>388</v>
      </c>
      <c r="C360" s="346">
        <v>2023</v>
      </c>
      <c r="D360" s="59">
        <v>104800.00000000001</v>
      </c>
      <c r="E360" s="6">
        <f>D360*'16-PlantAdditions'!$E$103</f>
        <v>7860.0000000000009</v>
      </c>
      <c r="F360" s="6">
        <f t="shared" si="94"/>
        <v>112660.00000000001</v>
      </c>
      <c r="G360" s="59">
        <v>0</v>
      </c>
      <c r="H360" s="59">
        <v>0</v>
      </c>
      <c r="I360" s="6">
        <f>(G360-H360)*'16-PlantAdditions'!$E$103</f>
        <v>0</v>
      </c>
      <c r="J360" s="6">
        <f t="shared" si="95"/>
        <v>27187960.688100003</v>
      </c>
      <c r="K360" s="6">
        <f t="shared" si="96"/>
        <v>527844.20810000226</v>
      </c>
    </row>
    <row r="361" spans="1:11" ht="13">
      <c r="A361" s="2">
        <f t="shared" si="93"/>
        <v>272</v>
      </c>
      <c r="B361" s="345" t="s">
        <v>389</v>
      </c>
      <c r="C361" s="346">
        <v>2023</v>
      </c>
      <c r="D361" s="59">
        <v>104800.00000000001</v>
      </c>
      <c r="E361" s="6">
        <f>D361*'16-PlantAdditions'!$E$103</f>
        <v>7860.0000000000009</v>
      </c>
      <c r="F361" s="6">
        <f t="shared" si="94"/>
        <v>112660.00000000001</v>
      </c>
      <c r="G361" s="59">
        <v>0</v>
      </c>
      <c r="H361" s="59">
        <v>0</v>
      </c>
      <c r="I361" s="6">
        <f>(G361-H361)*'16-PlantAdditions'!$E$103</f>
        <v>0</v>
      </c>
      <c r="J361" s="6">
        <f t="shared" si="95"/>
        <v>27300620.688100003</v>
      </c>
      <c r="K361" s="6">
        <f t="shared" si="96"/>
        <v>640504.20810000226</v>
      </c>
    </row>
    <row r="362" spans="1:11" ht="13">
      <c r="A362" s="2">
        <f t="shared" si="93"/>
        <v>273</v>
      </c>
      <c r="B362" s="345" t="s">
        <v>390</v>
      </c>
      <c r="C362" s="346">
        <v>2023</v>
      </c>
      <c r="D362" s="59">
        <v>104800.00000000001</v>
      </c>
      <c r="E362" s="6">
        <f>D362*'16-PlantAdditions'!$E$103</f>
        <v>7860.0000000000009</v>
      </c>
      <c r="F362" s="6">
        <f t="shared" si="94"/>
        <v>112660.00000000001</v>
      </c>
      <c r="G362" s="59">
        <v>0</v>
      </c>
      <c r="H362" s="59">
        <v>0</v>
      </c>
      <c r="I362" s="6">
        <f>(G362-H362)*'16-PlantAdditions'!$E$103</f>
        <v>0</v>
      </c>
      <c r="J362" s="6">
        <f t="shared" si="95"/>
        <v>27413280.688100003</v>
      </c>
      <c r="K362" s="6">
        <f t="shared" si="96"/>
        <v>753164.20810000226</v>
      </c>
    </row>
    <row r="363" spans="1:11" ht="13">
      <c r="A363" s="2">
        <f t="shared" si="93"/>
        <v>274</v>
      </c>
      <c r="B363" s="345" t="s">
        <v>391</v>
      </c>
      <c r="C363" s="346">
        <v>2023</v>
      </c>
      <c r="D363" s="59">
        <v>137782.13199999998</v>
      </c>
      <c r="E363" s="6">
        <f>D363*'16-PlantAdditions'!$E$103</f>
        <v>10333.659899999999</v>
      </c>
      <c r="F363" s="6">
        <f t="shared" si="94"/>
        <v>148115.79189999998</v>
      </c>
      <c r="G363" s="59">
        <v>0</v>
      </c>
      <c r="H363" s="59">
        <v>0</v>
      </c>
      <c r="I363" s="6">
        <f>(G363-H363)*'16-PlantAdditions'!$E$103</f>
        <v>0</v>
      </c>
      <c r="J363" s="6">
        <f t="shared" si="95"/>
        <v>27561396.480000004</v>
      </c>
      <c r="K363" s="6">
        <f t="shared" si="96"/>
        <v>901280.00000000373</v>
      </c>
    </row>
    <row r="364" spans="1:11" ht="13">
      <c r="A364" s="2">
        <f t="shared" si="93"/>
        <v>275</v>
      </c>
      <c r="B364" s="345" t="s">
        <v>379</v>
      </c>
      <c r="C364" s="346">
        <v>2023</v>
      </c>
      <c r="D364" s="59">
        <v>262000</v>
      </c>
      <c r="E364" s="6">
        <f>D364*'16-PlantAdditions'!$E$103</f>
        <v>19650</v>
      </c>
      <c r="F364" s="6">
        <f t="shared" si="94"/>
        <v>281650</v>
      </c>
      <c r="G364" s="59">
        <v>0</v>
      </c>
      <c r="H364" s="59">
        <v>0</v>
      </c>
      <c r="I364" s="6">
        <f>(G364-H364)*'16-PlantAdditions'!$E$103</f>
        <v>0</v>
      </c>
      <c r="J364" s="6">
        <f t="shared" si="95"/>
        <v>27843046.480000004</v>
      </c>
      <c r="K364" s="6">
        <f t="shared" si="96"/>
        <v>1182930.0000000037</v>
      </c>
    </row>
    <row r="365" spans="1:11" ht="13">
      <c r="A365" s="2">
        <f t="shared" si="93"/>
        <v>276</v>
      </c>
      <c r="B365" s="345" t="s">
        <v>381</v>
      </c>
      <c r="C365" s="346">
        <v>2024</v>
      </c>
      <c r="D365" s="59">
        <v>31440</v>
      </c>
      <c r="E365" s="6">
        <f>D365*'16-PlantAdditions'!$E$103</f>
        <v>2358</v>
      </c>
      <c r="F365" s="6">
        <f t="shared" si="94"/>
        <v>33798</v>
      </c>
      <c r="G365" s="59">
        <v>0</v>
      </c>
      <c r="H365" s="59">
        <v>0</v>
      </c>
      <c r="I365" s="6">
        <f>(G365-H365)*'16-PlantAdditions'!$E$103</f>
        <v>0</v>
      </c>
      <c r="J365" s="6">
        <f t="shared" si="95"/>
        <v>27876844.480000004</v>
      </c>
      <c r="K365" s="6">
        <f t="shared" si="96"/>
        <v>1216728.0000000037</v>
      </c>
    </row>
    <row r="366" spans="1:11" ht="13">
      <c r="A366" s="2">
        <f t="shared" si="93"/>
        <v>277</v>
      </c>
      <c r="B366" s="345" t="s">
        <v>382</v>
      </c>
      <c r="C366" s="346">
        <v>2024</v>
      </c>
      <c r="D366" s="59">
        <v>62880</v>
      </c>
      <c r="E366" s="6">
        <f>D366*'16-PlantAdditions'!$E$103</f>
        <v>4716</v>
      </c>
      <c r="F366" s="6">
        <f t="shared" si="94"/>
        <v>67596</v>
      </c>
      <c r="G366" s="59">
        <v>0</v>
      </c>
      <c r="H366" s="59">
        <v>0</v>
      </c>
      <c r="I366" s="6">
        <f>(G366-H366)*'16-PlantAdditions'!$E$103</f>
        <v>0</v>
      </c>
      <c r="J366" s="6">
        <f t="shared" si="95"/>
        <v>27944440.480000004</v>
      </c>
      <c r="K366" s="6">
        <f t="shared" si="96"/>
        <v>1284324.0000000037</v>
      </c>
    </row>
    <row r="367" spans="1:11" ht="13">
      <c r="A367" s="2">
        <f t="shared" si="93"/>
        <v>278</v>
      </c>
      <c r="B367" s="345" t="s">
        <v>383</v>
      </c>
      <c r="C367" s="346">
        <v>2024</v>
      </c>
      <c r="D367" s="59">
        <v>94320.000000000015</v>
      </c>
      <c r="E367" s="6">
        <f>D367*'16-PlantAdditions'!$E$103</f>
        <v>7074.0000000000009</v>
      </c>
      <c r="F367" s="6">
        <f t="shared" si="94"/>
        <v>101394.00000000001</v>
      </c>
      <c r="G367" s="59">
        <v>0</v>
      </c>
      <c r="H367" s="59">
        <v>0</v>
      </c>
      <c r="I367" s="6">
        <f>(G367-H367)*'16-PlantAdditions'!$E$103</f>
        <v>0</v>
      </c>
      <c r="J367" s="6">
        <f t="shared" si="95"/>
        <v>28045834.480000004</v>
      </c>
      <c r="K367" s="6">
        <f t="shared" si="96"/>
        <v>1385718.0000000037</v>
      </c>
    </row>
    <row r="368" spans="1:11" ht="13">
      <c r="A368" s="2">
        <f t="shared" si="93"/>
        <v>279</v>
      </c>
      <c r="B368" s="345" t="s">
        <v>384</v>
      </c>
      <c r="C368" s="346">
        <v>2024</v>
      </c>
      <c r="D368" s="59">
        <v>94320.000000000015</v>
      </c>
      <c r="E368" s="6">
        <f>D368*'16-PlantAdditions'!$E$103</f>
        <v>7074.0000000000009</v>
      </c>
      <c r="F368" s="6">
        <f t="shared" si="94"/>
        <v>101394.00000000001</v>
      </c>
      <c r="G368" s="59">
        <v>0</v>
      </c>
      <c r="H368" s="59">
        <v>0</v>
      </c>
      <c r="I368" s="6">
        <f>(G368-H368)*'16-PlantAdditions'!$E$103</f>
        <v>0</v>
      </c>
      <c r="J368" s="6">
        <f t="shared" si="95"/>
        <v>28147228.480000004</v>
      </c>
      <c r="K368" s="6">
        <f t="shared" si="96"/>
        <v>1487112.0000000037</v>
      </c>
    </row>
    <row r="369" spans="1:11" ht="13">
      <c r="A369" s="2">
        <f t="shared" si="93"/>
        <v>280</v>
      </c>
      <c r="B369" s="345" t="s">
        <v>385</v>
      </c>
      <c r="C369" s="346">
        <v>2024</v>
      </c>
      <c r="D369" s="59">
        <v>94320.000000000015</v>
      </c>
      <c r="E369" s="6">
        <f>D369*'16-PlantAdditions'!$E$103</f>
        <v>7074.0000000000009</v>
      </c>
      <c r="F369" s="6">
        <f t="shared" si="94"/>
        <v>101394.00000000001</v>
      </c>
      <c r="G369" s="59">
        <v>0</v>
      </c>
      <c r="H369" s="59">
        <v>0</v>
      </c>
      <c r="I369" s="6">
        <f>(G369-H369)*'16-PlantAdditions'!$E$103</f>
        <v>0</v>
      </c>
      <c r="J369" s="6">
        <f t="shared" si="95"/>
        <v>28248622.480000004</v>
      </c>
      <c r="K369" s="6">
        <f t="shared" si="96"/>
        <v>1588506.0000000037</v>
      </c>
    </row>
    <row r="370" spans="1:11" ht="13">
      <c r="A370" s="2">
        <f t="shared" si="93"/>
        <v>281</v>
      </c>
      <c r="B370" s="345" t="s">
        <v>594</v>
      </c>
      <c r="C370" s="346">
        <v>2024</v>
      </c>
      <c r="D370" s="59">
        <v>94320.000000000015</v>
      </c>
      <c r="E370" s="6">
        <f>D370*'16-PlantAdditions'!$E$103</f>
        <v>7074.0000000000009</v>
      </c>
      <c r="F370" s="6">
        <f t="shared" si="94"/>
        <v>101394.00000000001</v>
      </c>
      <c r="G370" s="59">
        <v>0</v>
      </c>
      <c r="H370" s="59">
        <v>0</v>
      </c>
      <c r="I370" s="6">
        <f>(G370-H370)*'16-PlantAdditions'!$E$103</f>
        <v>0</v>
      </c>
      <c r="J370" s="6">
        <f t="shared" si="95"/>
        <v>28350016.480000004</v>
      </c>
      <c r="K370" s="6">
        <f t="shared" si="96"/>
        <v>1689900.0000000037</v>
      </c>
    </row>
    <row r="371" spans="1:11" ht="13">
      <c r="A371" s="2">
        <f t="shared" si="93"/>
        <v>282</v>
      </c>
      <c r="B371" s="345" t="s">
        <v>387</v>
      </c>
      <c r="C371" s="346">
        <v>2024</v>
      </c>
      <c r="D371" s="59">
        <v>94320.000000000015</v>
      </c>
      <c r="E371" s="6">
        <f>D371*'16-PlantAdditions'!$E$103</f>
        <v>7074.0000000000009</v>
      </c>
      <c r="F371" s="6">
        <f t="shared" si="94"/>
        <v>101394.00000000001</v>
      </c>
      <c r="G371" s="59">
        <v>0</v>
      </c>
      <c r="H371" s="59">
        <v>0</v>
      </c>
      <c r="I371" s="6">
        <f>(G371-H371)*'16-PlantAdditions'!$E$103</f>
        <v>0</v>
      </c>
      <c r="J371" s="6">
        <f t="shared" si="95"/>
        <v>28451410.480000004</v>
      </c>
      <c r="K371" s="6">
        <f t="shared" si="96"/>
        <v>1791294.0000000037</v>
      </c>
    </row>
    <row r="372" spans="1:11" ht="13">
      <c r="A372" s="2">
        <f t="shared" si="93"/>
        <v>283</v>
      </c>
      <c r="B372" s="345" t="s">
        <v>388</v>
      </c>
      <c r="C372" s="346">
        <v>2024</v>
      </c>
      <c r="D372" s="59">
        <v>94320.000000000015</v>
      </c>
      <c r="E372" s="6">
        <f>D372*'16-PlantAdditions'!$E$103</f>
        <v>7074.0000000000009</v>
      </c>
      <c r="F372" s="6">
        <f t="shared" si="94"/>
        <v>101394.00000000001</v>
      </c>
      <c r="G372" s="59">
        <v>0</v>
      </c>
      <c r="H372" s="59">
        <v>0</v>
      </c>
      <c r="I372" s="6">
        <f>(G372-H372)*'16-PlantAdditions'!$E$103</f>
        <v>0</v>
      </c>
      <c r="J372" s="6">
        <f t="shared" si="95"/>
        <v>28552804.480000004</v>
      </c>
      <c r="K372" s="6">
        <f t="shared" si="96"/>
        <v>1892688.0000000037</v>
      </c>
    </row>
    <row r="373" spans="1:11" ht="13">
      <c r="A373" s="2">
        <f t="shared" si="93"/>
        <v>284</v>
      </c>
      <c r="B373" s="345" t="s">
        <v>389</v>
      </c>
      <c r="C373" s="346">
        <v>2024</v>
      </c>
      <c r="D373" s="59">
        <v>94320.000000000015</v>
      </c>
      <c r="E373" s="6">
        <f>D373*'16-PlantAdditions'!$E$103</f>
        <v>7074.0000000000009</v>
      </c>
      <c r="F373" s="6">
        <f t="shared" si="94"/>
        <v>101394.00000000001</v>
      </c>
      <c r="G373" s="59">
        <v>0</v>
      </c>
      <c r="H373" s="59">
        <v>0</v>
      </c>
      <c r="I373" s="6">
        <f>(G373-H373)*'16-PlantAdditions'!$E$103</f>
        <v>0</v>
      </c>
      <c r="J373" s="6">
        <f t="shared" si="95"/>
        <v>28654198.480000004</v>
      </c>
      <c r="K373" s="6">
        <f t="shared" si="96"/>
        <v>1994082.0000000037</v>
      </c>
    </row>
    <row r="374" spans="1:11" ht="13">
      <c r="A374" s="2">
        <f t="shared" si="93"/>
        <v>285</v>
      </c>
      <c r="B374" s="345" t="s">
        <v>390</v>
      </c>
      <c r="C374" s="346">
        <v>2024</v>
      </c>
      <c r="D374" s="59">
        <v>94320.000000000015</v>
      </c>
      <c r="E374" s="6">
        <f>D374*'16-PlantAdditions'!$E$103</f>
        <v>7074.0000000000009</v>
      </c>
      <c r="F374" s="6">
        <f t="shared" ref="F374:F376" si="97">E374+D374</f>
        <v>101394.00000000001</v>
      </c>
      <c r="G374" s="59">
        <v>0</v>
      </c>
      <c r="H374" s="59">
        <v>0</v>
      </c>
      <c r="I374" s="6">
        <f>(G374-H374)*'16-PlantAdditions'!$E$103</f>
        <v>0</v>
      </c>
      <c r="J374" s="6">
        <f t="shared" ref="J374:J376" si="98">J373+F374-G374-I374</f>
        <v>28755592.480000004</v>
      </c>
      <c r="K374" s="6">
        <f t="shared" si="96"/>
        <v>2095476.0000000037</v>
      </c>
    </row>
    <row r="375" spans="1:11" ht="13">
      <c r="A375" s="2">
        <f t="shared" si="93"/>
        <v>286</v>
      </c>
      <c r="B375" s="345" t="s">
        <v>391</v>
      </c>
      <c r="C375" s="346">
        <v>2024</v>
      </c>
      <c r="D375" s="59">
        <v>94320.000000000015</v>
      </c>
      <c r="E375" s="6">
        <f>D375*'16-PlantAdditions'!$E$103</f>
        <v>7074.0000000000009</v>
      </c>
      <c r="F375" s="6">
        <f t="shared" si="97"/>
        <v>101394.00000000001</v>
      </c>
      <c r="G375" s="59">
        <v>0</v>
      </c>
      <c r="H375" s="59">
        <v>0</v>
      </c>
      <c r="I375" s="6">
        <f>(G375-H375)*'16-PlantAdditions'!$E$103</f>
        <v>0</v>
      </c>
      <c r="J375" s="6">
        <f t="shared" si="98"/>
        <v>28856986.480000004</v>
      </c>
      <c r="K375" s="6">
        <f t="shared" si="96"/>
        <v>2196870.0000000037</v>
      </c>
    </row>
    <row r="376" spans="1:11" ht="13">
      <c r="A376" s="2">
        <f t="shared" si="93"/>
        <v>287</v>
      </c>
      <c r="B376" s="345" t="s">
        <v>379</v>
      </c>
      <c r="C376" s="346">
        <v>2024</v>
      </c>
      <c r="D376" s="59">
        <v>104800.00000000001</v>
      </c>
      <c r="E376" s="6">
        <f>D376*'16-PlantAdditions'!$E$103</f>
        <v>7860.0000000000009</v>
      </c>
      <c r="F376" s="6">
        <f t="shared" si="97"/>
        <v>112660.00000000001</v>
      </c>
      <c r="G376" s="59">
        <v>0</v>
      </c>
      <c r="H376" s="59">
        <v>0</v>
      </c>
      <c r="I376" s="6">
        <f>(G376-H376)*'16-PlantAdditions'!$E$103</f>
        <v>0</v>
      </c>
      <c r="J376" s="6">
        <f t="shared" si="98"/>
        <v>28969646.480000004</v>
      </c>
      <c r="K376" s="53">
        <f t="shared" si="96"/>
        <v>2309530.0000000037</v>
      </c>
    </row>
    <row r="377" spans="1:11" ht="13">
      <c r="A377" s="2">
        <f t="shared" si="93"/>
        <v>288</v>
      </c>
      <c r="C377" s="367" t="s">
        <v>997</v>
      </c>
      <c r="K377" s="42">
        <f>AVERAGE(K364:K376)</f>
        <v>1701166.0000000037</v>
      </c>
    </row>
    <row r="378" spans="1:11" ht="13">
      <c r="A378" s="2"/>
      <c r="C378" s="367"/>
      <c r="K378" s="42"/>
    </row>
    <row r="379" spans="1:11" ht="13">
      <c r="B379" s="34" t="s">
        <v>1020</v>
      </c>
      <c r="D379" s="1110" t="s">
        <v>1021</v>
      </c>
      <c r="E379" s="1110"/>
      <c r="F379" s="1111"/>
      <c r="G379" s="1111"/>
    </row>
    <row r="380" spans="1:11" ht="13">
      <c r="A380" s="3"/>
      <c r="B380" s="3"/>
      <c r="C380" s="3"/>
      <c r="D380" s="3" t="s">
        <v>336</v>
      </c>
      <c r="E380" s="3" t="s">
        <v>337</v>
      </c>
      <c r="F380" s="3" t="s">
        <v>338</v>
      </c>
      <c r="G380" s="3" t="s">
        <v>339</v>
      </c>
      <c r="H380" s="3" t="s">
        <v>340</v>
      </c>
      <c r="I380" s="3" t="s">
        <v>341</v>
      </c>
      <c r="J380" s="3" t="s">
        <v>342</v>
      </c>
      <c r="K380" s="3" t="s">
        <v>343</v>
      </c>
    </row>
    <row r="381" spans="1:11" ht="25.5">
      <c r="D381" s="48"/>
      <c r="E381" s="368" t="s">
        <v>1001</v>
      </c>
      <c r="F381" s="253" t="s">
        <v>1002</v>
      </c>
      <c r="G381" s="253"/>
      <c r="H381" s="48"/>
      <c r="I381" s="368" t="s">
        <v>1003</v>
      </c>
      <c r="J381" s="368" t="s">
        <v>1004</v>
      </c>
      <c r="K381" s="368" t="s">
        <v>1005</v>
      </c>
    </row>
    <row r="382" spans="1:11" ht="13">
      <c r="D382" s="48"/>
      <c r="E382" s="368"/>
      <c r="F382" s="253"/>
      <c r="G382" s="4" t="str">
        <f>G51</f>
        <v>Unloaded</v>
      </c>
      <c r="H382" s="48"/>
      <c r="I382" s="368"/>
      <c r="J382" s="368"/>
      <c r="K382" s="368"/>
    </row>
    <row r="383" spans="1:11" ht="13">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ht="13">
      <c r="A384" s="30" t="s">
        <v>273</v>
      </c>
      <c r="B384" s="344" t="s">
        <v>371</v>
      </c>
      <c r="C384" s="344" t="s">
        <v>372</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ht="13">
      <c r="A385" s="2">
        <f>A377+1</f>
        <v>289</v>
      </c>
      <c r="B385" s="345" t="s">
        <v>379</v>
      </c>
      <c r="C385" s="346">
        <v>2022</v>
      </c>
      <c r="D385" s="253" t="s">
        <v>380</v>
      </c>
      <c r="E385" s="253" t="s">
        <v>380</v>
      </c>
      <c r="F385" s="253" t="s">
        <v>380</v>
      </c>
      <c r="G385" s="253" t="s">
        <v>380</v>
      </c>
      <c r="H385" s="253" t="s">
        <v>380</v>
      </c>
      <c r="I385" s="253" t="s">
        <v>380</v>
      </c>
      <c r="J385" s="6">
        <f>H45</f>
        <v>212122946.66999999</v>
      </c>
      <c r="K385" s="253" t="s">
        <v>380</v>
      </c>
    </row>
    <row r="386" spans="1:11" ht="13">
      <c r="A386" s="2">
        <f>A385+1</f>
        <v>290</v>
      </c>
      <c r="B386" s="345" t="s">
        <v>381</v>
      </c>
      <c r="C386" s="346">
        <v>2023</v>
      </c>
      <c r="D386" s="59">
        <v>1570590.0000000002</v>
      </c>
      <c r="E386" s="6">
        <f>D386*'16-PlantAdditions'!$E$103</f>
        <v>117794.25000000001</v>
      </c>
      <c r="F386" s="6">
        <f>E386+D386</f>
        <v>1688384.2500000002</v>
      </c>
      <c r="G386" s="59">
        <v>4437</v>
      </c>
      <c r="H386" s="59">
        <v>0</v>
      </c>
      <c r="I386" s="6">
        <f>(G386-H386)*'16-PlantAdditions'!$E$103</f>
        <v>332.77499999999998</v>
      </c>
      <c r="J386" s="6">
        <f>J385+F386-G386-I386</f>
        <v>213806561.14499998</v>
      </c>
      <c r="K386" s="6">
        <f>J386-$J$385</f>
        <v>1683614.474999994</v>
      </c>
    </row>
    <row r="387" spans="1:11" ht="13">
      <c r="A387" s="2">
        <f t="shared" ref="A387:A410" si="101">A386+1</f>
        <v>291</v>
      </c>
      <c r="B387" s="345" t="s">
        <v>382</v>
      </c>
      <c r="C387" s="346">
        <v>2023</v>
      </c>
      <c r="D387" s="59">
        <v>5605532.9999999991</v>
      </c>
      <c r="E387" s="6">
        <f>D387*'16-PlantAdditions'!$E$103</f>
        <v>420414.97499999992</v>
      </c>
      <c r="F387" s="6">
        <f>E387+D387</f>
        <v>6025947.9749999987</v>
      </c>
      <c r="G387" s="59">
        <v>282160</v>
      </c>
      <c r="H387" s="59">
        <v>0</v>
      </c>
      <c r="I387" s="6">
        <f>(G387-H387)*'16-PlantAdditions'!$E$103</f>
        <v>21162</v>
      </c>
      <c r="J387" s="6">
        <f>J386+F387-G387-I387</f>
        <v>219529187.11999997</v>
      </c>
      <c r="K387" s="6">
        <f t="shared" ref="K387:K409" si="102">J387-$J$385</f>
        <v>7406240.4499999881</v>
      </c>
    </row>
    <row r="388" spans="1:11" ht="13">
      <c r="A388" s="2">
        <f t="shared" si="101"/>
        <v>292</v>
      </c>
      <c r="B388" s="345" t="s">
        <v>383</v>
      </c>
      <c r="C388" s="346">
        <v>2023</v>
      </c>
      <c r="D388" s="59">
        <v>1106848.0000000002</v>
      </c>
      <c r="E388" s="6">
        <f>D388*'16-PlantAdditions'!$E$103</f>
        <v>83013.60000000002</v>
      </c>
      <c r="F388" s="6">
        <f t="shared" ref="F388:F406" si="103">E388+D388</f>
        <v>1189861.6000000003</v>
      </c>
      <c r="G388" s="59">
        <v>2104</v>
      </c>
      <c r="H388" s="59">
        <v>0</v>
      </c>
      <c r="I388" s="6">
        <f>(G388-H388)*'16-PlantAdditions'!$E$103</f>
        <v>157.79999999999998</v>
      </c>
      <c r="J388" s="6">
        <f t="shared" ref="J388:J406" si="104">J387+F388-G388-I388</f>
        <v>220716786.91999996</v>
      </c>
      <c r="K388" s="6">
        <f t="shared" si="102"/>
        <v>8593840.2499999702</v>
      </c>
    </row>
    <row r="389" spans="1:11" ht="13">
      <c r="A389" s="2">
        <f t="shared" si="101"/>
        <v>293</v>
      </c>
      <c r="B389" s="345" t="s">
        <v>384</v>
      </c>
      <c r="C389" s="346">
        <v>2023</v>
      </c>
      <c r="D389" s="59">
        <v>1679651</v>
      </c>
      <c r="E389" s="6">
        <f>D389*'16-PlantAdditions'!$E$103</f>
        <v>125973.825</v>
      </c>
      <c r="F389" s="6">
        <f t="shared" si="103"/>
        <v>1805624.825</v>
      </c>
      <c r="G389" s="59">
        <v>6000</v>
      </c>
      <c r="H389" s="59">
        <v>0</v>
      </c>
      <c r="I389" s="6">
        <f>(G389-H389)*'16-PlantAdditions'!$E$103</f>
        <v>450</v>
      </c>
      <c r="J389" s="6">
        <f t="shared" si="104"/>
        <v>222515961.74499995</v>
      </c>
      <c r="K389" s="6">
        <f t="shared" si="102"/>
        <v>10393015.074999958</v>
      </c>
    </row>
    <row r="390" spans="1:11" ht="13">
      <c r="A390" s="2">
        <f t="shared" si="101"/>
        <v>294</v>
      </c>
      <c r="B390" s="345" t="s">
        <v>385</v>
      </c>
      <c r="C390" s="346">
        <v>2023</v>
      </c>
      <c r="D390" s="59">
        <v>3691675</v>
      </c>
      <c r="E390" s="6">
        <f>D390*'16-PlantAdditions'!$E$103</f>
        <v>276875.625</v>
      </c>
      <c r="F390" s="6">
        <f t="shared" si="103"/>
        <v>3968550.625</v>
      </c>
      <c r="G390" s="59">
        <v>6000</v>
      </c>
      <c r="H390" s="59">
        <v>0</v>
      </c>
      <c r="I390" s="6">
        <f>(G390-H390)*'16-PlantAdditions'!$E$103</f>
        <v>450</v>
      </c>
      <c r="J390" s="6">
        <f t="shared" si="104"/>
        <v>226478062.36999995</v>
      </c>
      <c r="K390" s="6">
        <f t="shared" si="102"/>
        <v>14355115.699999958</v>
      </c>
    </row>
    <row r="391" spans="1:11" ht="13">
      <c r="A391" s="2">
        <f t="shared" si="101"/>
        <v>295</v>
      </c>
      <c r="B391" s="345" t="s">
        <v>594</v>
      </c>
      <c r="C391" s="346">
        <v>2023</v>
      </c>
      <c r="D391" s="59">
        <v>1564376</v>
      </c>
      <c r="E391" s="6">
        <f>D391*'16-PlantAdditions'!$E$103</f>
        <v>117328.2</v>
      </c>
      <c r="F391" s="6">
        <f t="shared" si="103"/>
        <v>1681704.2</v>
      </c>
      <c r="G391" s="59">
        <v>139737158.31999999</v>
      </c>
      <c r="H391" s="59">
        <v>130095273.32000002</v>
      </c>
      <c r="I391" s="6">
        <f>(G391-H391)*'16-PlantAdditions'!$E$103</f>
        <v>723141.37499999779</v>
      </c>
      <c r="J391" s="6">
        <f t="shared" si="104"/>
        <v>87699466.87499994</v>
      </c>
      <c r="K391" s="6">
        <f t="shared" si="102"/>
        <v>-124423479.79500005</v>
      </c>
    </row>
    <row r="392" spans="1:11" ht="13">
      <c r="A392" s="2">
        <f t="shared" si="101"/>
        <v>296</v>
      </c>
      <c r="B392" s="345" t="s">
        <v>387</v>
      </c>
      <c r="C392" s="346">
        <v>2023</v>
      </c>
      <c r="D392" s="59">
        <v>3644877</v>
      </c>
      <c r="E392" s="6">
        <f>D392*'16-PlantAdditions'!$E$103</f>
        <v>273365.77499999997</v>
      </c>
      <c r="F392" s="6">
        <f t="shared" si="103"/>
        <v>3918242.7749999999</v>
      </c>
      <c r="G392" s="59">
        <v>2836712.9999999995</v>
      </c>
      <c r="H392" s="59">
        <v>0</v>
      </c>
      <c r="I392" s="6">
        <f>(G392-H392)*'16-PlantAdditions'!$E$103</f>
        <v>212753.47499999995</v>
      </c>
      <c r="J392" s="6">
        <f t="shared" si="104"/>
        <v>88568243.174999952</v>
      </c>
      <c r="K392" s="6">
        <f t="shared" si="102"/>
        <v>-123554703.49500003</v>
      </c>
    </row>
    <row r="393" spans="1:11" ht="13">
      <c r="A393" s="2">
        <f t="shared" si="101"/>
        <v>297</v>
      </c>
      <c r="B393" s="345" t="s">
        <v>388</v>
      </c>
      <c r="C393" s="346">
        <v>2023</v>
      </c>
      <c r="D393" s="59">
        <v>696191</v>
      </c>
      <c r="E393" s="6">
        <f>D393*'16-PlantAdditions'!$E$103</f>
        <v>52214.324999999997</v>
      </c>
      <c r="F393" s="6">
        <f t="shared" si="103"/>
        <v>748405.32499999995</v>
      </c>
      <c r="G393" s="59">
        <v>526191</v>
      </c>
      <c r="H393" s="59">
        <v>0</v>
      </c>
      <c r="I393" s="6">
        <f>(G393-H393)*'16-PlantAdditions'!$E$103</f>
        <v>39464.324999999997</v>
      </c>
      <c r="J393" s="6">
        <f t="shared" si="104"/>
        <v>88750993.174999952</v>
      </c>
      <c r="K393" s="6">
        <f t="shared" si="102"/>
        <v>-123371953.49500003</v>
      </c>
    </row>
    <row r="394" spans="1:11" ht="13">
      <c r="A394" s="2">
        <f t="shared" si="101"/>
        <v>298</v>
      </c>
      <c r="B394" s="345" t="s">
        <v>389</v>
      </c>
      <c r="C394" s="346">
        <v>2023</v>
      </c>
      <c r="D394" s="59">
        <v>1633437</v>
      </c>
      <c r="E394" s="6">
        <f>D394*'16-PlantAdditions'!$E$103</f>
        <v>122507.77499999999</v>
      </c>
      <c r="F394" s="6">
        <f t="shared" si="103"/>
        <v>1755944.7749999999</v>
      </c>
      <c r="G394" s="59">
        <v>1244636</v>
      </c>
      <c r="H394" s="59">
        <v>0</v>
      </c>
      <c r="I394" s="6">
        <f>(G394-H394)*'16-PlantAdditions'!$E$103</f>
        <v>93347.7</v>
      </c>
      <c r="J394" s="6">
        <f t="shared" si="104"/>
        <v>89168954.249999955</v>
      </c>
      <c r="K394" s="6">
        <f t="shared" si="102"/>
        <v>-122953992.42000003</v>
      </c>
    </row>
    <row r="395" spans="1:11" ht="13">
      <c r="A395" s="2">
        <f t="shared" si="101"/>
        <v>299</v>
      </c>
      <c r="B395" s="345" t="s">
        <v>390</v>
      </c>
      <c r="C395" s="346">
        <v>2023</v>
      </c>
      <c r="D395" s="59">
        <v>6622000</v>
      </c>
      <c r="E395" s="6">
        <f>D395*'16-PlantAdditions'!$E$103</f>
        <v>496650</v>
      </c>
      <c r="F395" s="6">
        <f t="shared" si="103"/>
        <v>7118650</v>
      </c>
      <c r="G395" s="59">
        <v>387.09677419387845</v>
      </c>
      <c r="H395" s="59">
        <v>0</v>
      </c>
      <c r="I395" s="6">
        <f>(G395-H395)*'16-PlantAdditions'!$E$103</f>
        <v>29.032258064540883</v>
      </c>
      <c r="J395" s="6">
        <f t="shared" si="104"/>
        <v>96287188.120967701</v>
      </c>
      <c r="K395" s="6">
        <f t="shared" si="102"/>
        <v>-115835758.54903229</v>
      </c>
    </row>
    <row r="396" spans="1:11" ht="13">
      <c r="A396" s="2">
        <f t="shared" si="101"/>
        <v>300</v>
      </c>
      <c r="B396" s="345" t="s">
        <v>391</v>
      </c>
      <c r="C396" s="346">
        <v>2023</v>
      </c>
      <c r="D396" s="59">
        <v>7702000</v>
      </c>
      <c r="E396" s="6">
        <f>D396*'16-PlantAdditions'!$E$103</f>
        <v>577650</v>
      </c>
      <c r="F396" s="6">
        <f t="shared" si="103"/>
        <v>8279650</v>
      </c>
      <c r="G396" s="59">
        <v>1082387.0967741939</v>
      </c>
      <c r="H396" s="59">
        <v>0</v>
      </c>
      <c r="I396" s="6">
        <f>(G396-H396)*'16-PlantAdditions'!$E$103</f>
        <v>81179.032258064544</v>
      </c>
      <c r="J396" s="6">
        <f t="shared" si="104"/>
        <v>103403271.99193545</v>
      </c>
      <c r="K396" s="6">
        <f t="shared" si="102"/>
        <v>-108719674.67806454</v>
      </c>
    </row>
    <row r="397" spans="1:11" ht="13">
      <c r="A397" s="2">
        <f t="shared" si="101"/>
        <v>301</v>
      </c>
      <c r="B397" s="345" t="s">
        <v>379</v>
      </c>
      <c r="C397" s="346">
        <v>2023</v>
      </c>
      <c r="D397" s="59">
        <v>10440822</v>
      </c>
      <c r="E397" s="6">
        <f>D397*'16-PlantAdditions'!$E$103</f>
        <v>783061.65</v>
      </c>
      <c r="F397" s="6">
        <f t="shared" si="103"/>
        <v>11223883.65</v>
      </c>
      <c r="G397" s="59">
        <v>106062519.23645143</v>
      </c>
      <c r="H397" s="59">
        <v>77632419.429999813</v>
      </c>
      <c r="I397" s="6">
        <f>(G397-H397)*'16-PlantAdditions'!$E$103</f>
        <v>2132257.4854838713</v>
      </c>
      <c r="J397" s="6">
        <f t="shared" si="104"/>
        <v>6432378.9200001489</v>
      </c>
      <c r="K397" s="6">
        <f t="shared" si="102"/>
        <v>-205690567.74999985</v>
      </c>
    </row>
    <row r="398" spans="1:11" ht="13">
      <c r="A398" s="2">
        <f t="shared" si="101"/>
        <v>302</v>
      </c>
      <c r="B398" s="345" t="s">
        <v>381</v>
      </c>
      <c r="C398" s="346">
        <v>2024</v>
      </c>
      <c r="D398" s="59">
        <v>2693000</v>
      </c>
      <c r="E398" s="6">
        <f>D398*'16-PlantAdditions'!$E$103</f>
        <v>201975</v>
      </c>
      <c r="F398" s="6">
        <f t="shared" si="103"/>
        <v>2894975</v>
      </c>
      <c r="G398" s="59">
        <v>2693000</v>
      </c>
      <c r="H398" s="59">
        <v>0</v>
      </c>
      <c r="I398" s="6">
        <f>(G398-H398)*'16-PlantAdditions'!$E$103</f>
        <v>201975</v>
      </c>
      <c r="J398" s="6">
        <f t="shared" si="104"/>
        <v>6432378.9200001489</v>
      </c>
      <c r="K398" s="6">
        <f t="shared" si="102"/>
        <v>-205690567.74999985</v>
      </c>
    </row>
    <row r="399" spans="1:11" ht="13">
      <c r="A399" s="2">
        <f t="shared" si="101"/>
        <v>303</v>
      </c>
      <c r="B399" s="345" t="s">
        <v>382</v>
      </c>
      <c r="C399" s="346">
        <v>2024</v>
      </c>
      <c r="D399" s="59">
        <v>7438000</v>
      </c>
      <c r="E399" s="6">
        <f>D399*'16-PlantAdditions'!$E$103</f>
        <v>557850</v>
      </c>
      <c r="F399" s="6">
        <f t="shared" si="103"/>
        <v>7995850</v>
      </c>
      <c r="G399" s="59">
        <v>7438000</v>
      </c>
      <c r="H399" s="59">
        <v>0</v>
      </c>
      <c r="I399" s="6">
        <f>(G399-H399)*'16-PlantAdditions'!$E$103</f>
        <v>557850</v>
      </c>
      <c r="J399" s="6">
        <f t="shared" si="104"/>
        <v>6432378.9200001489</v>
      </c>
      <c r="K399" s="6">
        <f t="shared" si="102"/>
        <v>-205690567.74999985</v>
      </c>
    </row>
    <row r="400" spans="1:11" ht="13">
      <c r="A400" s="2">
        <f t="shared" si="101"/>
        <v>304</v>
      </c>
      <c r="B400" s="345" t="s">
        <v>383</v>
      </c>
      <c r="C400" s="346">
        <v>2024</v>
      </c>
      <c r="D400" s="59">
        <v>1055000</v>
      </c>
      <c r="E400" s="6">
        <f>D400*'16-PlantAdditions'!$E$103</f>
        <v>79125</v>
      </c>
      <c r="F400" s="6">
        <f t="shared" si="103"/>
        <v>1134125</v>
      </c>
      <c r="G400" s="59">
        <v>7345253.9199999999</v>
      </c>
      <c r="H400" s="59">
        <v>4395253.92</v>
      </c>
      <c r="I400" s="6">
        <f>(G400-H400)*'16-PlantAdditions'!$E$103</f>
        <v>221250</v>
      </c>
      <c r="J400" s="6">
        <f t="shared" si="104"/>
        <v>1.4901161193847656E-7</v>
      </c>
      <c r="K400" s="6">
        <f t="shared" si="102"/>
        <v>-212122946.66999984</v>
      </c>
    </row>
    <row r="401" spans="1:11" ht="13">
      <c r="A401" s="2">
        <f t="shared" si="101"/>
        <v>305</v>
      </c>
      <c r="B401" s="345" t="s">
        <v>384</v>
      </c>
      <c r="C401" s="346">
        <v>2024</v>
      </c>
      <c r="D401" s="59">
        <v>1055000</v>
      </c>
      <c r="E401" s="6">
        <f>D401*'16-PlantAdditions'!$E$103</f>
        <v>79125</v>
      </c>
      <c r="F401" s="6">
        <f t="shared" si="103"/>
        <v>1134125</v>
      </c>
      <c r="G401" s="59">
        <v>1055000</v>
      </c>
      <c r="H401" s="59">
        <v>0</v>
      </c>
      <c r="I401" s="6">
        <f>(G401-H401)*'16-PlantAdditions'!$E$103</f>
        <v>79125</v>
      </c>
      <c r="J401" s="6">
        <f t="shared" si="104"/>
        <v>1.4901161193847656E-7</v>
      </c>
      <c r="K401" s="6">
        <f t="shared" si="102"/>
        <v>-212122946.66999984</v>
      </c>
    </row>
    <row r="402" spans="1:11" ht="13">
      <c r="A402" s="2">
        <f t="shared" si="101"/>
        <v>306</v>
      </c>
      <c r="B402" s="345" t="s">
        <v>385</v>
      </c>
      <c r="C402" s="346">
        <v>2024</v>
      </c>
      <c r="D402" s="59">
        <v>2821000</v>
      </c>
      <c r="E402" s="6">
        <f>D402*'16-PlantAdditions'!$E$103</f>
        <v>211575</v>
      </c>
      <c r="F402" s="6">
        <f t="shared" si="103"/>
        <v>3032575</v>
      </c>
      <c r="G402" s="59">
        <v>2821000</v>
      </c>
      <c r="H402" s="59">
        <v>0</v>
      </c>
      <c r="I402" s="6">
        <f>(G402-H402)*'16-PlantAdditions'!$E$103</f>
        <v>211575</v>
      </c>
      <c r="J402" s="6">
        <f t="shared" si="104"/>
        <v>1.4901161193847656E-7</v>
      </c>
      <c r="K402" s="6">
        <f t="shared" si="102"/>
        <v>-212122946.66999984</v>
      </c>
    </row>
    <row r="403" spans="1:11" ht="13">
      <c r="A403" s="2">
        <f t="shared" si="101"/>
        <v>307</v>
      </c>
      <c r="B403" s="345" t="s">
        <v>594</v>
      </c>
      <c r="C403" s="346">
        <v>2024</v>
      </c>
      <c r="D403" s="59">
        <v>2840000</v>
      </c>
      <c r="E403" s="6">
        <f>D403*'16-PlantAdditions'!$E$103</f>
        <v>213000</v>
      </c>
      <c r="F403" s="6">
        <f t="shared" si="103"/>
        <v>3053000</v>
      </c>
      <c r="G403" s="59">
        <v>2840000</v>
      </c>
      <c r="H403" s="59">
        <v>0</v>
      </c>
      <c r="I403" s="6">
        <f>(G403-H403)*'16-PlantAdditions'!$E$103</f>
        <v>213000</v>
      </c>
      <c r="J403" s="6">
        <f t="shared" si="104"/>
        <v>1.4901161193847656E-7</v>
      </c>
      <c r="K403" s="6">
        <f t="shared" si="102"/>
        <v>-212122946.66999984</v>
      </c>
    </row>
    <row r="404" spans="1:11" ht="13">
      <c r="A404" s="2">
        <f t="shared" si="101"/>
        <v>308</v>
      </c>
      <c r="B404" s="345" t="s">
        <v>387</v>
      </c>
      <c r="C404" s="346">
        <v>2024</v>
      </c>
      <c r="D404" s="59">
        <v>2583000</v>
      </c>
      <c r="E404" s="6">
        <f>D404*'16-PlantAdditions'!$E$103</f>
        <v>193725</v>
      </c>
      <c r="F404" s="6">
        <f t="shared" si="103"/>
        <v>2776725</v>
      </c>
      <c r="G404" s="59">
        <v>2583000</v>
      </c>
      <c r="H404" s="59">
        <v>0</v>
      </c>
      <c r="I404" s="6">
        <f>(G404-H404)*'16-PlantAdditions'!$E$103</f>
        <v>193725</v>
      </c>
      <c r="J404" s="6">
        <f t="shared" si="104"/>
        <v>1.4901161193847656E-7</v>
      </c>
      <c r="K404" s="6">
        <f t="shared" si="102"/>
        <v>-212122946.66999984</v>
      </c>
    </row>
    <row r="405" spans="1:11" ht="13">
      <c r="A405" s="2">
        <f t="shared" si="101"/>
        <v>309</v>
      </c>
      <c r="B405" s="345" t="s">
        <v>388</v>
      </c>
      <c r="C405" s="346">
        <v>2024</v>
      </c>
      <c r="D405" s="59">
        <v>2000000</v>
      </c>
      <c r="E405" s="6">
        <f>D405*'16-PlantAdditions'!$E$103</f>
        <v>150000</v>
      </c>
      <c r="F405" s="6">
        <f t="shared" si="103"/>
        <v>2150000</v>
      </c>
      <c r="G405" s="59">
        <v>2000000</v>
      </c>
      <c r="H405" s="59">
        <v>0</v>
      </c>
      <c r="I405" s="6">
        <f>(G405-H405)*'16-PlantAdditions'!$E$103</f>
        <v>150000</v>
      </c>
      <c r="J405" s="6">
        <f t="shared" si="104"/>
        <v>1.4901161193847656E-7</v>
      </c>
      <c r="K405" s="6">
        <f t="shared" si="102"/>
        <v>-212122946.66999984</v>
      </c>
    </row>
    <row r="406" spans="1:11" ht="13">
      <c r="A406" s="2">
        <f t="shared" si="101"/>
        <v>310</v>
      </c>
      <c r="B406" s="345" t="s">
        <v>389</v>
      </c>
      <c r="C406" s="346">
        <v>2024</v>
      </c>
      <c r="D406" s="59">
        <v>2000000</v>
      </c>
      <c r="E406" s="6">
        <f>D406*'16-PlantAdditions'!$E$103</f>
        <v>150000</v>
      </c>
      <c r="F406" s="6">
        <f t="shared" si="103"/>
        <v>2150000</v>
      </c>
      <c r="G406" s="59">
        <v>2000000</v>
      </c>
      <c r="H406" s="59">
        <v>0</v>
      </c>
      <c r="I406" s="6">
        <f>(G406-H406)*'16-PlantAdditions'!$E$103</f>
        <v>150000</v>
      </c>
      <c r="J406" s="6">
        <f t="shared" si="104"/>
        <v>1.4901161193847656E-7</v>
      </c>
      <c r="K406" s="6">
        <f t="shared" si="102"/>
        <v>-212122946.66999984</v>
      </c>
    </row>
    <row r="407" spans="1:11" ht="13">
      <c r="A407" s="2">
        <f t="shared" si="101"/>
        <v>311</v>
      </c>
      <c r="B407" s="345" t="s">
        <v>390</v>
      </c>
      <c r="C407" s="346">
        <v>2024</v>
      </c>
      <c r="D407" s="59">
        <v>2000000</v>
      </c>
      <c r="E407" s="6">
        <f>D407*'16-PlantAdditions'!$E$103</f>
        <v>150000</v>
      </c>
      <c r="F407" s="6">
        <f t="shared" ref="F407:F409" si="105">E407+D407</f>
        <v>2150000</v>
      </c>
      <c r="G407" s="59">
        <v>2000000</v>
      </c>
      <c r="H407" s="59">
        <v>0</v>
      </c>
      <c r="I407" s="6">
        <f>(G407-H407)*'16-PlantAdditions'!$E$103</f>
        <v>150000</v>
      </c>
      <c r="J407" s="6">
        <f t="shared" ref="J407:J408" si="106">J406+F407-G407-I407</f>
        <v>1.4901161193847656E-7</v>
      </c>
      <c r="K407" s="6">
        <f t="shared" si="102"/>
        <v>-212122946.66999984</v>
      </c>
    </row>
    <row r="408" spans="1:11" ht="13">
      <c r="A408" s="2">
        <f t="shared" si="101"/>
        <v>312</v>
      </c>
      <c r="B408" s="345" t="s">
        <v>391</v>
      </c>
      <c r="C408" s="346">
        <v>2024</v>
      </c>
      <c r="D408" s="59">
        <v>2000000</v>
      </c>
      <c r="E408" s="6">
        <f>D408*'16-PlantAdditions'!$E$103</f>
        <v>150000</v>
      </c>
      <c r="F408" s="6">
        <f t="shared" si="105"/>
        <v>2150000</v>
      </c>
      <c r="G408" s="59">
        <v>2000000</v>
      </c>
      <c r="H408" s="59">
        <v>0</v>
      </c>
      <c r="I408" s="6">
        <f>(G408-H408)*'16-PlantAdditions'!$E$103</f>
        <v>150000</v>
      </c>
      <c r="J408" s="6">
        <f t="shared" si="106"/>
        <v>1.4901161193847656E-7</v>
      </c>
      <c r="K408" s="6">
        <f t="shared" si="102"/>
        <v>-212122946.66999984</v>
      </c>
    </row>
    <row r="409" spans="1:11" ht="13">
      <c r="A409" s="2">
        <f t="shared" si="101"/>
        <v>313</v>
      </c>
      <c r="B409" s="345" t="s">
        <v>379</v>
      </c>
      <c r="C409" s="346">
        <v>2024</v>
      </c>
      <c r="D409" s="59">
        <v>2989000</v>
      </c>
      <c r="E409" s="6">
        <f>D409*'16-PlantAdditions'!$E$103</f>
        <v>224175</v>
      </c>
      <c r="F409" s="6">
        <f t="shared" si="105"/>
        <v>3213175</v>
      </c>
      <c r="G409" s="59">
        <v>2989000</v>
      </c>
      <c r="H409" s="59">
        <v>0</v>
      </c>
      <c r="I409" s="6">
        <f>(G409-H409)*'16-PlantAdditions'!$E$103</f>
        <v>224175</v>
      </c>
      <c r="J409" s="6">
        <f>J408+F409-G409-I409</f>
        <v>1.4901161193847656E-7</v>
      </c>
      <c r="K409" s="53">
        <f t="shared" si="102"/>
        <v>-212122946.66999984</v>
      </c>
    </row>
    <row r="410" spans="1:11" ht="13">
      <c r="A410" s="2">
        <f t="shared" si="101"/>
        <v>314</v>
      </c>
      <c r="C410" s="367" t="s">
        <v>997</v>
      </c>
      <c r="H410" s="253"/>
      <c r="I410" s="253"/>
      <c r="K410" s="42">
        <f>AVERAGE(K397:K409)</f>
        <v>-210638551.53461522</v>
      </c>
    </row>
    <row r="411" spans="1:11" ht="13">
      <c r="A411" s="2"/>
      <c r="C411" s="367"/>
      <c r="H411" s="253"/>
      <c r="I411" s="253"/>
      <c r="K411" s="42"/>
    </row>
    <row r="412" spans="1:11" ht="13">
      <c r="B412" s="34" t="s">
        <v>1022</v>
      </c>
      <c r="D412" s="1110" t="s">
        <v>980</v>
      </c>
      <c r="E412" s="1110"/>
    </row>
    <row r="413" spans="1:11" ht="13">
      <c r="A413" s="3"/>
      <c r="B413" s="3"/>
      <c r="C413" s="3"/>
      <c r="D413" s="3" t="s">
        <v>336</v>
      </c>
      <c r="E413" s="3" t="s">
        <v>337</v>
      </c>
      <c r="F413" s="3" t="s">
        <v>338</v>
      </c>
      <c r="G413" s="3" t="s">
        <v>339</v>
      </c>
      <c r="H413" s="3" t="s">
        <v>340</v>
      </c>
      <c r="I413" s="3" t="s">
        <v>341</v>
      </c>
      <c r="J413" s="3" t="s">
        <v>342</v>
      </c>
      <c r="K413" s="3" t="s">
        <v>343</v>
      </c>
    </row>
    <row r="414" spans="1:11" ht="25.5">
      <c r="D414" s="48"/>
      <c r="E414" s="368" t="s">
        <v>1001</v>
      </c>
      <c r="F414" s="253" t="s">
        <v>1002</v>
      </c>
      <c r="G414" s="253"/>
      <c r="H414" s="48"/>
      <c r="I414" s="368" t="s">
        <v>1003</v>
      </c>
      <c r="J414" s="368" t="s">
        <v>1004</v>
      </c>
      <c r="K414" s="368" t="s">
        <v>1005</v>
      </c>
    </row>
    <row r="415" spans="1:11" ht="13">
      <c r="D415" s="48"/>
      <c r="E415" s="368"/>
      <c r="F415" s="253"/>
      <c r="G415" s="4" t="str">
        <f>G85</f>
        <v>Unloaded</v>
      </c>
      <c r="H415" s="48"/>
      <c r="I415" s="368"/>
      <c r="J415" s="368"/>
      <c r="K415" s="368"/>
    </row>
    <row r="416" spans="1:11" ht="13">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1" ht="13">
      <c r="A417" s="30" t="s">
        <v>273</v>
      </c>
      <c r="B417" s="344" t="s">
        <v>371</v>
      </c>
      <c r="C417" s="344" t="s">
        <v>372</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1" ht="13">
      <c r="A418" s="2">
        <f>A410+1</f>
        <v>315</v>
      </c>
      <c r="B418" s="345" t="s">
        <v>379</v>
      </c>
      <c r="C418" s="346">
        <v>2022</v>
      </c>
      <c r="D418" s="253" t="s">
        <v>380</v>
      </c>
      <c r="E418" s="253" t="s">
        <v>380</v>
      </c>
      <c r="F418" s="253" t="s">
        <v>380</v>
      </c>
      <c r="G418" s="253" t="s">
        <v>380</v>
      </c>
      <c r="H418" s="253" t="s">
        <v>380</v>
      </c>
      <c r="I418" s="253" t="s">
        <v>380</v>
      </c>
      <c r="J418" s="6">
        <f>I45</f>
        <v>38488677.479999997</v>
      </c>
      <c r="K418" s="253" t="s">
        <v>380</v>
      </c>
    </row>
    <row r="419" spans="1:11" ht="13">
      <c r="A419" s="2">
        <f>A418+1</f>
        <v>316</v>
      </c>
      <c r="B419" s="345" t="s">
        <v>381</v>
      </c>
      <c r="C419" s="346">
        <v>2023</v>
      </c>
      <c r="D419" s="59">
        <v>71764.482000000004</v>
      </c>
      <c r="E419" s="6">
        <f>D419*'16-PlantAdditions'!$E$103</f>
        <v>5382.3361500000001</v>
      </c>
      <c r="F419" s="6">
        <f>E419+D419</f>
        <v>77146.818150000006</v>
      </c>
      <c r="G419" s="59">
        <v>0</v>
      </c>
      <c r="H419" s="59">
        <v>0</v>
      </c>
      <c r="I419" s="6">
        <f>(G419-H419)*'16-PlantAdditions'!$E$103</f>
        <v>0</v>
      </c>
      <c r="J419" s="6">
        <f t="shared" ref="J419:J442" si="109">J418+F419-G419-I419</f>
        <v>38565824.298149996</v>
      </c>
      <c r="K419" s="6">
        <f>J419-$J$418</f>
        <v>77146.818149998784</v>
      </c>
    </row>
    <row r="420" spans="1:11" ht="13">
      <c r="A420" s="2">
        <f t="shared" ref="A420:A443" si="110">A419+1</f>
        <v>317</v>
      </c>
      <c r="B420" s="345" t="s">
        <v>382</v>
      </c>
      <c r="C420" s="346">
        <v>2023</v>
      </c>
      <c r="D420" s="59">
        <v>123804.07400000001</v>
      </c>
      <c r="E420" s="6">
        <f>D420*'16-PlantAdditions'!$E$103</f>
        <v>9285.3055500000009</v>
      </c>
      <c r="F420" s="6">
        <f t="shared" ref="F420:F442" si="111">E420+D420</f>
        <v>133089.37955000001</v>
      </c>
      <c r="G420" s="59">
        <v>0</v>
      </c>
      <c r="H420" s="59">
        <v>0</v>
      </c>
      <c r="I420" s="6">
        <f>(G420-H420)*'16-PlantAdditions'!$E$103</f>
        <v>0</v>
      </c>
      <c r="J420" s="6">
        <f t="shared" si="109"/>
        <v>38698913.677699998</v>
      </c>
      <c r="K420" s="6">
        <f t="shared" ref="K420:K442" si="112">J420-$J$418</f>
        <v>210236.1977000013</v>
      </c>
    </row>
    <row r="421" spans="1:11" ht="13">
      <c r="A421" s="2">
        <f t="shared" si="110"/>
        <v>318</v>
      </c>
      <c r="B421" s="345" t="s">
        <v>383</v>
      </c>
      <c r="C421" s="346">
        <v>2023</v>
      </c>
      <c r="D421" s="59">
        <v>20576.017</v>
      </c>
      <c r="E421" s="6">
        <f>D421*'16-PlantAdditions'!$E$103</f>
        <v>1543.2012749999999</v>
      </c>
      <c r="F421" s="6">
        <f t="shared" si="111"/>
        <v>22119.218274999999</v>
      </c>
      <c r="G421" s="59">
        <v>0</v>
      </c>
      <c r="H421" s="59">
        <v>0</v>
      </c>
      <c r="I421" s="6">
        <f>(G421-H421)*'16-PlantAdditions'!$E$103</f>
        <v>0</v>
      </c>
      <c r="J421" s="6">
        <f t="shared" si="109"/>
        <v>38721032.895975001</v>
      </c>
      <c r="K421" s="6">
        <f t="shared" si="112"/>
        <v>232355.41597500443</v>
      </c>
    </row>
    <row r="422" spans="1:11" ht="13">
      <c r="A422" s="2">
        <f t="shared" si="110"/>
        <v>319</v>
      </c>
      <c r="B422" s="345" t="s">
        <v>384</v>
      </c>
      <c r="C422" s="346">
        <v>2023</v>
      </c>
      <c r="D422" s="59">
        <v>168459.10399999999</v>
      </c>
      <c r="E422" s="6">
        <f>D422*'16-PlantAdditions'!$E$103</f>
        <v>12634.432799999999</v>
      </c>
      <c r="F422" s="6">
        <f t="shared" si="111"/>
        <v>181093.5368</v>
      </c>
      <c r="G422" s="59">
        <v>0</v>
      </c>
      <c r="H422" s="59">
        <v>0</v>
      </c>
      <c r="I422" s="6">
        <f>(G422-H422)*'16-PlantAdditions'!$E$103</f>
        <v>0</v>
      </c>
      <c r="J422" s="6">
        <f t="shared" si="109"/>
        <v>38902126.432774998</v>
      </c>
      <c r="K422" s="6">
        <f t="shared" si="112"/>
        <v>413448.95277500153</v>
      </c>
    </row>
    <row r="423" spans="1:11" ht="13">
      <c r="A423" s="2">
        <f t="shared" si="110"/>
        <v>320</v>
      </c>
      <c r="B423" s="345" t="s">
        <v>385</v>
      </c>
      <c r="C423" s="346">
        <v>2023</v>
      </c>
      <c r="D423" s="59">
        <v>38445.001000000004</v>
      </c>
      <c r="E423" s="6">
        <f>D423*'16-PlantAdditions'!$E$103</f>
        <v>2883.3750750000004</v>
      </c>
      <c r="F423" s="6">
        <f t="shared" si="111"/>
        <v>41328.376075000007</v>
      </c>
      <c r="G423" s="59">
        <v>0</v>
      </c>
      <c r="H423" s="59">
        <v>0</v>
      </c>
      <c r="I423" s="6">
        <f>(G423-H423)*'16-PlantAdditions'!$E$103</f>
        <v>0</v>
      </c>
      <c r="J423" s="6">
        <f t="shared" si="109"/>
        <v>38943454.808849998</v>
      </c>
      <c r="K423" s="6">
        <f t="shared" si="112"/>
        <v>454777.3288500011</v>
      </c>
    </row>
    <row r="424" spans="1:11" ht="13">
      <c r="A424" s="2">
        <f t="shared" si="110"/>
        <v>321</v>
      </c>
      <c r="B424" s="345" t="s">
        <v>594</v>
      </c>
      <c r="C424" s="346">
        <v>2023</v>
      </c>
      <c r="D424" s="59">
        <v>177979</v>
      </c>
      <c r="E424" s="6">
        <f>D424*'16-PlantAdditions'!$E$103</f>
        <v>13348.424999999999</v>
      </c>
      <c r="F424" s="6">
        <f t="shared" si="111"/>
        <v>191327.42499999999</v>
      </c>
      <c r="G424" s="59">
        <v>0</v>
      </c>
      <c r="H424" s="59">
        <v>0</v>
      </c>
      <c r="I424" s="6">
        <f>(G424-H424)*'16-PlantAdditions'!$E$103</f>
        <v>0</v>
      </c>
      <c r="J424" s="6">
        <f t="shared" si="109"/>
        <v>39134782.233849995</v>
      </c>
      <c r="K424" s="6">
        <f t="shared" si="112"/>
        <v>646104.75384999812</v>
      </c>
    </row>
    <row r="425" spans="1:11" ht="13">
      <c r="A425" s="2">
        <f t="shared" si="110"/>
        <v>322</v>
      </c>
      <c r="B425" s="345" t="s">
        <v>387</v>
      </c>
      <c r="C425" s="346">
        <v>2023</v>
      </c>
      <c r="D425" s="59">
        <v>80497</v>
      </c>
      <c r="E425" s="6">
        <f>D425*'16-PlantAdditions'!$E$103</f>
        <v>6037.2749999999996</v>
      </c>
      <c r="F425" s="6">
        <f t="shared" si="111"/>
        <v>86534.274999999994</v>
      </c>
      <c r="G425" s="59">
        <v>0</v>
      </c>
      <c r="H425" s="59">
        <v>0</v>
      </c>
      <c r="I425" s="6">
        <f>(G425-H425)*'16-PlantAdditions'!$E$103</f>
        <v>0</v>
      </c>
      <c r="J425" s="6">
        <f t="shared" si="109"/>
        <v>39221316.508849993</v>
      </c>
      <c r="K425" s="6">
        <f t="shared" si="112"/>
        <v>732639.02884999663</v>
      </c>
    </row>
    <row r="426" spans="1:11" ht="13">
      <c r="A426" s="2">
        <f t="shared" si="110"/>
        <v>323</v>
      </c>
      <c r="B426" s="345" t="s">
        <v>388</v>
      </c>
      <c r="C426" s="346">
        <v>2023</v>
      </c>
      <c r="D426" s="59">
        <v>40497</v>
      </c>
      <c r="E426" s="6">
        <f>D426*'16-PlantAdditions'!$E$103</f>
        <v>3037.2750000000001</v>
      </c>
      <c r="F426" s="6">
        <f t="shared" si="111"/>
        <v>43534.275000000001</v>
      </c>
      <c r="G426" s="59">
        <v>0</v>
      </c>
      <c r="H426" s="59">
        <v>0</v>
      </c>
      <c r="I426" s="6">
        <f>(G426-H426)*'16-PlantAdditions'!$E$103</f>
        <v>0</v>
      </c>
      <c r="J426" s="6">
        <f t="shared" si="109"/>
        <v>39264850.783849992</v>
      </c>
      <c r="K426" s="6">
        <f t="shared" si="112"/>
        <v>776173.30384999514</v>
      </c>
    </row>
    <row r="427" spans="1:11" ht="13">
      <c r="A427" s="2">
        <f t="shared" si="110"/>
        <v>324</v>
      </c>
      <c r="B427" s="345" t="s">
        <v>389</v>
      </c>
      <c r="C427" s="346">
        <v>2023</v>
      </c>
      <c r="D427" s="59">
        <v>20783</v>
      </c>
      <c r="E427" s="6">
        <f>D427*'16-PlantAdditions'!$E$103</f>
        <v>1558.7249999999999</v>
      </c>
      <c r="F427" s="6">
        <f t="shared" si="111"/>
        <v>22341.724999999999</v>
      </c>
      <c r="G427" s="59">
        <v>0</v>
      </c>
      <c r="H427" s="59">
        <v>0</v>
      </c>
      <c r="I427" s="6">
        <f>(G427-H427)*'16-PlantAdditions'!$E$103</f>
        <v>0</v>
      </c>
      <c r="J427" s="6">
        <f t="shared" si="109"/>
        <v>39287192.508849993</v>
      </c>
      <c r="K427" s="6">
        <f t="shared" si="112"/>
        <v>798515.02884999663</v>
      </c>
    </row>
    <row r="428" spans="1:11" ht="13">
      <c r="A428" s="2">
        <f t="shared" si="110"/>
        <v>325</v>
      </c>
      <c r="B428" s="345" t="s">
        <v>390</v>
      </c>
      <c r="C428" s="346">
        <v>2023</v>
      </c>
      <c r="D428" s="59">
        <v>20997</v>
      </c>
      <c r="E428" s="6">
        <f>D428*'16-PlantAdditions'!$E$103</f>
        <v>1574.7749999999999</v>
      </c>
      <c r="F428" s="6">
        <f t="shared" si="111"/>
        <v>22571.775000000001</v>
      </c>
      <c r="G428" s="59">
        <v>0</v>
      </c>
      <c r="H428" s="59">
        <v>0</v>
      </c>
      <c r="I428" s="6">
        <f>(G428-H428)*'16-PlantAdditions'!$E$103</f>
        <v>0</v>
      </c>
      <c r="J428" s="6">
        <f t="shared" si="109"/>
        <v>39309764.283849992</v>
      </c>
      <c r="K428" s="6">
        <f t="shared" si="112"/>
        <v>821086.80384999514</v>
      </c>
    </row>
    <row r="429" spans="1:11" ht="13">
      <c r="A429" s="2">
        <f t="shared" si="110"/>
        <v>326</v>
      </c>
      <c r="B429" s="345" t="s">
        <v>391</v>
      </c>
      <c r="C429" s="346">
        <v>2023</v>
      </c>
      <c r="D429" s="59">
        <v>50257.999999999993</v>
      </c>
      <c r="E429" s="6">
        <f>D429*'16-PlantAdditions'!$E$103</f>
        <v>3769.3499999999995</v>
      </c>
      <c r="F429" s="6">
        <f t="shared" si="111"/>
        <v>54027.349999999991</v>
      </c>
      <c r="G429" s="59">
        <v>0</v>
      </c>
      <c r="H429" s="59">
        <v>0</v>
      </c>
      <c r="I429" s="6">
        <f>(G429-H429)*'16-PlantAdditions'!$E$103</f>
        <v>0</v>
      </c>
      <c r="J429" s="6">
        <f t="shared" si="109"/>
        <v>39363791.633849993</v>
      </c>
      <c r="K429" s="6">
        <f t="shared" si="112"/>
        <v>875114.15384999663</v>
      </c>
    </row>
    <row r="430" spans="1:11" ht="13">
      <c r="A430" s="2">
        <f t="shared" si="110"/>
        <v>327</v>
      </c>
      <c r="B430" s="345" t="s">
        <v>379</v>
      </c>
      <c r="C430" s="346">
        <v>2023</v>
      </c>
      <c r="D430" s="59">
        <v>83475.321999999986</v>
      </c>
      <c r="E430" s="6">
        <f>D430*'16-PlantAdditions'!$E$103</f>
        <v>6260.6491499999984</v>
      </c>
      <c r="F430" s="6">
        <f t="shared" si="111"/>
        <v>89735.971149999983</v>
      </c>
      <c r="G430" s="59">
        <v>0</v>
      </c>
      <c r="H430" s="59">
        <v>0</v>
      </c>
      <c r="I430" s="6">
        <f>(G430-H430)*'16-PlantAdditions'!$E$103</f>
        <v>0</v>
      </c>
      <c r="J430" s="6">
        <f t="shared" si="109"/>
        <v>39453527.604999997</v>
      </c>
      <c r="K430" s="6">
        <f t="shared" si="112"/>
        <v>964850.125</v>
      </c>
    </row>
    <row r="431" spans="1:11" ht="13">
      <c r="A431" s="2">
        <f t="shared" si="110"/>
        <v>328</v>
      </c>
      <c r="B431" s="345" t="s">
        <v>381</v>
      </c>
      <c r="C431" s="346">
        <v>2024</v>
      </c>
      <c r="D431" s="59">
        <v>74875.666999999987</v>
      </c>
      <c r="E431" s="6">
        <f>D431*'16-PlantAdditions'!$E$103</f>
        <v>5615.6750249999986</v>
      </c>
      <c r="F431" s="6">
        <f t="shared" si="111"/>
        <v>80491.342024999991</v>
      </c>
      <c r="G431" s="59">
        <v>0</v>
      </c>
      <c r="H431" s="59">
        <v>0</v>
      </c>
      <c r="I431" s="6">
        <f>(G431-H431)*'16-PlantAdditions'!$E$103</f>
        <v>0</v>
      </c>
      <c r="J431" s="6">
        <f t="shared" si="109"/>
        <v>39534018.947024994</v>
      </c>
      <c r="K431" s="6">
        <f t="shared" si="112"/>
        <v>1045341.4670249969</v>
      </c>
    </row>
    <row r="432" spans="1:11" ht="13">
      <c r="A432" s="2">
        <f t="shared" si="110"/>
        <v>329</v>
      </c>
      <c r="B432" s="345" t="s">
        <v>382</v>
      </c>
      <c r="C432" s="346">
        <v>2024</v>
      </c>
      <c r="D432" s="59">
        <v>74875.666999999987</v>
      </c>
      <c r="E432" s="6">
        <f>D432*'16-PlantAdditions'!$E$103</f>
        <v>5615.6750249999986</v>
      </c>
      <c r="F432" s="6">
        <f t="shared" si="111"/>
        <v>80491.342024999991</v>
      </c>
      <c r="G432" s="59">
        <v>0</v>
      </c>
      <c r="H432" s="59">
        <v>0</v>
      </c>
      <c r="I432" s="6">
        <f>(G432-H432)*'16-PlantAdditions'!$E$103</f>
        <v>0</v>
      </c>
      <c r="J432" s="6">
        <f t="shared" si="109"/>
        <v>39614510.28904999</v>
      </c>
      <c r="K432" s="6">
        <f t="shared" si="112"/>
        <v>1125832.8090499938</v>
      </c>
    </row>
    <row r="433" spans="1:11" ht="13">
      <c r="A433" s="2">
        <f t="shared" si="110"/>
        <v>330</v>
      </c>
      <c r="B433" s="345" t="s">
        <v>383</v>
      </c>
      <c r="C433" s="346">
        <v>2024</v>
      </c>
      <c r="D433" s="59">
        <v>74875.666999999987</v>
      </c>
      <c r="E433" s="6">
        <f>D433*'16-PlantAdditions'!$E$103</f>
        <v>5615.6750249999986</v>
      </c>
      <c r="F433" s="6">
        <f t="shared" si="111"/>
        <v>80491.342024999991</v>
      </c>
      <c r="G433" s="59">
        <v>0</v>
      </c>
      <c r="H433" s="59">
        <v>0</v>
      </c>
      <c r="I433" s="6">
        <f>(G433-H433)*'16-PlantAdditions'!$E$103</f>
        <v>0</v>
      </c>
      <c r="J433" s="6">
        <f t="shared" si="109"/>
        <v>39695001.631074987</v>
      </c>
      <c r="K433" s="6">
        <f t="shared" si="112"/>
        <v>1206324.1510749906</v>
      </c>
    </row>
    <row r="434" spans="1:11" ht="13">
      <c r="A434" s="2">
        <f t="shared" si="110"/>
        <v>331</v>
      </c>
      <c r="B434" s="345" t="s">
        <v>384</v>
      </c>
      <c r="C434" s="346">
        <v>2024</v>
      </c>
      <c r="D434" s="59">
        <v>74875.666999999987</v>
      </c>
      <c r="E434" s="6">
        <f>D434*'16-PlantAdditions'!$E$103</f>
        <v>5615.6750249999986</v>
      </c>
      <c r="F434" s="6">
        <f t="shared" si="111"/>
        <v>80491.342024999991</v>
      </c>
      <c r="G434" s="59">
        <v>0</v>
      </c>
      <c r="H434" s="59">
        <v>0</v>
      </c>
      <c r="I434" s="6">
        <f>(G434-H434)*'16-PlantAdditions'!$E$103</f>
        <v>0</v>
      </c>
      <c r="J434" s="6">
        <f t="shared" si="109"/>
        <v>39775492.973099984</v>
      </c>
      <c r="K434" s="6">
        <f t="shared" si="112"/>
        <v>1286815.4930999875</v>
      </c>
    </row>
    <row r="435" spans="1:11" ht="13">
      <c r="A435" s="2">
        <f t="shared" si="110"/>
        <v>332</v>
      </c>
      <c r="B435" s="345" t="s">
        <v>385</v>
      </c>
      <c r="C435" s="346">
        <v>2024</v>
      </c>
      <c r="D435" s="59">
        <v>74875.666999999987</v>
      </c>
      <c r="E435" s="6">
        <f>D435*'16-PlantAdditions'!$E$103</f>
        <v>5615.6750249999986</v>
      </c>
      <c r="F435" s="6">
        <f t="shared" si="111"/>
        <v>80491.342024999991</v>
      </c>
      <c r="G435" s="59">
        <v>0</v>
      </c>
      <c r="H435" s="59">
        <v>0</v>
      </c>
      <c r="I435" s="6">
        <f>(G435-H435)*'16-PlantAdditions'!$E$103</f>
        <v>0</v>
      </c>
      <c r="J435" s="6">
        <f t="shared" si="109"/>
        <v>39855984.315124981</v>
      </c>
      <c r="K435" s="6">
        <f t="shared" si="112"/>
        <v>1367306.8351249844</v>
      </c>
    </row>
    <row r="436" spans="1:11" ht="13">
      <c r="A436" s="2">
        <f t="shared" si="110"/>
        <v>333</v>
      </c>
      <c r="B436" s="345" t="s">
        <v>594</v>
      </c>
      <c r="C436" s="346">
        <v>2024</v>
      </c>
      <c r="D436" s="59">
        <v>74875.666999999987</v>
      </c>
      <c r="E436" s="6">
        <f>D436*'16-PlantAdditions'!$E$103</f>
        <v>5615.6750249999986</v>
      </c>
      <c r="F436" s="6">
        <f t="shared" si="111"/>
        <v>80491.342024999991</v>
      </c>
      <c r="G436" s="59">
        <v>0</v>
      </c>
      <c r="H436" s="59">
        <v>0</v>
      </c>
      <c r="I436" s="6">
        <f>(G436-H436)*'16-PlantAdditions'!$E$103</f>
        <v>0</v>
      </c>
      <c r="J436" s="6">
        <f t="shared" si="109"/>
        <v>39936475.657149978</v>
      </c>
      <c r="K436" s="6">
        <f t="shared" si="112"/>
        <v>1447798.1771499813</v>
      </c>
    </row>
    <row r="437" spans="1:11" ht="13">
      <c r="A437" s="2">
        <f t="shared" si="110"/>
        <v>334</v>
      </c>
      <c r="B437" s="345" t="s">
        <v>387</v>
      </c>
      <c r="C437" s="346">
        <v>2024</v>
      </c>
      <c r="D437" s="59">
        <v>74875.666999999987</v>
      </c>
      <c r="E437" s="6">
        <f>D437*'16-PlantAdditions'!$E$103</f>
        <v>5615.6750249999986</v>
      </c>
      <c r="F437" s="6">
        <f t="shared" si="111"/>
        <v>80491.342024999991</v>
      </c>
      <c r="G437" s="59">
        <v>0</v>
      </c>
      <c r="H437" s="59">
        <v>0</v>
      </c>
      <c r="I437" s="6">
        <f>(G437-H437)*'16-PlantAdditions'!$E$103</f>
        <v>0</v>
      </c>
      <c r="J437" s="6">
        <f t="shared" si="109"/>
        <v>40016966.999174975</v>
      </c>
      <c r="K437" s="6">
        <f t="shared" si="112"/>
        <v>1528289.5191749781</v>
      </c>
    </row>
    <row r="438" spans="1:11" ht="13">
      <c r="A438" s="2">
        <f t="shared" si="110"/>
        <v>335</v>
      </c>
      <c r="B438" s="345" t="s">
        <v>388</v>
      </c>
      <c r="C438" s="346">
        <v>2024</v>
      </c>
      <c r="D438" s="59">
        <v>74875.666999999987</v>
      </c>
      <c r="E438" s="6">
        <f>D438*'16-PlantAdditions'!$E$103</f>
        <v>5615.6750249999986</v>
      </c>
      <c r="F438" s="6">
        <f t="shared" si="111"/>
        <v>80491.342024999991</v>
      </c>
      <c r="G438" s="59">
        <v>0</v>
      </c>
      <c r="H438" s="59">
        <v>0</v>
      </c>
      <c r="I438" s="6">
        <f>(G438-H438)*'16-PlantAdditions'!$E$103</f>
        <v>0</v>
      </c>
      <c r="J438" s="6">
        <f t="shared" si="109"/>
        <v>40097458.341199972</v>
      </c>
      <c r="K438" s="6">
        <f t="shared" si="112"/>
        <v>1608780.861199975</v>
      </c>
    </row>
    <row r="439" spans="1:11" ht="13">
      <c r="A439" s="2">
        <f t="shared" si="110"/>
        <v>336</v>
      </c>
      <c r="B439" s="345" t="s">
        <v>389</v>
      </c>
      <c r="C439" s="346">
        <v>2024</v>
      </c>
      <c r="D439" s="59">
        <v>74875.666999999987</v>
      </c>
      <c r="E439" s="6">
        <f>D439*'16-PlantAdditions'!$E$103</f>
        <v>5615.6750249999986</v>
      </c>
      <c r="F439" s="6">
        <f t="shared" si="111"/>
        <v>80491.342024999991</v>
      </c>
      <c r="G439" s="59">
        <v>0</v>
      </c>
      <c r="H439" s="59">
        <v>0</v>
      </c>
      <c r="I439" s="6">
        <f>(G439-H439)*'16-PlantAdditions'!$E$103</f>
        <v>0</v>
      </c>
      <c r="J439" s="6">
        <f t="shared" si="109"/>
        <v>40177949.683224969</v>
      </c>
      <c r="K439" s="6">
        <f t="shared" si="112"/>
        <v>1689272.2032249719</v>
      </c>
    </row>
    <row r="440" spans="1:11" ht="13">
      <c r="A440" s="2">
        <f t="shared" si="110"/>
        <v>337</v>
      </c>
      <c r="B440" s="345" t="s">
        <v>390</v>
      </c>
      <c r="C440" s="346">
        <v>2024</v>
      </c>
      <c r="D440" s="59">
        <v>74875.666999999987</v>
      </c>
      <c r="E440" s="6">
        <f>D440*'16-PlantAdditions'!$E$103</f>
        <v>5615.6750249999986</v>
      </c>
      <c r="F440" s="6">
        <f t="shared" si="111"/>
        <v>80491.342024999991</v>
      </c>
      <c r="G440" s="59">
        <v>0</v>
      </c>
      <c r="H440" s="59">
        <v>0</v>
      </c>
      <c r="I440" s="6">
        <f>(G440-H440)*'16-PlantAdditions'!$E$103</f>
        <v>0</v>
      </c>
      <c r="J440" s="6">
        <f t="shared" si="109"/>
        <v>40258441.025249965</v>
      </c>
      <c r="K440" s="6">
        <f t="shared" si="112"/>
        <v>1769763.5452499688</v>
      </c>
    </row>
    <row r="441" spans="1:11" ht="13">
      <c r="A441" s="2">
        <f t="shared" si="110"/>
        <v>338</v>
      </c>
      <c r="B441" s="345" t="s">
        <v>391</v>
      </c>
      <c r="C441" s="346">
        <v>2024</v>
      </c>
      <c r="D441" s="59">
        <v>74875.666999999987</v>
      </c>
      <c r="E441" s="6">
        <f>D441*'16-PlantAdditions'!$E$103</f>
        <v>5615.6750249999986</v>
      </c>
      <c r="F441" s="6">
        <f t="shared" si="111"/>
        <v>80491.342024999991</v>
      </c>
      <c r="G441" s="59">
        <v>0</v>
      </c>
      <c r="H441" s="59">
        <v>0</v>
      </c>
      <c r="I441" s="6">
        <f>(G441-H441)*'16-PlantAdditions'!$E$103</f>
        <v>0</v>
      </c>
      <c r="J441" s="6">
        <f t="shared" si="109"/>
        <v>40338932.367274962</v>
      </c>
      <c r="K441" s="6">
        <f t="shared" si="112"/>
        <v>1850254.8872749656</v>
      </c>
    </row>
    <row r="442" spans="1:11" ht="13">
      <c r="A442" s="2">
        <f t="shared" si="110"/>
        <v>339</v>
      </c>
      <c r="B442" s="345" t="s">
        <v>379</v>
      </c>
      <c r="C442" s="346">
        <v>2024</v>
      </c>
      <c r="D442" s="59">
        <v>74875.666999999987</v>
      </c>
      <c r="E442" s="6">
        <f>D442*'16-PlantAdditions'!$E$103</f>
        <v>5615.6750249999986</v>
      </c>
      <c r="F442" s="6">
        <f t="shared" si="111"/>
        <v>80491.342024999991</v>
      </c>
      <c r="G442" s="59">
        <v>0</v>
      </c>
      <c r="H442" s="59">
        <v>0</v>
      </c>
      <c r="I442" s="6">
        <f>(G442-H442)*'16-PlantAdditions'!$E$103</f>
        <v>0</v>
      </c>
      <c r="J442" s="6">
        <f t="shared" si="109"/>
        <v>40419423.709299959</v>
      </c>
      <c r="K442" s="53">
        <f t="shared" si="112"/>
        <v>1930746.2292999625</v>
      </c>
    </row>
    <row r="443" spans="1:11" ht="13">
      <c r="A443" s="2">
        <f t="shared" si="110"/>
        <v>340</v>
      </c>
      <c r="C443" s="367" t="s">
        <v>997</v>
      </c>
      <c r="H443" s="253"/>
      <c r="I443" s="253"/>
      <c r="K443" s="42">
        <f>AVERAGE(K430:K442)</f>
        <v>1447798.1771499813</v>
      </c>
    </row>
    <row r="445" spans="1:11" ht="13">
      <c r="B445" s="34" t="s">
        <v>1023</v>
      </c>
      <c r="D445" s="254" t="s">
        <v>1024</v>
      </c>
      <c r="E445" s="254"/>
      <c r="F445" s="54"/>
      <c r="G445" s="54"/>
    </row>
    <row r="446" spans="1:11" ht="13">
      <c r="A446" s="3"/>
      <c r="B446" s="3"/>
      <c r="C446" s="3"/>
      <c r="D446" s="3" t="s">
        <v>336</v>
      </c>
      <c r="E446" s="3" t="s">
        <v>337</v>
      </c>
      <c r="F446" s="3" t="s">
        <v>338</v>
      </c>
      <c r="G446" s="3" t="s">
        <v>339</v>
      </c>
      <c r="H446" s="3" t="s">
        <v>340</v>
      </c>
      <c r="I446" s="3" t="s">
        <v>341</v>
      </c>
      <c r="J446" s="3" t="s">
        <v>342</v>
      </c>
      <c r="K446" s="3" t="s">
        <v>343</v>
      </c>
    </row>
    <row r="447" spans="1:11" ht="25.5">
      <c r="D447" s="48"/>
      <c r="E447" s="368" t="s">
        <v>1001</v>
      </c>
      <c r="F447" s="253" t="s">
        <v>1002</v>
      </c>
      <c r="G447" s="253"/>
      <c r="H447" s="48"/>
      <c r="I447" s="368" t="s">
        <v>1003</v>
      </c>
      <c r="J447" s="368" t="s">
        <v>1004</v>
      </c>
      <c r="K447" s="368" t="s">
        <v>1005</v>
      </c>
    </row>
    <row r="448" spans="1:11" ht="13">
      <c r="D448" s="48"/>
      <c r="E448" s="368"/>
      <c r="F448" s="253"/>
      <c r="G448" s="4" t="str">
        <f>G118</f>
        <v>Unloaded</v>
      </c>
      <c r="H448" s="48"/>
      <c r="I448" s="368"/>
      <c r="J448" s="368"/>
      <c r="K448" s="368"/>
    </row>
    <row r="449" spans="1:11" ht="13">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ht="13">
      <c r="A450" s="30" t="s">
        <v>273</v>
      </c>
      <c r="B450" s="344" t="s">
        <v>371</v>
      </c>
      <c r="C450" s="344" t="s">
        <v>372</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ht="13">
      <c r="A451" s="2">
        <f>A443+1</f>
        <v>341</v>
      </c>
      <c r="B451" s="345" t="s">
        <v>379</v>
      </c>
      <c r="C451" s="346">
        <v>2022</v>
      </c>
      <c r="D451" s="253" t="s">
        <v>380</v>
      </c>
      <c r="E451" s="253" t="s">
        <v>380</v>
      </c>
      <c r="F451" s="253" t="s">
        <v>380</v>
      </c>
      <c r="G451" s="253" t="s">
        <v>380</v>
      </c>
      <c r="H451" s="253" t="s">
        <v>380</v>
      </c>
      <c r="I451" s="253" t="s">
        <v>380</v>
      </c>
      <c r="J451" s="6">
        <v>0</v>
      </c>
      <c r="K451" s="253" t="s">
        <v>380</v>
      </c>
    </row>
    <row r="452" spans="1:11" ht="13">
      <c r="A452" s="2">
        <f>A451+1</f>
        <v>342</v>
      </c>
      <c r="B452" s="345" t="s">
        <v>381</v>
      </c>
      <c r="C452" s="346">
        <v>2023</v>
      </c>
      <c r="D452" s="59"/>
      <c r="E452" s="6">
        <f>D452*'16-PlantAdditions'!$E$103</f>
        <v>0</v>
      </c>
      <c r="F452" s="6">
        <f>E452+D452</f>
        <v>0</v>
      </c>
      <c r="G452" s="59"/>
      <c r="H452" s="59"/>
      <c r="I452" s="6">
        <f>(G452-H452)*'16-PlantAdditions'!$E$103</f>
        <v>0</v>
      </c>
      <c r="J452" s="6">
        <f>J451+F452-G452-I452</f>
        <v>0</v>
      </c>
      <c r="K452" s="6">
        <f>J452-$J$451</f>
        <v>0</v>
      </c>
    </row>
    <row r="453" spans="1:11" ht="13">
      <c r="A453" s="2">
        <f t="shared" ref="A453:A476" si="115">A452+1</f>
        <v>343</v>
      </c>
      <c r="B453" s="345" t="s">
        <v>382</v>
      </c>
      <c r="C453" s="346">
        <v>2023</v>
      </c>
      <c r="D453" s="59"/>
      <c r="E453" s="6">
        <f>D453*'16-PlantAdditions'!$E$103</f>
        <v>0</v>
      </c>
      <c r="F453" s="6">
        <f t="shared" ref="F453:F475" si="116">E453+D453</f>
        <v>0</v>
      </c>
      <c r="G453" s="59"/>
      <c r="H453" s="59"/>
      <c r="I453" s="6">
        <f>(G453-H453)*'16-PlantAdditions'!$E$103</f>
        <v>0</v>
      </c>
      <c r="J453" s="6">
        <f t="shared" ref="J453:J475" si="117">J452+F453-G453-I453</f>
        <v>0</v>
      </c>
      <c r="K453" s="6">
        <f t="shared" ref="K453:K475" si="118">J453-$J$451</f>
        <v>0</v>
      </c>
    </row>
    <row r="454" spans="1:11" ht="13">
      <c r="A454" s="2">
        <f t="shared" si="115"/>
        <v>344</v>
      </c>
      <c r="B454" s="345" t="s">
        <v>383</v>
      </c>
      <c r="C454" s="346">
        <v>2023</v>
      </c>
      <c r="D454" s="59"/>
      <c r="E454" s="6">
        <f>D454*'16-PlantAdditions'!$E$103</f>
        <v>0</v>
      </c>
      <c r="F454" s="6">
        <f t="shared" si="116"/>
        <v>0</v>
      </c>
      <c r="G454" s="59"/>
      <c r="H454" s="59"/>
      <c r="I454" s="6">
        <f>(G454-H454)*'16-PlantAdditions'!$E$103</f>
        <v>0</v>
      </c>
      <c r="J454" s="6">
        <f t="shared" si="117"/>
        <v>0</v>
      </c>
      <c r="K454" s="6">
        <f t="shared" si="118"/>
        <v>0</v>
      </c>
    </row>
    <row r="455" spans="1:11" ht="13">
      <c r="A455" s="2">
        <f t="shared" si="115"/>
        <v>345</v>
      </c>
      <c r="B455" s="345" t="s">
        <v>384</v>
      </c>
      <c r="C455" s="346">
        <v>2023</v>
      </c>
      <c r="D455" s="59"/>
      <c r="E455" s="6">
        <f>D455*'16-PlantAdditions'!$E$103</f>
        <v>0</v>
      </c>
      <c r="F455" s="6">
        <f t="shared" si="116"/>
        <v>0</v>
      </c>
      <c r="G455" s="59"/>
      <c r="H455" s="59"/>
      <c r="I455" s="6">
        <f>(G455-H455)*'16-PlantAdditions'!$E$103</f>
        <v>0</v>
      </c>
      <c r="J455" s="6">
        <f t="shared" si="117"/>
        <v>0</v>
      </c>
      <c r="K455" s="6">
        <f t="shared" si="118"/>
        <v>0</v>
      </c>
    </row>
    <row r="456" spans="1:11" ht="13">
      <c r="A456" s="2">
        <f t="shared" si="115"/>
        <v>346</v>
      </c>
      <c r="B456" s="345" t="s">
        <v>385</v>
      </c>
      <c r="C456" s="346">
        <v>2023</v>
      </c>
      <c r="D456" s="59"/>
      <c r="E456" s="6">
        <f>D456*'16-PlantAdditions'!$E$103</f>
        <v>0</v>
      </c>
      <c r="F456" s="6">
        <f t="shared" si="116"/>
        <v>0</v>
      </c>
      <c r="G456" s="59"/>
      <c r="H456" s="59"/>
      <c r="I456" s="6">
        <f>(G456-H456)*'16-PlantAdditions'!$E$103</f>
        <v>0</v>
      </c>
      <c r="J456" s="6">
        <f t="shared" si="117"/>
        <v>0</v>
      </c>
      <c r="K456" s="6">
        <f t="shared" si="118"/>
        <v>0</v>
      </c>
    </row>
    <row r="457" spans="1:11" ht="13">
      <c r="A457" s="2">
        <f t="shared" si="115"/>
        <v>347</v>
      </c>
      <c r="B457" s="345" t="s">
        <v>594</v>
      </c>
      <c r="C457" s="346">
        <v>2023</v>
      </c>
      <c r="D457" s="59"/>
      <c r="E457" s="6">
        <f>D457*'16-PlantAdditions'!$E$103</f>
        <v>0</v>
      </c>
      <c r="F457" s="6">
        <f t="shared" si="116"/>
        <v>0</v>
      </c>
      <c r="G457" s="59"/>
      <c r="H457" s="59"/>
      <c r="I457" s="6">
        <f>(G457-H457)*'16-PlantAdditions'!$E$103</f>
        <v>0</v>
      </c>
      <c r="J457" s="6">
        <f t="shared" si="117"/>
        <v>0</v>
      </c>
      <c r="K457" s="6">
        <f t="shared" si="118"/>
        <v>0</v>
      </c>
    </row>
    <row r="458" spans="1:11" ht="13">
      <c r="A458" s="2">
        <f t="shared" si="115"/>
        <v>348</v>
      </c>
      <c r="B458" s="345" t="s">
        <v>387</v>
      </c>
      <c r="C458" s="346">
        <v>2023</v>
      </c>
      <c r="D458" s="59"/>
      <c r="E458" s="6">
        <f>D458*'16-PlantAdditions'!$E$103</f>
        <v>0</v>
      </c>
      <c r="F458" s="6">
        <f t="shared" si="116"/>
        <v>0</v>
      </c>
      <c r="G458" s="59"/>
      <c r="H458" s="59"/>
      <c r="I458" s="6">
        <f>(G458-H458)*'16-PlantAdditions'!$E$103</f>
        <v>0</v>
      </c>
      <c r="J458" s="6">
        <f t="shared" si="117"/>
        <v>0</v>
      </c>
      <c r="K458" s="6">
        <f t="shared" si="118"/>
        <v>0</v>
      </c>
    </row>
    <row r="459" spans="1:11" ht="13">
      <c r="A459" s="2">
        <f t="shared" si="115"/>
        <v>349</v>
      </c>
      <c r="B459" s="345" t="s">
        <v>388</v>
      </c>
      <c r="C459" s="346">
        <v>2023</v>
      </c>
      <c r="D459" s="59"/>
      <c r="E459" s="6">
        <f>D459*'16-PlantAdditions'!$E$103</f>
        <v>0</v>
      </c>
      <c r="F459" s="6">
        <f t="shared" si="116"/>
        <v>0</v>
      </c>
      <c r="G459" s="59"/>
      <c r="H459" s="59"/>
      <c r="I459" s="6">
        <f>(G459-H459)*'16-PlantAdditions'!$E$103</f>
        <v>0</v>
      </c>
      <c r="J459" s="6">
        <f t="shared" si="117"/>
        <v>0</v>
      </c>
      <c r="K459" s="6">
        <f t="shared" si="118"/>
        <v>0</v>
      </c>
    </row>
    <row r="460" spans="1:11" ht="13">
      <c r="A460" s="2">
        <f t="shared" si="115"/>
        <v>350</v>
      </c>
      <c r="B460" s="345" t="s">
        <v>389</v>
      </c>
      <c r="C460" s="346">
        <v>2023</v>
      </c>
      <c r="D460" s="59"/>
      <c r="E460" s="6">
        <f>D460*'16-PlantAdditions'!$E$103</f>
        <v>0</v>
      </c>
      <c r="F460" s="6">
        <f t="shared" si="116"/>
        <v>0</v>
      </c>
      <c r="G460" s="59"/>
      <c r="H460" s="59"/>
      <c r="I460" s="6">
        <f>(G460-H460)*'16-PlantAdditions'!$E$103</f>
        <v>0</v>
      </c>
      <c r="J460" s="6">
        <f t="shared" si="117"/>
        <v>0</v>
      </c>
      <c r="K460" s="6">
        <f t="shared" si="118"/>
        <v>0</v>
      </c>
    </row>
    <row r="461" spans="1:11" ht="13">
      <c r="A461" s="2">
        <f t="shared" si="115"/>
        <v>351</v>
      </c>
      <c r="B461" s="345" t="s">
        <v>390</v>
      </c>
      <c r="C461" s="346">
        <v>2023</v>
      </c>
      <c r="D461" s="59"/>
      <c r="E461" s="6">
        <f>D461*'16-PlantAdditions'!$E$103</f>
        <v>0</v>
      </c>
      <c r="F461" s="6">
        <f t="shared" si="116"/>
        <v>0</v>
      </c>
      <c r="G461" s="59"/>
      <c r="H461" s="59"/>
      <c r="I461" s="6">
        <f>(G461-H461)*'16-PlantAdditions'!$E$103</f>
        <v>0</v>
      </c>
      <c r="J461" s="6">
        <f t="shared" si="117"/>
        <v>0</v>
      </c>
      <c r="K461" s="6">
        <f t="shared" si="118"/>
        <v>0</v>
      </c>
    </row>
    <row r="462" spans="1:11" ht="13">
      <c r="A462" s="2">
        <f t="shared" si="115"/>
        <v>352</v>
      </c>
      <c r="B462" s="345" t="s">
        <v>391</v>
      </c>
      <c r="C462" s="346">
        <v>2023</v>
      </c>
      <c r="D462" s="59"/>
      <c r="E462" s="6">
        <f>D462*'16-PlantAdditions'!$E$103</f>
        <v>0</v>
      </c>
      <c r="F462" s="6">
        <f t="shared" si="116"/>
        <v>0</v>
      </c>
      <c r="G462" s="59"/>
      <c r="H462" s="59"/>
      <c r="I462" s="6">
        <f>(G462-H462)*'16-PlantAdditions'!$E$103</f>
        <v>0</v>
      </c>
      <c r="J462" s="6">
        <f t="shared" si="117"/>
        <v>0</v>
      </c>
      <c r="K462" s="6">
        <f t="shared" si="118"/>
        <v>0</v>
      </c>
    </row>
    <row r="463" spans="1:11" ht="13">
      <c r="A463" s="2">
        <f t="shared" si="115"/>
        <v>353</v>
      </c>
      <c r="B463" s="345" t="s">
        <v>379</v>
      </c>
      <c r="C463" s="346">
        <v>2023</v>
      </c>
      <c r="D463" s="59"/>
      <c r="E463" s="6">
        <f>D463*'16-PlantAdditions'!$E$103</f>
        <v>0</v>
      </c>
      <c r="F463" s="6">
        <f t="shared" si="116"/>
        <v>0</v>
      </c>
      <c r="G463" s="59"/>
      <c r="H463" s="59"/>
      <c r="I463" s="6">
        <f>(G463-H463)*'16-PlantAdditions'!$E$103</f>
        <v>0</v>
      </c>
      <c r="J463" s="6">
        <f t="shared" si="117"/>
        <v>0</v>
      </c>
      <c r="K463" s="6">
        <f t="shared" si="118"/>
        <v>0</v>
      </c>
    </row>
    <row r="464" spans="1:11" ht="13">
      <c r="A464" s="2">
        <f t="shared" si="115"/>
        <v>354</v>
      </c>
      <c r="B464" s="345" t="s">
        <v>381</v>
      </c>
      <c r="C464" s="346">
        <v>2024</v>
      </c>
      <c r="D464" s="59"/>
      <c r="E464" s="6">
        <f>D464*'16-PlantAdditions'!$E$103</f>
        <v>0</v>
      </c>
      <c r="F464" s="6">
        <f t="shared" si="116"/>
        <v>0</v>
      </c>
      <c r="G464" s="59"/>
      <c r="H464" s="59"/>
      <c r="I464" s="6">
        <f>(G464-H464)*'16-PlantAdditions'!$E$103</f>
        <v>0</v>
      </c>
      <c r="J464" s="6">
        <f t="shared" si="117"/>
        <v>0</v>
      </c>
      <c r="K464" s="6">
        <f t="shared" si="118"/>
        <v>0</v>
      </c>
    </row>
    <row r="465" spans="1:11" ht="13">
      <c r="A465" s="2">
        <f t="shared" si="115"/>
        <v>355</v>
      </c>
      <c r="B465" s="345" t="s">
        <v>382</v>
      </c>
      <c r="C465" s="346">
        <v>2024</v>
      </c>
      <c r="D465" s="59"/>
      <c r="E465" s="6">
        <f>D465*'16-PlantAdditions'!$E$103</f>
        <v>0</v>
      </c>
      <c r="F465" s="6">
        <f t="shared" si="116"/>
        <v>0</v>
      </c>
      <c r="G465" s="59"/>
      <c r="H465" s="59"/>
      <c r="I465" s="6">
        <f>(G465-H465)*'16-PlantAdditions'!$E$103</f>
        <v>0</v>
      </c>
      <c r="J465" s="6">
        <f t="shared" si="117"/>
        <v>0</v>
      </c>
      <c r="K465" s="6">
        <f t="shared" si="118"/>
        <v>0</v>
      </c>
    </row>
    <row r="466" spans="1:11" ht="13">
      <c r="A466" s="2">
        <f t="shared" si="115"/>
        <v>356</v>
      </c>
      <c r="B466" s="345" t="s">
        <v>383</v>
      </c>
      <c r="C466" s="346">
        <v>2024</v>
      </c>
      <c r="D466" s="59"/>
      <c r="E466" s="6">
        <f>D466*'16-PlantAdditions'!$E$103</f>
        <v>0</v>
      </c>
      <c r="F466" s="6">
        <f t="shared" si="116"/>
        <v>0</v>
      </c>
      <c r="G466" s="59"/>
      <c r="H466" s="59"/>
      <c r="I466" s="6">
        <f>(G466-H466)*'16-PlantAdditions'!$E$103</f>
        <v>0</v>
      </c>
      <c r="J466" s="6">
        <f t="shared" si="117"/>
        <v>0</v>
      </c>
      <c r="K466" s="6">
        <f t="shared" si="118"/>
        <v>0</v>
      </c>
    </row>
    <row r="467" spans="1:11" ht="13">
      <c r="A467" s="2">
        <f t="shared" si="115"/>
        <v>357</v>
      </c>
      <c r="B467" s="345" t="s">
        <v>384</v>
      </c>
      <c r="C467" s="346">
        <v>2024</v>
      </c>
      <c r="D467" s="59"/>
      <c r="E467" s="6">
        <f>D467*'16-PlantAdditions'!$E$103</f>
        <v>0</v>
      </c>
      <c r="F467" s="6">
        <f t="shared" si="116"/>
        <v>0</v>
      </c>
      <c r="G467" s="59"/>
      <c r="H467" s="59"/>
      <c r="I467" s="6">
        <f>(G467-H467)*'16-PlantAdditions'!$E$103</f>
        <v>0</v>
      </c>
      <c r="J467" s="6">
        <f t="shared" si="117"/>
        <v>0</v>
      </c>
      <c r="K467" s="6">
        <f t="shared" si="118"/>
        <v>0</v>
      </c>
    </row>
    <row r="468" spans="1:11" ht="13">
      <c r="A468" s="2">
        <f t="shared" si="115"/>
        <v>358</v>
      </c>
      <c r="B468" s="345" t="s">
        <v>385</v>
      </c>
      <c r="C468" s="346">
        <v>2024</v>
      </c>
      <c r="D468" s="59"/>
      <c r="E468" s="6">
        <f>D468*'16-PlantAdditions'!$E$103</f>
        <v>0</v>
      </c>
      <c r="F468" s="6">
        <f t="shared" si="116"/>
        <v>0</v>
      </c>
      <c r="G468" s="59"/>
      <c r="H468" s="59"/>
      <c r="I468" s="6">
        <f>(G468-H468)*'16-PlantAdditions'!$E$103</f>
        <v>0</v>
      </c>
      <c r="J468" s="6">
        <f t="shared" si="117"/>
        <v>0</v>
      </c>
      <c r="K468" s="6">
        <f t="shared" si="118"/>
        <v>0</v>
      </c>
    </row>
    <row r="469" spans="1:11" ht="13">
      <c r="A469" s="2">
        <f t="shared" si="115"/>
        <v>359</v>
      </c>
      <c r="B469" s="345" t="s">
        <v>594</v>
      </c>
      <c r="C469" s="346">
        <v>2024</v>
      </c>
      <c r="D469" s="59"/>
      <c r="E469" s="6">
        <f>D469*'16-PlantAdditions'!$E$103</f>
        <v>0</v>
      </c>
      <c r="F469" s="6">
        <f t="shared" si="116"/>
        <v>0</v>
      </c>
      <c r="G469" s="59"/>
      <c r="H469" s="59"/>
      <c r="I469" s="6">
        <f>(G469-H469)*'16-PlantAdditions'!$E$103</f>
        <v>0</v>
      </c>
      <c r="J469" s="6">
        <f t="shared" si="117"/>
        <v>0</v>
      </c>
      <c r="K469" s="6">
        <f t="shared" si="118"/>
        <v>0</v>
      </c>
    </row>
    <row r="470" spans="1:11" ht="13">
      <c r="A470" s="2">
        <f t="shared" si="115"/>
        <v>360</v>
      </c>
      <c r="B470" s="345" t="s">
        <v>387</v>
      </c>
      <c r="C470" s="346">
        <v>2024</v>
      </c>
      <c r="D470" s="59"/>
      <c r="E470" s="6">
        <f>D470*'16-PlantAdditions'!$E$103</f>
        <v>0</v>
      </c>
      <c r="F470" s="6">
        <f t="shared" si="116"/>
        <v>0</v>
      </c>
      <c r="G470" s="59"/>
      <c r="H470" s="59"/>
      <c r="I470" s="6">
        <f>(G470-H470)*'16-PlantAdditions'!$E$103</f>
        <v>0</v>
      </c>
      <c r="J470" s="6">
        <f t="shared" si="117"/>
        <v>0</v>
      </c>
      <c r="K470" s="6">
        <f t="shared" si="118"/>
        <v>0</v>
      </c>
    </row>
    <row r="471" spans="1:11" ht="13">
      <c r="A471" s="2">
        <f t="shared" si="115"/>
        <v>361</v>
      </c>
      <c r="B471" s="345" t="s">
        <v>388</v>
      </c>
      <c r="C471" s="346">
        <v>2024</v>
      </c>
      <c r="D471" s="59"/>
      <c r="E471" s="6">
        <f>D471*'16-PlantAdditions'!$E$103</f>
        <v>0</v>
      </c>
      <c r="F471" s="6">
        <f t="shared" si="116"/>
        <v>0</v>
      </c>
      <c r="G471" s="59"/>
      <c r="H471" s="59"/>
      <c r="I471" s="6">
        <f>(G471-H471)*'16-PlantAdditions'!$E$103</f>
        <v>0</v>
      </c>
      <c r="J471" s="6">
        <f t="shared" si="117"/>
        <v>0</v>
      </c>
      <c r="K471" s="6">
        <f t="shared" si="118"/>
        <v>0</v>
      </c>
    </row>
    <row r="472" spans="1:11" ht="13">
      <c r="A472" s="2">
        <f t="shared" si="115"/>
        <v>362</v>
      </c>
      <c r="B472" s="345" t="s">
        <v>389</v>
      </c>
      <c r="C472" s="346">
        <v>2024</v>
      </c>
      <c r="D472" s="59"/>
      <c r="E472" s="6">
        <f>D472*'16-PlantAdditions'!$E$103</f>
        <v>0</v>
      </c>
      <c r="F472" s="6">
        <f t="shared" si="116"/>
        <v>0</v>
      </c>
      <c r="G472" s="59"/>
      <c r="H472" s="59"/>
      <c r="I472" s="6">
        <f>(G472-H472)*'16-PlantAdditions'!$E$103</f>
        <v>0</v>
      </c>
      <c r="J472" s="6">
        <f t="shared" si="117"/>
        <v>0</v>
      </c>
      <c r="K472" s="6">
        <f t="shared" si="118"/>
        <v>0</v>
      </c>
    </row>
    <row r="473" spans="1:11" ht="13">
      <c r="A473" s="2">
        <f t="shared" si="115"/>
        <v>363</v>
      </c>
      <c r="B473" s="345" t="s">
        <v>390</v>
      </c>
      <c r="C473" s="346">
        <v>2024</v>
      </c>
      <c r="D473" s="59"/>
      <c r="E473" s="6">
        <f>D473*'16-PlantAdditions'!$E$103</f>
        <v>0</v>
      </c>
      <c r="F473" s="6">
        <f t="shared" si="116"/>
        <v>0</v>
      </c>
      <c r="G473" s="59"/>
      <c r="H473" s="59"/>
      <c r="I473" s="6">
        <f>(G473-H473)*'16-PlantAdditions'!$E$103</f>
        <v>0</v>
      </c>
      <c r="J473" s="6">
        <f t="shared" si="117"/>
        <v>0</v>
      </c>
      <c r="K473" s="6">
        <f t="shared" si="118"/>
        <v>0</v>
      </c>
    </row>
    <row r="474" spans="1:11" ht="13">
      <c r="A474" s="2">
        <f t="shared" si="115"/>
        <v>364</v>
      </c>
      <c r="B474" s="345" t="s">
        <v>391</v>
      </c>
      <c r="C474" s="346">
        <v>2024</v>
      </c>
      <c r="D474" s="59"/>
      <c r="E474" s="6">
        <f>D474*'16-PlantAdditions'!$E$103</f>
        <v>0</v>
      </c>
      <c r="F474" s="6">
        <f t="shared" si="116"/>
        <v>0</v>
      </c>
      <c r="G474" s="59"/>
      <c r="H474" s="59"/>
      <c r="I474" s="6">
        <f>(G474-H474)*'16-PlantAdditions'!$E$103</f>
        <v>0</v>
      </c>
      <c r="J474" s="6">
        <f t="shared" si="117"/>
        <v>0</v>
      </c>
      <c r="K474" s="6">
        <f t="shared" si="118"/>
        <v>0</v>
      </c>
    </row>
    <row r="475" spans="1:11" ht="13">
      <c r="A475" s="2">
        <f t="shared" si="115"/>
        <v>365</v>
      </c>
      <c r="B475" s="345" t="s">
        <v>379</v>
      </c>
      <c r="C475" s="346">
        <v>2024</v>
      </c>
      <c r="D475" s="59"/>
      <c r="E475" s="6">
        <f>D475*'16-PlantAdditions'!$E$103</f>
        <v>0</v>
      </c>
      <c r="F475" s="6">
        <f t="shared" si="116"/>
        <v>0</v>
      </c>
      <c r="G475" s="59"/>
      <c r="H475" s="59"/>
      <c r="I475" s="6">
        <f>(G475-H475)*'16-PlantAdditions'!$E$103</f>
        <v>0</v>
      </c>
      <c r="J475" s="6">
        <f t="shared" si="117"/>
        <v>0</v>
      </c>
      <c r="K475" s="53">
        <f t="shared" si="118"/>
        <v>0</v>
      </c>
    </row>
    <row r="476" spans="1:11" ht="13">
      <c r="A476" s="2">
        <f t="shared" si="115"/>
        <v>366</v>
      </c>
      <c r="C476" s="367" t="s">
        <v>997</v>
      </c>
      <c r="H476" s="253"/>
      <c r="I476" s="253"/>
      <c r="K476" s="42">
        <f>AVERAGE(K463:K475)</f>
        <v>0</v>
      </c>
    </row>
    <row r="477" spans="1:11" ht="13">
      <c r="B477" s="350" t="s">
        <v>228</v>
      </c>
    </row>
    <row r="478" spans="1:11">
      <c r="B478" s="345" t="s">
        <v>1025</v>
      </c>
    </row>
    <row r="479" spans="1:11">
      <c r="B479" s="345" t="s">
        <v>1026</v>
      </c>
    </row>
    <row r="481" spans="2:2" ht="13">
      <c r="B481" s="1" t="s">
        <v>433</v>
      </c>
    </row>
    <row r="482" spans="2:2">
      <c r="B482" s="247" t="s">
        <v>1027</v>
      </c>
    </row>
    <row r="483" spans="2:2">
      <c r="B483" s="247" t="s">
        <v>1028</v>
      </c>
    </row>
    <row r="484" spans="2:2">
      <c r="B484" s="247" t="s">
        <v>1029</v>
      </c>
    </row>
  </sheetData>
  <mergeCells count="12">
    <mergeCell ref="D247:E247"/>
    <mergeCell ref="D379:E379"/>
    <mergeCell ref="D82:E82"/>
    <mergeCell ref="D115:E115"/>
    <mergeCell ref="D148:E148"/>
    <mergeCell ref="D181:E181"/>
    <mergeCell ref="D214:E214"/>
    <mergeCell ref="D412:E412"/>
    <mergeCell ref="F379:G379"/>
    <mergeCell ref="D280:E280"/>
    <mergeCell ref="D313:E313"/>
    <mergeCell ref="D346:E346"/>
  </mergeCells>
  <pageMargins left="0.7" right="0.7" top="0.75" bottom="0.75" header="0.3" footer="0.3"/>
  <pageSetup scale="50" fitToHeight="0" orientation="landscape" cellComments="asDisplayed" r:id="rId1"/>
  <headerFooter>
    <oddHeader>&amp;CSchedule 10
CWIP
&amp;RTO2024 Annual Update 
Attachment 1</oddHeader>
    <oddFooter>&amp;R&amp;A</oddFooter>
  </headerFooter>
  <rowBreaks count="7" manualBreakCount="7">
    <brk id="47" max="16383" man="1"/>
    <brk id="113" max="10" man="1"/>
    <brk id="179" max="10" man="1"/>
    <brk id="245" max="10" man="1"/>
    <brk id="311" max="10" man="1"/>
    <brk id="377" max="10" man="1"/>
    <brk id="44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5" customWidth="1"/>
    <col min="2" max="2" width="22.54296875" customWidth="1"/>
    <col min="3" max="3" width="9.7265625" customWidth="1"/>
    <col min="4" max="5" width="25.54296875" customWidth="1"/>
    <col min="6" max="6" width="22.54296875" customWidth="1"/>
  </cols>
  <sheetData>
    <row r="1" spans="1:6" ht="13">
      <c r="A1" s="9" t="s">
        <v>1030</v>
      </c>
      <c r="B1" s="63"/>
      <c r="C1" s="10"/>
      <c r="D1" s="10"/>
      <c r="E1" s="10"/>
      <c r="F1" s="10"/>
    </row>
    <row r="2" spans="1:6" ht="13">
      <c r="A2" s="64"/>
      <c r="C2" s="65"/>
      <c r="D2" s="65"/>
      <c r="F2" s="27" t="s">
        <v>635</v>
      </c>
    </row>
    <row r="3" spans="1:6" ht="13">
      <c r="A3" s="64"/>
      <c r="B3" s="247" t="s">
        <v>1031</v>
      </c>
      <c r="C3" s="65"/>
      <c r="D3" s="65"/>
      <c r="E3" s="65"/>
    </row>
    <row r="4" spans="1:6" ht="13">
      <c r="A4" s="64"/>
      <c r="B4" s="247" t="s">
        <v>1032</v>
      </c>
      <c r="C4" s="65"/>
      <c r="D4" s="65"/>
      <c r="E4" s="65"/>
    </row>
    <row r="5" spans="1:6" ht="13">
      <c r="A5" s="64"/>
      <c r="B5" s="247" t="s">
        <v>1033</v>
      </c>
      <c r="C5" s="65"/>
      <c r="D5" s="65"/>
      <c r="E5" s="65"/>
    </row>
    <row r="6" spans="1:6" ht="13">
      <c r="A6" s="64"/>
    </row>
    <row r="7" spans="1:6" ht="13">
      <c r="A7" s="30" t="s">
        <v>273</v>
      </c>
      <c r="C7" s="65"/>
      <c r="D7" s="3" t="s">
        <v>1034</v>
      </c>
      <c r="E7" s="3" t="s">
        <v>1035</v>
      </c>
      <c r="F7" s="3" t="s">
        <v>651</v>
      </c>
    </row>
    <row r="8" spans="1:6" ht="13">
      <c r="A8" s="2">
        <v>1</v>
      </c>
      <c r="B8" s="247" t="s">
        <v>1036</v>
      </c>
      <c r="D8" s="5">
        <v>21304971</v>
      </c>
      <c r="E8" s="5">
        <v>25789895</v>
      </c>
      <c r="F8" s="246" t="s">
        <v>1037</v>
      </c>
    </row>
    <row r="9" spans="1:6" ht="13">
      <c r="A9" s="2"/>
      <c r="B9" s="247"/>
      <c r="E9" s="247"/>
    </row>
    <row r="10" spans="1:6" ht="13">
      <c r="A10" s="2"/>
      <c r="B10" s="247" t="s">
        <v>1038</v>
      </c>
      <c r="E10" s="247"/>
    </row>
    <row r="11" spans="1:6" ht="13">
      <c r="A11" s="2"/>
      <c r="B11" s="247"/>
      <c r="E11" s="247"/>
    </row>
    <row r="12" spans="1:6" ht="13">
      <c r="A12" s="2"/>
      <c r="B12" s="48" t="s">
        <v>336</v>
      </c>
      <c r="C12" s="48" t="s">
        <v>337</v>
      </c>
      <c r="D12" s="48" t="s">
        <v>338</v>
      </c>
      <c r="E12" s="48" t="s">
        <v>339</v>
      </c>
      <c r="F12" s="48" t="s">
        <v>340</v>
      </c>
    </row>
    <row r="13" spans="1:6" ht="13">
      <c r="A13" s="2"/>
      <c r="B13" s="247"/>
      <c r="C13" s="2" t="s">
        <v>1039</v>
      </c>
      <c r="E13" s="247"/>
    </row>
    <row r="14" spans="1:6" ht="13">
      <c r="A14" s="2"/>
      <c r="B14" s="30" t="s">
        <v>813</v>
      </c>
      <c r="C14" s="3" t="s">
        <v>1040</v>
      </c>
      <c r="D14" s="3" t="s">
        <v>1034</v>
      </c>
      <c r="E14" s="3" t="s">
        <v>1035</v>
      </c>
      <c r="F14" s="3" t="s">
        <v>651</v>
      </c>
    </row>
    <row r="15" spans="1:6" ht="13">
      <c r="A15" s="2" t="s">
        <v>549</v>
      </c>
      <c r="B15" s="254" t="s">
        <v>978</v>
      </c>
      <c r="C15" s="54" t="s">
        <v>709</v>
      </c>
      <c r="D15" s="5">
        <v>6392187</v>
      </c>
      <c r="E15" s="59">
        <v>9132043</v>
      </c>
      <c r="F15" s="54" t="s">
        <v>2936</v>
      </c>
    </row>
    <row r="16" spans="1:6" ht="13">
      <c r="A16" s="2" t="s">
        <v>1041</v>
      </c>
      <c r="B16" s="254"/>
      <c r="C16" s="54"/>
      <c r="D16" s="5"/>
      <c r="E16" s="5"/>
      <c r="F16" s="54"/>
    </row>
    <row r="17" spans="1:6" ht="13">
      <c r="A17" s="2" t="s">
        <v>1042</v>
      </c>
      <c r="B17" s="254"/>
      <c r="C17" s="54"/>
      <c r="D17" s="5"/>
      <c r="E17" s="5"/>
      <c r="F17" s="54"/>
    </row>
    <row r="18" spans="1:6" ht="13">
      <c r="A18" s="2" t="s">
        <v>1043</v>
      </c>
      <c r="B18" s="254"/>
      <c r="C18" s="54"/>
      <c r="D18" s="5"/>
      <c r="E18" s="5"/>
      <c r="F18" s="54"/>
    </row>
    <row r="19" spans="1:6" ht="13">
      <c r="A19" s="2" t="s">
        <v>1044</v>
      </c>
      <c r="B19" s="254"/>
      <c r="C19" s="54"/>
      <c r="D19" s="5"/>
      <c r="E19" s="5"/>
      <c r="F19" s="54"/>
    </row>
    <row r="20" spans="1:6" ht="13">
      <c r="A20" s="2" t="s">
        <v>1045</v>
      </c>
      <c r="B20" s="254"/>
      <c r="C20" s="54"/>
      <c r="D20" s="5"/>
      <c r="E20" s="5"/>
      <c r="F20" s="54"/>
    </row>
    <row r="21" spans="1:6" ht="13">
      <c r="A21" s="2" t="s">
        <v>1046</v>
      </c>
      <c r="B21" s="254"/>
      <c r="C21" s="54"/>
      <c r="D21" s="5"/>
      <c r="E21" s="5"/>
      <c r="F21" s="54"/>
    </row>
    <row r="22" spans="1:6" ht="13">
      <c r="A22" s="2" t="s">
        <v>1047</v>
      </c>
      <c r="B22" s="254"/>
      <c r="C22" s="54"/>
      <c r="D22" s="5"/>
      <c r="E22" s="5"/>
      <c r="F22" s="54"/>
    </row>
    <row r="23" spans="1:6" ht="13">
      <c r="A23" s="2"/>
      <c r="B23" s="210" t="s">
        <v>822</v>
      </c>
      <c r="C23" s="54"/>
      <c r="D23" s="934"/>
      <c r="E23" s="934"/>
      <c r="F23" s="54"/>
    </row>
    <row r="24" spans="1:6" ht="13">
      <c r="A24" s="2">
        <v>3</v>
      </c>
      <c r="C24" s="247" t="s">
        <v>409</v>
      </c>
      <c r="D24" s="6">
        <f>SUM(D15:D22)</f>
        <v>6392187</v>
      </c>
      <c r="E24" s="6">
        <f>SUM(E15:E22)</f>
        <v>9132043</v>
      </c>
      <c r="F24" s="246" t="s">
        <v>1048</v>
      </c>
    </row>
    <row r="25" spans="1:6">
      <c r="C25" s="247"/>
    </row>
    <row r="26" spans="1:6" ht="13">
      <c r="C26" s="247"/>
      <c r="D26" s="3" t="s">
        <v>1034</v>
      </c>
      <c r="E26" s="3" t="s">
        <v>1035</v>
      </c>
      <c r="F26" s="3" t="s">
        <v>651</v>
      </c>
    </row>
    <row r="27" spans="1:6" ht="13">
      <c r="A27" s="2">
        <v>4</v>
      </c>
      <c r="B27" s="247" t="s">
        <v>1049</v>
      </c>
      <c r="C27" s="247"/>
      <c r="D27" s="5">
        <v>0</v>
      </c>
      <c r="E27" s="5">
        <v>0</v>
      </c>
      <c r="F27" s="246" t="s">
        <v>1050</v>
      </c>
    </row>
    <row r="28" spans="1:6" ht="13">
      <c r="A28" s="4" t="s">
        <v>1051</v>
      </c>
      <c r="B28" s="247"/>
      <c r="C28" s="247"/>
      <c r="D28" s="247"/>
      <c r="E28" s="245" t="s">
        <v>1052</v>
      </c>
      <c r="F28" s="278" t="s">
        <v>445</v>
      </c>
    </row>
    <row r="29" spans="1:6" ht="13">
      <c r="A29" s="2">
        <v>5</v>
      </c>
      <c r="B29" s="247" t="s">
        <v>1053</v>
      </c>
      <c r="D29" s="922">
        <f>'27-Allocators'!G15</f>
        <v>5.9842511582503061E-2</v>
      </c>
      <c r="E29" s="922">
        <f>'27-Allocators'!G15</f>
        <v>5.9842511582503061E-2</v>
      </c>
      <c r="F29" s="246" t="str">
        <f>"27-Allocators, L "&amp;'27-Allocators'!A15&amp;""</f>
        <v>27-Allocators, L 9</v>
      </c>
    </row>
    <row r="30" spans="1:6" ht="13">
      <c r="A30" s="2">
        <v>6</v>
      </c>
      <c r="B30" s="247" t="s">
        <v>1054</v>
      </c>
      <c r="C30" s="247"/>
      <c r="D30" s="6">
        <f>D27*D29</f>
        <v>0</v>
      </c>
      <c r="E30" s="6">
        <f>E27*E29</f>
        <v>0</v>
      </c>
      <c r="F30" s="246" t="str">
        <f>"L "&amp;A27&amp;" * L "&amp;A29&amp;""</f>
        <v>L 4 * L 5</v>
      </c>
    </row>
    <row r="31" spans="1:6">
      <c r="C31" s="247"/>
    </row>
    <row r="32" spans="1:6">
      <c r="B32" s="247" t="s">
        <v>1055</v>
      </c>
    </row>
    <row r="33" spans="1:6">
      <c r="C33" s="22"/>
      <c r="D33" s="935"/>
      <c r="E33" s="23"/>
    </row>
    <row r="34" spans="1:6" ht="13">
      <c r="D34" s="3" t="s">
        <v>1034</v>
      </c>
      <c r="E34" s="3" t="s">
        <v>1035</v>
      </c>
      <c r="F34" s="3" t="s">
        <v>651</v>
      </c>
    </row>
    <row r="35" spans="1:6" ht="13">
      <c r="A35" s="2">
        <v>7</v>
      </c>
      <c r="C35" s="247"/>
      <c r="D35" s="5">
        <v>14912784</v>
      </c>
      <c r="E35" s="5">
        <v>16657852</v>
      </c>
      <c r="F35" s="246" t="s">
        <v>144</v>
      </c>
    </row>
    <row r="38" spans="1:6" ht="13">
      <c r="B38" s="247" t="s">
        <v>1056</v>
      </c>
      <c r="D38" s="3" t="s">
        <v>1034</v>
      </c>
      <c r="E38" s="3" t="s">
        <v>1035</v>
      </c>
      <c r="F38" s="3" t="s">
        <v>651</v>
      </c>
    </row>
    <row r="39" spans="1:6" ht="13">
      <c r="A39" s="2">
        <v>8</v>
      </c>
      <c r="D39" s="249">
        <f>D24+D30</f>
        <v>6392187</v>
      </c>
      <c r="E39" s="249">
        <f>E24+E30</f>
        <v>9132043</v>
      </c>
      <c r="F39" s="246" t="str">
        <f>"L "&amp;A24&amp;" + L "&amp;A30&amp;""</f>
        <v>L 3 + L 6</v>
      </c>
    </row>
    <row r="40" spans="1:6" ht="13">
      <c r="A40" s="2"/>
      <c r="D40" s="249"/>
      <c r="E40" s="249"/>
      <c r="F40" s="246"/>
    </row>
    <row r="41" spans="1:6">
      <c r="B41" t="s">
        <v>1057</v>
      </c>
    </row>
    <row r="42" spans="1:6" ht="13">
      <c r="A42" s="2">
        <v>9</v>
      </c>
      <c r="B42" s="247" t="s">
        <v>1056</v>
      </c>
      <c r="D42" s="249">
        <f>(D39+E39)/2</f>
        <v>7762115</v>
      </c>
      <c r="E42" s="249"/>
      <c r="F42" s="246" t="str">
        <f>"Sum of Line "&amp;A39&amp;" / 2"</f>
        <v>Sum of Line 8 / 2</v>
      </c>
    </row>
    <row r="43" spans="1:6">
      <c r="B43" s="247"/>
    </row>
    <row r="44" spans="1:6" ht="13">
      <c r="B44" s="1" t="s">
        <v>1058</v>
      </c>
      <c r="C44" s="247"/>
    </row>
    <row r="45" spans="1:6">
      <c r="C45" s="247"/>
    </row>
    <row r="46" spans="1:6" ht="13">
      <c r="A46" s="2"/>
      <c r="F46" s="3" t="s">
        <v>651</v>
      </c>
    </row>
    <row r="47" spans="1:6" ht="13">
      <c r="A47" s="2">
        <v>10</v>
      </c>
      <c r="B47" s="247" t="s">
        <v>1059</v>
      </c>
      <c r="E47" s="548">
        <v>0</v>
      </c>
      <c r="F47" s="246" t="s">
        <v>894</v>
      </c>
    </row>
    <row r="50" spans="2:2" ht="13">
      <c r="B50" s="1" t="s">
        <v>433</v>
      </c>
    </row>
    <row r="51" spans="2:2">
      <c r="B51" s="247" t="s">
        <v>1060</v>
      </c>
    </row>
    <row r="52" spans="2:2">
      <c r="B52" s="247" t="s">
        <v>1061</v>
      </c>
    </row>
    <row r="53" spans="2:2">
      <c r="B53" s="247" t="s">
        <v>1062</v>
      </c>
    </row>
    <row r="54" spans="2:2">
      <c r="B54" s="247" t="s">
        <v>1063</v>
      </c>
    </row>
    <row r="55" spans="2:2">
      <c r="B55" s="247" t="str">
        <f>"2) For any Electric Plant Held for Future Use classified as General note amount on Line "&amp;A27&amp;"."</f>
        <v>2) For any Electric Plant Held for Future Use classified as General note amount on Line 4.</v>
      </c>
    </row>
    <row r="56" spans="2:2">
      <c r="B56" s="247" t="s">
        <v>1064</v>
      </c>
    </row>
    <row r="57" spans="2:2">
      <c r="B57" s="247" t="s">
        <v>1065</v>
      </c>
    </row>
    <row r="58" spans="2:2">
      <c r="B58" s="247" t="s">
        <v>1066</v>
      </c>
    </row>
    <row r="59" spans="2:2">
      <c r="B59" s="247" t="s">
        <v>1067</v>
      </c>
    </row>
    <row r="60" spans="2:2">
      <c r="B60" s="247"/>
    </row>
    <row r="61" spans="2:2" ht="13">
      <c r="B61" s="1" t="s">
        <v>228</v>
      </c>
    </row>
    <row r="62" spans="2:2">
      <c r="B62" s="247" t="s">
        <v>1068</v>
      </c>
    </row>
  </sheetData>
  <pageMargins left="0.7" right="0.7" top="0.75" bottom="0.75" header="0.3" footer="0.3"/>
  <pageSetup scale="80" orientation="portrait" cellComments="asDisplayed" r:id="rId1"/>
  <headerFooter>
    <oddHeader>&amp;CSchedule 11
Plant Held for Future Use
&amp;RTO2024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5"/>
  <cols>
    <col min="1" max="1" width="4.54296875" customWidth="1"/>
    <col min="2" max="2" width="5.54296875" customWidth="1"/>
    <col min="3" max="10" width="12.54296875" customWidth="1"/>
    <col min="12" max="12" width="9.453125"/>
  </cols>
  <sheetData>
    <row r="1" spans="1:10" ht="13">
      <c r="A1" s="1" t="s">
        <v>1069</v>
      </c>
    </row>
    <row r="2" spans="1:10">
      <c r="I2" s="278" t="s">
        <v>1070</v>
      </c>
      <c r="J2" s="278"/>
    </row>
    <row r="3" spans="1:10">
      <c r="B3" t="s">
        <v>1071</v>
      </c>
    </row>
    <row r="5" spans="1:10">
      <c r="B5" t="s">
        <v>1072</v>
      </c>
    </row>
    <row r="6" spans="1:10">
      <c r="B6" t="s">
        <v>1073</v>
      </c>
    </row>
    <row r="7" spans="1:10">
      <c r="F7" s="28" t="s">
        <v>1074</v>
      </c>
      <c r="H7" s="28" t="s">
        <v>1075</v>
      </c>
    </row>
    <row r="8" spans="1:10">
      <c r="B8" t="s">
        <v>1076</v>
      </c>
      <c r="F8" s="254"/>
      <c r="G8" s="54"/>
      <c r="H8" s="254"/>
      <c r="I8" s="54"/>
      <c r="J8" s="54"/>
    </row>
    <row r="9" spans="1:10">
      <c r="F9" s="254"/>
      <c r="G9" s="54"/>
      <c r="H9" s="54"/>
      <c r="I9" s="54"/>
      <c r="J9" s="54"/>
    </row>
    <row r="10" spans="1:10">
      <c r="F10" s="31" t="s">
        <v>822</v>
      </c>
      <c r="H10" s="31" t="s">
        <v>822</v>
      </c>
    </row>
    <row r="12" spans="1:10">
      <c r="B12" s="247" t="s">
        <v>1077</v>
      </c>
    </row>
    <row r="13" spans="1:10">
      <c r="B13" s="247"/>
    </row>
    <row r="14" spans="1:10">
      <c r="B14" s="247" t="s">
        <v>1078</v>
      </c>
    </row>
    <row r="15" spans="1:10">
      <c r="B15" s="247" t="s">
        <v>1079</v>
      </c>
    </row>
    <row r="16" spans="1:10" ht="13">
      <c r="B16" s="247"/>
      <c r="G16" s="2" t="s">
        <v>1080</v>
      </c>
    </row>
    <row r="17" spans="1:10" ht="13">
      <c r="A17" s="30" t="s">
        <v>273</v>
      </c>
      <c r="G17" s="3" t="s">
        <v>859</v>
      </c>
      <c r="I17" s="30" t="s">
        <v>407</v>
      </c>
    </row>
    <row r="18" spans="1:10" ht="13">
      <c r="A18" s="2">
        <v>1</v>
      </c>
      <c r="F18" s="25" t="s">
        <v>1081</v>
      </c>
      <c r="G18" s="6">
        <f>SUM(IF(B31='1-BaseTRR'!$K$4,E31+I31,0),IF(B32='1-BaseTRR'!$K$4,E32+I32,0),IF(B33='1-BaseTRR'!$K$4,E33+I33,0),IF(B34='1-BaseTRR'!$K$4,E34+I34,0),IF(B35='1-BaseTRR'!$K$4,E35+I35,0),IF(B36='1-BaseTRR'!$K$4,E36+I36,0),IF(B37='1-BaseTRR'!$K$4,E37+I37,0),IF(B38='1-BaseTRR'!$K$4,E38+I38,0),IF(B39='1-BaseTRR'!$K$4,E39+I39,0),IF(B40='1-BaseTRR'!$K$4,E40+I40,0),IF(B41='1-BaseTRR'!$K$4,E41+I41,0))</f>
        <v>0</v>
      </c>
      <c r="I18" s="247" t="s">
        <v>1082</v>
      </c>
    </row>
    <row r="19" spans="1:10" ht="13">
      <c r="A19" s="2">
        <v>2</v>
      </c>
      <c r="F19" s="245" t="s">
        <v>1083</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47" t="s">
        <v>1082</v>
      </c>
    </row>
    <row r="20" spans="1:10" ht="13">
      <c r="A20" s="2">
        <v>3</v>
      </c>
      <c r="F20" s="25" t="s">
        <v>1084</v>
      </c>
      <c r="G20" s="6">
        <f>SUM(IF(B31='1-BaseTRR'!$K$4,C31+G31,0),IF(B32='1-BaseTRR'!$K$4,C32+G32,0),IF(B33='1-BaseTRR'!$K$4,C33+G33,0),IF(B34='1-BaseTRR'!$K$4,C34+G34,0),IF(B35='1-BaseTRR'!$K$4,C35+G35,0),IF(B36='1-BaseTRR'!$K$4,C36+G36,0),IF(B37='1-BaseTRR'!$K$4,C37+G37,0),IF(B38='1-BaseTRR'!$K$4,C38+G38,0),IF(B39='1-BaseTRR'!$K$4,C39+G39,0),IF(B40='1-BaseTRR'!$K$4,C40+G40,0),IF(B41='1-BaseTRR'!$K$4,C41+G41,0))</f>
        <v>0</v>
      </c>
      <c r="I20" s="247" t="s">
        <v>1082</v>
      </c>
    </row>
    <row r="21" spans="1:10" ht="13">
      <c r="A21" s="2">
        <v>4</v>
      </c>
      <c r="F21" s="25" t="s">
        <v>1085</v>
      </c>
      <c r="G21" s="6">
        <f>(G19+G20)/2</f>
        <v>0</v>
      </c>
      <c r="I21" s="247" t="str">
        <f>"Average of Lines "&amp;A19&amp;" and "&amp;A20&amp;"."</f>
        <v>Average of Lines 2 and 3.</v>
      </c>
    </row>
    <row r="22" spans="1:10" ht="13">
      <c r="A22" s="2">
        <v>5</v>
      </c>
      <c r="E22" s="247"/>
      <c r="F22" s="245" t="s">
        <v>1086</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47"/>
      <c r="I22" s="247" t="s">
        <v>1082</v>
      </c>
      <c r="J22" s="247"/>
    </row>
    <row r="23" spans="1:10">
      <c r="I23" s="247"/>
    </row>
    <row r="25" spans="1:10" ht="13">
      <c r="A25" s="2">
        <v>6</v>
      </c>
      <c r="C25" s="1" t="s">
        <v>1087</v>
      </c>
      <c r="D25" s="254" t="s">
        <v>1088</v>
      </c>
      <c r="G25" s="85" t="s">
        <v>1089</v>
      </c>
      <c r="H25" s="254" t="s">
        <v>1088</v>
      </c>
      <c r="I25" s="85"/>
      <c r="J25" s="247"/>
    </row>
    <row r="26" spans="1:10" ht="13">
      <c r="A26" s="2"/>
      <c r="C26" s="1"/>
      <c r="D26" s="247"/>
      <c r="G26" s="85"/>
      <c r="H26" s="247"/>
      <c r="I26" s="85"/>
      <c r="J26" s="247"/>
    </row>
    <row r="27" spans="1:10" ht="13">
      <c r="D27" s="2" t="s">
        <v>1090</v>
      </c>
      <c r="E27" s="2" t="s">
        <v>1091</v>
      </c>
      <c r="H27" s="2" t="s">
        <v>1090</v>
      </c>
      <c r="I27" s="2" t="s">
        <v>1091</v>
      </c>
      <c r="J27" s="2"/>
    </row>
    <row r="28" spans="1:10" ht="13">
      <c r="C28" s="2" t="s">
        <v>1092</v>
      </c>
      <c r="D28" s="2" t="s">
        <v>1091</v>
      </c>
      <c r="E28" s="2" t="s">
        <v>659</v>
      </c>
      <c r="G28" s="2" t="s">
        <v>1092</v>
      </c>
      <c r="H28" s="2" t="s">
        <v>1091</v>
      </c>
      <c r="I28" s="2" t="s">
        <v>659</v>
      </c>
      <c r="J28" s="2"/>
    </row>
    <row r="29" spans="1:10" ht="13">
      <c r="C29" s="2" t="s">
        <v>1091</v>
      </c>
      <c r="D29" s="2" t="s">
        <v>659</v>
      </c>
      <c r="E29" s="2" t="s">
        <v>1093</v>
      </c>
      <c r="G29" s="2" t="s">
        <v>1091</v>
      </c>
      <c r="H29" s="2" t="s">
        <v>659</v>
      </c>
      <c r="I29" s="2" t="s">
        <v>1093</v>
      </c>
      <c r="J29" s="2"/>
    </row>
    <row r="30" spans="1:10" ht="13">
      <c r="A30" s="2"/>
      <c r="B30" s="3" t="s">
        <v>372</v>
      </c>
      <c r="C30" s="3" t="s">
        <v>659</v>
      </c>
      <c r="D30" s="3" t="s">
        <v>1094</v>
      </c>
      <c r="E30" s="3" t="s">
        <v>1095</v>
      </c>
      <c r="G30" s="3" t="s">
        <v>659</v>
      </c>
      <c r="H30" s="3" t="s">
        <v>1094</v>
      </c>
      <c r="I30" s="3" t="s">
        <v>1095</v>
      </c>
      <c r="J30" s="3"/>
    </row>
    <row r="31" spans="1:10" ht="13">
      <c r="A31" s="2">
        <v>7</v>
      </c>
      <c r="B31">
        <v>2015</v>
      </c>
      <c r="C31" s="576"/>
      <c r="D31" s="576"/>
      <c r="E31" s="576"/>
      <c r="G31" s="54"/>
      <c r="H31" s="54"/>
      <c r="I31" s="54"/>
    </row>
    <row r="32" spans="1:10" ht="13">
      <c r="A32" s="2">
        <v>8</v>
      </c>
      <c r="B32">
        <v>2016</v>
      </c>
      <c r="C32" s="576"/>
      <c r="D32" s="576"/>
      <c r="E32" s="576"/>
      <c r="G32" s="54"/>
      <c r="H32" s="54"/>
      <c r="I32" s="54"/>
    </row>
    <row r="33" spans="1:9" ht="13">
      <c r="A33" s="2">
        <v>9</v>
      </c>
      <c r="B33">
        <v>2017</v>
      </c>
      <c r="C33" s="54"/>
      <c r="D33" s="54"/>
      <c r="E33" s="54"/>
      <c r="G33" s="54"/>
      <c r="H33" s="54"/>
      <c r="I33" s="54"/>
    </row>
    <row r="34" spans="1:9" ht="13">
      <c r="A34" s="2">
        <v>10</v>
      </c>
      <c r="B34">
        <v>2018</v>
      </c>
      <c r="C34" s="54"/>
      <c r="D34" s="54"/>
      <c r="E34" s="54"/>
      <c r="G34" s="54"/>
      <c r="H34" s="54"/>
      <c r="I34" s="54"/>
    </row>
    <row r="35" spans="1:9" ht="13">
      <c r="A35" s="2">
        <v>11</v>
      </c>
      <c r="B35">
        <v>2019</v>
      </c>
      <c r="C35" s="54"/>
      <c r="D35" s="54"/>
      <c r="E35" s="54"/>
      <c r="G35" s="54"/>
      <c r="H35" s="54"/>
      <c r="I35" s="54"/>
    </row>
    <row r="36" spans="1:9" ht="13">
      <c r="A36" s="2">
        <v>12</v>
      </c>
      <c r="B36">
        <v>2020</v>
      </c>
      <c r="C36" s="54"/>
      <c r="D36" s="54"/>
      <c r="E36" s="54"/>
      <c r="G36" s="54"/>
      <c r="H36" s="54"/>
      <c r="I36" s="54"/>
    </row>
    <row r="37" spans="1:9" ht="13">
      <c r="A37" s="2">
        <v>13</v>
      </c>
      <c r="B37">
        <v>2021</v>
      </c>
      <c r="C37" s="54"/>
      <c r="D37" s="54"/>
      <c r="E37" s="54"/>
      <c r="G37" s="54"/>
      <c r="H37" s="54"/>
      <c r="I37" s="54"/>
    </row>
    <row r="38" spans="1:9" ht="13">
      <c r="A38" s="2">
        <v>14</v>
      </c>
      <c r="B38">
        <v>2022</v>
      </c>
      <c r="C38" s="54"/>
      <c r="D38" s="54"/>
      <c r="E38" s="54"/>
      <c r="G38" s="54"/>
      <c r="H38" s="54"/>
      <c r="I38" s="54"/>
    </row>
    <row r="39" spans="1:9" ht="13">
      <c r="A39" s="2">
        <v>15</v>
      </c>
      <c r="B39">
        <v>2023</v>
      </c>
      <c r="C39" s="54"/>
      <c r="D39" s="54"/>
      <c r="E39" s="54"/>
      <c r="G39" s="54"/>
      <c r="H39" s="54"/>
      <c r="I39" s="54"/>
    </row>
    <row r="40" spans="1:9" ht="13">
      <c r="A40" s="2">
        <v>16</v>
      </c>
      <c r="B40">
        <v>2024</v>
      </c>
      <c r="C40" s="54"/>
      <c r="D40" s="54"/>
      <c r="E40" s="54"/>
      <c r="G40" s="54"/>
      <c r="H40" s="54"/>
      <c r="I40" s="54"/>
    </row>
    <row r="41" spans="1:9" ht="13">
      <c r="A41" s="2">
        <v>17</v>
      </c>
      <c r="B41">
        <v>2025</v>
      </c>
      <c r="C41" s="54"/>
      <c r="D41" s="54"/>
      <c r="E41" s="54"/>
      <c r="G41" s="54"/>
      <c r="H41" s="54"/>
      <c r="I41" s="54"/>
    </row>
    <row r="42" spans="1:9" ht="13">
      <c r="A42" s="2">
        <v>18</v>
      </c>
      <c r="B42" s="302" t="s">
        <v>822</v>
      </c>
    </row>
    <row r="43" spans="1:9" ht="13">
      <c r="A43" s="2"/>
      <c r="B43" s="302"/>
    </row>
    <row r="44" spans="1:9" ht="13">
      <c r="A44" s="2"/>
      <c r="B44" s="1" t="s">
        <v>228</v>
      </c>
    </row>
    <row r="45" spans="1:9" ht="13">
      <c r="A45" s="2"/>
      <c r="B45" s="247" t="s">
        <v>1096</v>
      </c>
    </row>
    <row r="46" spans="1:9" ht="13">
      <c r="A46" s="2"/>
    </row>
    <row r="47" spans="1:9" ht="13">
      <c r="A47" s="2"/>
      <c r="B47" s="1" t="s">
        <v>433</v>
      </c>
    </row>
    <row r="48" spans="1:9" ht="13">
      <c r="A48" s="2"/>
      <c r="B48" s="247" t="s">
        <v>1097</v>
      </c>
    </row>
    <row r="49" spans="1:2" ht="13">
      <c r="A49" s="2"/>
      <c r="B49" s="246" t="s">
        <v>1098</v>
      </c>
    </row>
    <row r="50" spans="1:2" ht="13">
      <c r="A50" s="2"/>
      <c r="B50" s="246" t="s">
        <v>1099</v>
      </c>
    </row>
    <row r="51" spans="1:2" ht="13">
      <c r="A51" s="2"/>
      <c r="B51" s="246" t="s">
        <v>1100</v>
      </c>
    </row>
    <row r="52" spans="1:2" ht="13">
      <c r="A52" s="2"/>
      <c r="B52" s="246" t="s">
        <v>1101</v>
      </c>
    </row>
    <row r="53" spans="1:2">
      <c r="B53" s="246" t="s">
        <v>1102</v>
      </c>
    </row>
    <row r="54" spans="1:2">
      <c r="B54" s="294" t="s">
        <v>1103</v>
      </c>
    </row>
    <row r="55" spans="1:2">
      <c r="B55" s="247" t="s">
        <v>1104</v>
      </c>
    </row>
    <row r="56" spans="1:2">
      <c r="B56" s="247" t="s">
        <v>1105</v>
      </c>
    </row>
  </sheetData>
  <pageMargins left="0.7" right="0.7" top="0.75" bottom="0.75" header="0.3" footer="0.3"/>
  <pageSetup scale="80" orientation="portrait" cellComments="asDisplayed" r:id="rId1"/>
  <headerFooter>
    <oddHeader>&amp;CSchedule 12
Abandoned Plant
&amp;RTO2024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1106</v>
      </c>
    </row>
    <row r="2" spans="1:7">
      <c r="C2" s="247"/>
      <c r="F2" s="27" t="s">
        <v>635</v>
      </c>
      <c r="G2" s="691"/>
    </row>
    <row r="3" spans="1:7" ht="13">
      <c r="B3" s="1" t="s">
        <v>1107</v>
      </c>
      <c r="F3" s="39" t="s">
        <v>195</v>
      </c>
      <c r="G3" s="254" t="s">
        <v>1108</v>
      </c>
    </row>
    <row r="4" spans="1:7">
      <c r="C4" s="247" t="s">
        <v>1109</v>
      </c>
      <c r="E4" s="13"/>
      <c r="F4" s="936"/>
      <c r="G4" s="20"/>
    </row>
    <row r="5" spans="1:7">
      <c r="C5" s="247" t="s">
        <v>1110</v>
      </c>
      <c r="E5" s="13"/>
      <c r="F5" s="936"/>
      <c r="G5" s="20"/>
    </row>
    <row r="6" spans="1:7" ht="13">
      <c r="E6" s="13"/>
      <c r="F6" s="43"/>
      <c r="G6" s="20"/>
    </row>
    <row r="7" spans="1:7" ht="13">
      <c r="C7" s="14"/>
      <c r="D7" s="13"/>
      <c r="E7" s="19" t="s">
        <v>658</v>
      </c>
      <c r="F7" s="19" t="s">
        <v>1111</v>
      </c>
      <c r="G7" s="19"/>
    </row>
    <row r="8" spans="1:7" ht="13">
      <c r="A8" s="32" t="s">
        <v>99</v>
      </c>
      <c r="C8" s="18" t="s">
        <v>371</v>
      </c>
      <c r="D8" s="18" t="s">
        <v>372</v>
      </c>
      <c r="E8" s="18" t="s">
        <v>651</v>
      </c>
      <c r="F8" s="18" t="s">
        <v>1112</v>
      </c>
      <c r="G8" s="18" t="s">
        <v>100</v>
      </c>
    </row>
    <row r="9" spans="1:7" ht="13">
      <c r="A9" s="2">
        <v>1</v>
      </c>
      <c r="C9" s="13" t="s">
        <v>379</v>
      </c>
      <c r="D9" s="82">
        <v>2021</v>
      </c>
      <c r="E9" s="21" t="s">
        <v>1113</v>
      </c>
      <c r="F9" s="848">
        <v>407317077</v>
      </c>
      <c r="G9" s="21" t="s">
        <v>1114</v>
      </c>
    </row>
    <row r="10" spans="1:7" ht="13">
      <c r="A10" s="2">
        <f>A9+1</f>
        <v>2</v>
      </c>
      <c r="C10" s="255" t="s">
        <v>381</v>
      </c>
      <c r="D10" s="82">
        <v>2022</v>
      </c>
      <c r="E10" s="269" t="s">
        <v>894</v>
      </c>
      <c r="F10" s="848">
        <v>419523520.76999998</v>
      </c>
      <c r="G10" s="21"/>
    </row>
    <row r="11" spans="1:7" ht="13">
      <c r="A11" s="2">
        <f t="shared" ref="A11:A21" si="0">A10+1</f>
        <v>3</v>
      </c>
      <c r="C11" s="255" t="s">
        <v>382</v>
      </c>
      <c r="D11" s="82">
        <v>2022</v>
      </c>
      <c r="E11" s="269" t="s">
        <v>894</v>
      </c>
      <c r="F11" s="848">
        <v>419777136.41000003</v>
      </c>
      <c r="G11" s="21"/>
    </row>
    <row r="12" spans="1:7" ht="13">
      <c r="A12" s="2">
        <f t="shared" si="0"/>
        <v>4</v>
      </c>
      <c r="C12" s="255" t="s">
        <v>383</v>
      </c>
      <c r="D12" s="82">
        <v>2022</v>
      </c>
      <c r="E12" s="269" t="s">
        <v>894</v>
      </c>
      <c r="F12" s="848">
        <v>426961313.31</v>
      </c>
      <c r="G12" s="21"/>
    </row>
    <row r="13" spans="1:7" ht="13">
      <c r="A13" s="2">
        <f t="shared" si="0"/>
        <v>5</v>
      </c>
      <c r="C13" s="255" t="s">
        <v>384</v>
      </c>
      <c r="D13" s="82">
        <v>2022</v>
      </c>
      <c r="E13" s="269" t="s">
        <v>894</v>
      </c>
      <c r="F13" s="848">
        <v>420397447.06</v>
      </c>
      <c r="G13" s="21"/>
    </row>
    <row r="14" spans="1:7" ht="13">
      <c r="A14" s="2">
        <f t="shared" si="0"/>
        <v>6</v>
      </c>
      <c r="C14" s="255" t="s">
        <v>385</v>
      </c>
      <c r="D14" s="82">
        <v>2022</v>
      </c>
      <c r="E14" s="269" t="s">
        <v>894</v>
      </c>
      <c r="F14" s="848">
        <v>422447995.56</v>
      </c>
      <c r="G14" s="21"/>
    </row>
    <row r="15" spans="1:7" ht="13">
      <c r="A15" s="2">
        <f t="shared" si="0"/>
        <v>7</v>
      </c>
      <c r="C15" s="255" t="s">
        <v>594</v>
      </c>
      <c r="D15" s="82">
        <v>2022</v>
      </c>
      <c r="E15" s="269" t="s">
        <v>894</v>
      </c>
      <c r="F15" s="848">
        <v>431390211.88999999</v>
      </c>
      <c r="G15" s="21"/>
    </row>
    <row r="16" spans="1:7" ht="13">
      <c r="A16" s="2">
        <f t="shared" si="0"/>
        <v>8</v>
      </c>
      <c r="C16" s="255" t="s">
        <v>387</v>
      </c>
      <c r="D16" s="82">
        <v>2022</v>
      </c>
      <c r="E16" s="269" t="s">
        <v>894</v>
      </c>
      <c r="F16" s="848">
        <v>431775057.13</v>
      </c>
      <c r="G16" s="21"/>
    </row>
    <row r="17" spans="1:7" ht="13">
      <c r="A17" s="2">
        <f t="shared" si="0"/>
        <v>9</v>
      </c>
      <c r="C17" s="255" t="s">
        <v>388</v>
      </c>
      <c r="D17" s="82">
        <v>2022</v>
      </c>
      <c r="E17" s="269" t="s">
        <v>894</v>
      </c>
      <c r="F17" s="848">
        <v>434781134.29000002</v>
      </c>
      <c r="G17" s="21"/>
    </row>
    <row r="18" spans="1:7" ht="13">
      <c r="A18" s="2">
        <f t="shared" si="0"/>
        <v>10</v>
      </c>
      <c r="C18" s="255" t="s">
        <v>389</v>
      </c>
      <c r="D18" s="82">
        <v>2022</v>
      </c>
      <c r="E18" s="269" t="s">
        <v>894</v>
      </c>
      <c r="F18" s="848">
        <v>430538777.89999998</v>
      </c>
      <c r="G18" s="21"/>
    </row>
    <row r="19" spans="1:7" ht="13">
      <c r="A19" s="2">
        <f t="shared" si="0"/>
        <v>11</v>
      </c>
      <c r="C19" s="255" t="s">
        <v>390</v>
      </c>
      <c r="D19" s="82">
        <v>2022</v>
      </c>
      <c r="E19" s="269" t="s">
        <v>894</v>
      </c>
      <c r="F19" s="848">
        <v>435387753.32999998</v>
      </c>
      <c r="G19" s="21"/>
    </row>
    <row r="20" spans="1:7" ht="13">
      <c r="A20" s="2">
        <f t="shared" si="0"/>
        <v>12</v>
      </c>
      <c r="C20" s="255" t="s">
        <v>391</v>
      </c>
      <c r="D20" s="82">
        <v>2022</v>
      </c>
      <c r="E20" s="269" t="s">
        <v>894</v>
      </c>
      <c r="F20" s="267">
        <v>446897584.37</v>
      </c>
      <c r="G20" s="21"/>
    </row>
    <row r="21" spans="1:7" ht="13">
      <c r="A21" s="2">
        <f t="shared" si="0"/>
        <v>13</v>
      </c>
      <c r="C21" s="14" t="s">
        <v>379</v>
      </c>
      <c r="D21" s="82">
        <v>2022</v>
      </c>
      <c r="E21" s="21" t="s">
        <v>1115</v>
      </c>
      <c r="F21" s="848">
        <v>450721921.07999998</v>
      </c>
      <c r="G21" s="12" t="s">
        <v>747</v>
      </c>
    </row>
    <row r="22" spans="1:7" ht="13">
      <c r="C22" s="15"/>
      <c r="D22" s="15"/>
      <c r="E22" s="13"/>
      <c r="G22" s="21"/>
    </row>
    <row r="23" spans="1:7" ht="13">
      <c r="A23" s="2">
        <f>A21+1</f>
        <v>14</v>
      </c>
      <c r="C23" s="15"/>
      <c r="D23" s="15"/>
      <c r="E23" s="268" t="s">
        <v>1116</v>
      </c>
      <c r="F23" s="935">
        <f>SUM(F9:F21)/13</f>
        <v>429070533.08461541</v>
      </c>
      <c r="G23" s="12" t="str">
        <f>"(Sum Line "&amp;A9&amp;" to Line "&amp;A21&amp;") / 13"</f>
        <v>(Sum Line 1 to Line 13) / 13</v>
      </c>
    </row>
    <row r="24" spans="1:7" ht="13">
      <c r="A24" s="2">
        <f>A23+1</f>
        <v>15</v>
      </c>
      <c r="C24" s="15"/>
      <c r="D24" s="15"/>
      <c r="E24" s="22" t="s">
        <v>1117</v>
      </c>
      <c r="F24" s="24">
        <f>'27-Allocators'!G15</f>
        <v>5.9842511582503061E-2</v>
      </c>
      <c r="G24" s="12" t="str">
        <f>"27-Allocators, Line "&amp;'27-Allocators'!A15&amp;""</f>
        <v>27-Allocators, Line 9</v>
      </c>
    </row>
    <row r="25" spans="1:7" ht="13">
      <c r="D25" s="15"/>
      <c r="E25" s="22"/>
      <c r="F25" s="935"/>
      <c r="G25" s="12"/>
    </row>
    <row r="26" spans="1:7" ht="13">
      <c r="A26" s="2">
        <f>A24+1</f>
        <v>16</v>
      </c>
      <c r="C26" s="15" t="s">
        <v>109</v>
      </c>
      <c r="D26" s="15"/>
      <c r="E26" s="245" t="s">
        <v>653</v>
      </c>
      <c r="F26" s="935">
        <f>F21*F24</f>
        <v>26972331.782717928</v>
      </c>
      <c r="G26" s="246" t="str">
        <f>"Line "&amp;A21&amp;" * Line "&amp;A24&amp;""</f>
        <v>Line 13 * Line 15</v>
      </c>
    </row>
    <row r="27" spans="1:7" ht="13">
      <c r="A27" s="2">
        <f>A26+1</f>
        <v>17</v>
      </c>
      <c r="C27" s="15"/>
      <c r="D27" s="15"/>
      <c r="E27" s="268" t="s">
        <v>1118</v>
      </c>
      <c r="F27" s="935">
        <f>F23*F24</f>
        <v>25676658.345826861</v>
      </c>
      <c r="G27" s="246" t="str">
        <f>"Line "&amp;A23&amp;" * Line "&amp;A24&amp;""</f>
        <v>Line 14 * Line 15</v>
      </c>
    </row>
    <row r="29" spans="1:7" ht="13">
      <c r="B29" s="1" t="s">
        <v>1119</v>
      </c>
    </row>
    <row r="30" spans="1:7">
      <c r="C30" t="s">
        <v>1120</v>
      </c>
      <c r="E30" s="13"/>
      <c r="F30" s="936"/>
      <c r="G30" s="20"/>
    </row>
    <row r="31" spans="1:7">
      <c r="C31" t="s">
        <v>1121</v>
      </c>
      <c r="E31" s="13"/>
      <c r="F31" s="936"/>
      <c r="G31" s="20"/>
    </row>
    <row r="32" spans="1:7" ht="13">
      <c r="C32" s="14"/>
      <c r="D32" s="13"/>
      <c r="E32" s="19" t="s">
        <v>658</v>
      </c>
      <c r="F32" s="43" t="s">
        <v>1122</v>
      </c>
      <c r="G32" s="19"/>
    </row>
    <row r="33" spans="1:11" ht="13">
      <c r="C33" s="18" t="s">
        <v>371</v>
      </c>
      <c r="D33" s="18" t="s">
        <v>372</v>
      </c>
      <c r="E33" s="18" t="s">
        <v>651</v>
      </c>
      <c r="F33" s="18" t="s">
        <v>661</v>
      </c>
      <c r="G33" s="18" t="s">
        <v>100</v>
      </c>
    </row>
    <row r="34" spans="1:11" ht="13">
      <c r="A34" s="2">
        <f>A27+1</f>
        <v>18</v>
      </c>
      <c r="C34" s="13" t="s">
        <v>379</v>
      </c>
      <c r="D34" s="82">
        <v>2021</v>
      </c>
      <c r="E34" s="577" t="s">
        <v>1123</v>
      </c>
      <c r="F34" s="6">
        <f>F63</f>
        <v>254754590</v>
      </c>
      <c r="G34" s="577" t="s">
        <v>1124</v>
      </c>
    </row>
    <row r="35" spans="1:11" ht="13">
      <c r="A35" s="2">
        <f>A34+1</f>
        <v>19</v>
      </c>
      <c r="C35" s="255" t="s">
        <v>381</v>
      </c>
      <c r="D35" s="82">
        <v>2022</v>
      </c>
      <c r="E35" s="269" t="s">
        <v>894</v>
      </c>
      <c r="F35" s="59">
        <v>218548069.66</v>
      </c>
      <c r="G35" s="577"/>
      <c r="J35" s="6"/>
      <c r="K35" s="6"/>
    </row>
    <row r="36" spans="1:11" ht="13">
      <c r="A36" s="2">
        <f t="shared" ref="A36:A46" si="1">A35+1</f>
        <v>20</v>
      </c>
      <c r="C36" s="255" t="s">
        <v>382</v>
      </c>
      <c r="D36" s="82">
        <v>2022</v>
      </c>
      <c r="E36" s="269" t="s">
        <v>894</v>
      </c>
      <c r="F36" s="59">
        <v>184716208.72</v>
      </c>
      <c r="G36" s="577"/>
      <c r="J36" s="6"/>
      <c r="K36" s="6"/>
    </row>
    <row r="37" spans="1:11" ht="13">
      <c r="A37" s="2">
        <f t="shared" si="1"/>
        <v>21</v>
      </c>
      <c r="C37" s="255" t="s">
        <v>383</v>
      </c>
      <c r="D37" s="82">
        <v>2022</v>
      </c>
      <c r="E37" s="269" t="s">
        <v>894</v>
      </c>
      <c r="F37" s="59">
        <v>253730801.59999999</v>
      </c>
      <c r="G37" s="577"/>
      <c r="J37" s="6"/>
      <c r="K37" s="6"/>
    </row>
    <row r="38" spans="1:11" ht="13">
      <c r="A38" s="2">
        <f t="shared" si="1"/>
        <v>22</v>
      </c>
      <c r="C38" s="255" t="s">
        <v>384</v>
      </c>
      <c r="D38" s="82">
        <v>2022</v>
      </c>
      <c r="E38" s="269" t="s">
        <v>894</v>
      </c>
      <c r="F38" s="59">
        <v>198311707.62</v>
      </c>
      <c r="G38" s="577"/>
      <c r="J38" s="6"/>
      <c r="K38" s="6"/>
    </row>
    <row r="39" spans="1:11" ht="13">
      <c r="A39" s="2">
        <f t="shared" si="1"/>
        <v>23</v>
      </c>
      <c r="C39" s="255" t="s">
        <v>385</v>
      </c>
      <c r="D39" s="82">
        <v>2022</v>
      </c>
      <c r="E39" s="269" t="s">
        <v>894</v>
      </c>
      <c r="F39" s="59">
        <v>123954191.89</v>
      </c>
      <c r="G39" s="577"/>
      <c r="J39" s="6"/>
      <c r="K39" s="6"/>
    </row>
    <row r="40" spans="1:11" ht="13">
      <c r="A40" s="2">
        <f t="shared" si="1"/>
        <v>24</v>
      </c>
      <c r="C40" s="255" t="s">
        <v>594</v>
      </c>
      <c r="D40" s="82">
        <v>2022</v>
      </c>
      <c r="E40" s="269" t="s">
        <v>894</v>
      </c>
      <c r="F40" s="59">
        <v>47347599.020000003</v>
      </c>
      <c r="G40" s="577"/>
      <c r="J40" s="6"/>
      <c r="K40" s="6"/>
    </row>
    <row r="41" spans="1:11" ht="13">
      <c r="A41" s="2">
        <f t="shared" si="1"/>
        <v>25</v>
      </c>
      <c r="C41" s="255" t="s">
        <v>387</v>
      </c>
      <c r="D41" s="82">
        <v>2022</v>
      </c>
      <c r="E41" s="269" t="s">
        <v>894</v>
      </c>
      <c r="F41" s="59">
        <v>334535325.35000002</v>
      </c>
      <c r="G41" s="577"/>
      <c r="J41" s="6"/>
      <c r="K41" s="6"/>
    </row>
    <row r="42" spans="1:11" ht="13">
      <c r="A42" s="2">
        <f t="shared" si="1"/>
        <v>26</v>
      </c>
      <c r="C42" s="255" t="s">
        <v>388</v>
      </c>
      <c r="D42" s="82">
        <v>2022</v>
      </c>
      <c r="E42" s="269" t="s">
        <v>894</v>
      </c>
      <c r="F42" s="59">
        <v>398236827.48000002</v>
      </c>
      <c r="G42" s="577"/>
      <c r="J42" s="6"/>
      <c r="K42" s="6"/>
    </row>
    <row r="43" spans="1:11" ht="13">
      <c r="A43" s="2">
        <f t="shared" si="1"/>
        <v>27</v>
      </c>
      <c r="C43" s="255" t="s">
        <v>389</v>
      </c>
      <c r="D43" s="82">
        <v>2022</v>
      </c>
      <c r="E43" s="269" t="s">
        <v>894</v>
      </c>
      <c r="F43" s="59">
        <v>342514509.94999999</v>
      </c>
      <c r="G43" s="577"/>
      <c r="J43" s="6"/>
      <c r="K43" s="6"/>
    </row>
    <row r="44" spans="1:11" ht="13">
      <c r="A44" s="2">
        <f t="shared" si="1"/>
        <v>28</v>
      </c>
      <c r="C44" s="255" t="s">
        <v>390</v>
      </c>
      <c r="D44" s="82">
        <v>2022</v>
      </c>
      <c r="E44" s="269" t="s">
        <v>894</v>
      </c>
      <c r="F44" s="59">
        <v>311700117.87</v>
      </c>
      <c r="G44" s="577"/>
      <c r="J44" s="6"/>
      <c r="K44" s="6"/>
    </row>
    <row r="45" spans="1:11" ht="13">
      <c r="A45" s="2">
        <f t="shared" si="1"/>
        <v>29</v>
      </c>
      <c r="C45" s="255" t="s">
        <v>391</v>
      </c>
      <c r="D45" s="82">
        <v>2022</v>
      </c>
      <c r="E45" s="269" t="s">
        <v>894</v>
      </c>
      <c r="F45" s="120">
        <v>354969661.73000002</v>
      </c>
      <c r="G45" s="577"/>
      <c r="J45" s="6"/>
      <c r="K45" s="6"/>
    </row>
    <row r="46" spans="1:11" ht="13">
      <c r="A46" s="2">
        <f t="shared" si="1"/>
        <v>30</v>
      </c>
      <c r="C46" s="14" t="s">
        <v>379</v>
      </c>
      <c r="D46" s="82">
        <v>2022</v>
      </c>
      <c r="E46" s="577" t="s">
        <v>1125</v>
      </c>
      <c r="F46" s="6">
        <f>F69</f>
        <v>283844402</v>
      </c>
      <c r="G46" s="577" t="s">
        <v>1126</v>
      </c>
    </row>
    <row r="47" spans="1:11">
      <c r="C47" s="14"/>
      <c r="D47" s="17"/>
      <c r="E47" s="16"/>
      <c r="F47" s="935"/>
      <c r="G47" s="12"/>
    </row>
    <row r="48" spans="1:11" ht="13">
      <c r="C48" s="350" t="s">
        <v>1127</v>
      </c>
      <c r="D48" s="350"/>
      <c r="E48" s="319"/>
      <c r="G48" s="21"/>
    </row>
    <row r="49" spans="1:8" ht="13">
      <c r="A49" s="2">
        <f>A46+1</f>
        <v>31</v>
      </c>
      <c r="C49" s="15"/>
      <c r="D49" s="15"/>
      <c r="E49" s="370" t="s">
        <v>1118</v>
      </c>
      <c r="F49" s="935">
        <f>SUM(F34:F46)/13</f>
        <v>254397231.76076922</v>
      </c>
      <c r="G49" s="12" t="str">
        <f>"(Sum Line "&amp;A34&amp;" to Line "&amp;A46&amp;") / 13"</f>
        <v>(Sum Line 18 to Line 30) / 13</v>
      </c>
    </row>
    <row r="50" spans="1:8" ht="13">
      <c r="A50" s="2">
        <f>A49+1</f>
        <v>32</v>
      </c>
      <c r="C50" s="15"/>
      <c r="D50" s="15"/>
      <c r="E50" s="268" t="s">
        <v>1117</v>
      </c>
      <c r="F50" s="24">
        <f>'27-Allocators'!G15</f>
        <v>5.9842511582503061E-2</v>
      </c>
      <c r="G50" s="12" t="str">
        <f>"27-Allocators, Line "&amp;'27-Allocators'!A15&amp;""</f>
        <v>27-Allocators, Line 9</v>
      </c>
    </row>
    <row r="51" spans="1:8" ht="13">
      <c r="A51" s="2">
        <f>A50+1</f>
        <v>33</v>
      </c>
      <c r="C51" s="15"/>
      <c r="D51" s="15"/>
      <c r="E51" s="22" t="s">
        <v>1128</v>
      </c>
      <c r="F51" s="935">
        <f>F49*F50</f>
        <v>15223769.288200548</v>
      </c>
      <c r="G51" s="246" t="str">
        <f>"Line "&amp;A49&amp;" * Line "&amp;A50&amp;""</f>
        <v>Line 31 * Line 32</v>
      </c>
    </row>
    <row r="52" spans="1:8" ht="13">
      <c r="C52" s="15" t="s">
        <v>1129</v>
      </c>
      <c r="D52" s="15"/>
      <c r="E52" s="13"/>
      <c r="G52" s="23"/>
    </row>
    <row r="53" spans="1:8" ht="13">
      <c r="A53" s="2">
        <f>A51+1</f>
        <v>34</v>
      </c>
      <c r="C53" s="15"/>
      <c r="D53" s="15"/>
      <c r="E53" s="22" t="s">
        <v>653</v>
      </c>
      <c r="F53" s="935">
        <f>F46</f>
        <v>283844402</v>
      </c>
      <c r="G53" s="23" t="str">
        <f>"Line "&amp;A46&amp;""</f>
        <v>Line 30</v>
      </c>
    </row>
    <row r="54" spans="1:8" ht="13">
      <c r="A54" s="2">
        <f>A53+1</f>
        <v>35</v>
      </c>
      <c r="C54" s="15"/>
      <c r="D54" s="15"/>
      <c r="E54" s="22" t="s">
        <v>1117</v>
      </c>
      <c r="F54" s="24">
        <f>'27-Allocators'!G15</f>
        <v>5.9842511582503061E-2</v>
      </c>
      <c r="G54" s="12" t="str">
        <f>"27-Allocators, Line "&amp;'27-Allocators'!A15&amp;""</f>
        <v>27-Allocators, Line 9</v>
      </c>
    </row>
    <row r="55" spans="1:8" ht="13">
      <c r="A55" s="2">
        <f>A54+1</f>
        <v>36</v>
      </c>
      <c r="C55" s="15"/>
      <c r="D55" s="15"/>
      <c r="E55" s="22" t="s">
        <v>1128</v>
      </c>
      <c r="F55" s="935">
        <f>F53*F54</f>
        <v>16985961.914313655</v>
      </c>
      <c r="G55" s="246" t="str">
        <f>"Line "&amp;A53&amp;" * Line "&amp;A54&amp;""</f>
        <v>Line 34 * Line 35</v>
      </c>
    </row>
    <row r="56" spans="1:8" ht="13">
      <c r="B56" s="30" t="s">
        <v>228</v>
      </c>
      <c r="C56" s="247"/>
      <c r="D56" s="247"/>
      <c r="E56" s="247"/>
      <c r="F56" s="247"/>
      <c r="G56" s="247"/>
    </row>
    <row r="57" spans="1:8">
      <c r="B57" s="247" t="s">
        <v>1130</v>
      </c>
      <c r="C57" s="247" t="str">
        <f>"Remove any amounts related to years prior to 2012 on "&amp;B62&amp;" and "&amp;B68&amp;" below."</f>
        <v>Remove any amounts related to years prior to 2012 on b and e below.</v>
      </c>
      <c r="D57" s="247"/>
      <c r="E57" s="247"/>
      <c r="F57" s="247"/>
      <c r="G57" s="247"/>
    </row>
    <row r="58" spans="1:8" ht="13">
      <c r="A58" s="2"/>
      <c r="B58" s="247"/>
      <c r="C58" s="247"/>
      <c r="D58" s="247"/>
      <c r="E58" s="245"/>
      <c r="F58" s="249"/>
      <c r="G58" s="246"/>
      <c r="H58" s="1"/>
    </row>
    <row r="59" spans="1:8" ht="13">
      <c r="A59" s="2"/>
      <c r="B59" s="247"/>
      <c r="C59" s="247" t="s">
        <v>1131</v>
      </c>
      <c r="D59" s="247"/>
      <c r="E59" s="245"/>
      <c r="F59" s="578" t="s">
        <v>110</v>
      </c>
      <c r="G59" s="246"/>
    </row>
    <row r="60" spans="1:8" ht="13">
      <c r="A60" s="2"/>
      <c r="B60" s="247"/>
      <c r="C60" s="247"/>
      <c r="D60" s="247"/>
      <c r="E60" s="245"/>
      <c r="F60" s="344" t="s">
        <v>661</v>
      </c>
      <c r="G60" s="200" t="s">
        <v>651</v>
      </c>
    </row>
    <row r="61" spans="1:8" ht="13">
      <c r="A61" s="2"/>
      <c r="B61" s="2" t="s">
        <v>515</v>
      </c>
      <c r="C61" s="319"/>
      <c r="D61" s="247"/>
      <c r="E61" s="245" t="s">
        <v>1132</v>
      </c>
      <c r="F61" s="582">
        <v>254754590</v>
      </c>
      <c r="G61" s="577" t="s">
        <v>1133</v>
      </c>
    </row>
    <row r="62" spans="1:8" ht="13">
      <c r="A62" s="2"/>
      <c r="B62" s="2" t="s">
        <v>518</v>
      </c>
      <c r="C62" s="247"/>
      <c r="D62" s="247"/>
      <c r="E62" s="245" t="s">
        <v>1134</v>
      </c>
      <c r="F62" s="61">
        <v>0</v>
      </c>
      <c r="G62" s="246" t="s">
        <v>144</v>
      </c>
    </row>
    <row r="63" spans="1:8" ht="13">
      <c r="A63" s="2"/>
      <c r="B63" s="2" t="s">
        <v>521</v>
      </c>
      <c r="C63" s="247"/>
      <c r="D63" s="247"/>
      <c r="E63" s="245" t="s">
        <v>1135</v>
      </c>
      <c r="F63" s="249">
        <f>F61-F62</f>
        <v>254754590</v>
      </c>
      <c r="G63" s="246" t="str">
        <f>""&amp;B61&amp;" - "&amp;B62&amp;""</f>
        <v>a - b</v>
      </c>
    </row>
    <row r="64" spans="1:8" ht="13">
      <c r="A64" s="2"/>
      <c r="B64" s="247"/>
      <c r="C64" s="247"/>
      <c r="D64" s="247"/>
      <c r="E64" s="247"/>
      <c r="F64" s="247"/>
      <c r="G64" s="247"/>
    </row>
    <row r="65" spans="1:7" ht="13">
      <c r="A65" s="2"/>
      <c r="B65" s="247"/>
      <c r="C65" s="247" t="s">
        <v>1136</v>
      </c>
      <c r="D65" s="247"/>
      <c r="E65" s="245"/>
      <c r="F65" s="578" t="s">
        <v>110</v>
      </c>
      <c r="G65" s="246"/>
    </row>
    <row r="66" spans="1:7" ht="13">
      <c r="A66" s="2"/>
      <c r="B66" s="247"/>
      <c r="C66" s="247"/>
      <c r="D66" s="247"/>
      <c r="E66" s="245"/>
      <c r="F66" s="344" t="s">
        <v>661</v>
      </c>
      <c r="G66" s="200" t="s">
        <v>651</v>
      </c>
    </row>
    <row r="67" spans="1:7" ht="13">
      <c r="A67" s="2"/>
      <c r="B67" s="2" t="s">
        <v>523</v>
      </c>
      <c r="C67" s="319"/>
      <c r="D67" s="247"/>
      <c r="E67" s="245" t="s">
        <v>1132</v>
      </c>
      <c r="F67" s="582">
        <v>283844402</v>
      </c>
      <c r="G67" s="577" t="s">
        <v>1137</v>
      </c>
    </row>
    <row r="68" spans="1:7" ht="13">
      <c r="A68" s="2"/>
      <c r="B68" s="2" t="s">
        <v>527</v>
      </c>
      <c r="C68" s="247"/>
      <c r="D68" s="247"/>
      <c r="E68" s="245" t="s">
        <v>1134</v>
      </c>
      <c r="F68" s="61">
        <v>0</v>
      </c>
      <c r="G68" s="246" t="s">
        <v>144</v>
      </c>
    </row>
    <row r="69" spans="1:7" ht="13">
      <c r="A69" s="2"/>
      <c r="B69" s="2" t="s">
        <v>530</v>
      </c>
      <c r="C69" s="247"/>
      <c r="D69" s="247"/>
      <c r="E69" s="245" t="s">
        <v>1138</v>
      </c>
      <c r="F69" s="249">
        <f>F67-F68</f>
        <v>283844402</v>
      </c>
      <c r="G69" s="246" t="str">
        <f>""&amp;B67&amp;" - "&amp;B68&amp;""</f>
        <v>d - e</v>
      </c>
    </row>
    <row r="73" spans="1:7">
      <c r="F73" s="300"/>
    </row>
  </sheetData>
  <phoneticPr fontId="23" type="noConversion"/>
  <pageMargins left="0.75" right="0.75" top="1" bottom="1" header="0.5" footer="0.5"/>
  <pageSetup scale="72" orientation="portrait" cellComments="asDisplayed" r:id="rId1"/>
  <headerFooter alignWithMargins="0">
    <oddHeader>&amp;CSchedule 13
Working Capital
&amp;RTO2024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20" customWidth="1"/>
    <col min="3" max="3" width="10.54296875" customWidth="1"/>
    <col min="4" max="4" width="66.54296875" customWidth="1"/>
  </cols>
  <sheetData>
    <row r="1" spans="1:4" ht="13">
      <c r="A1" s="1" t="s">
        <v>1</v>
      </c>
      <c r="C1" s="1"/>
    </row>
    <row r="3" spans="1:4" ht="13">
      <c r="B3" s="3" t="s">
        <v>2</v>
      </c>
      <c r="C3" s="3" t="s">
        <v>3</v>
      </c>
      <c r="D3" s="200" t="s">
        <v>4</v>
      </c>
    </row>
    <row r="4" spans="1:4">
      <c r="B4" s="193" t="s">
        <v>0</v>
      </c>
      <c r="C4" s="37"/>
      <c r="D4" s="247" t="s">
        <v>5</v>
      </c>
    </row>
    <row r="5" spans="1:4">
      <c r="B5" s="193" t="s">
        <v>6</v>
      </c>
      <c r="C5" s="37">
        <v>1</v>
      </c>
      <c r="D5" s="247" t="s">
        <v>7</v>
      </c>
    </row>
    <row r="6" spans="1:4">
      <c r="B6" s="193" t="s">
        <v>8</v>
      </c>
      <c r="C6" s="37">
        <v>2</v>
      </c>
      <c r="D6" s="247" t="s">
        <v>9</v>
      </c>
    </row>
    <row r="7" spans="1:4">
      <c r="B7" s="193" t="s">
        <v>10</v>
      </c>
      <c r="C7" s="37">
        <v>3</v>
      </c>
      <c r="D7" s="247" t="s">
        <v>11</v>
      </c>
    </row>
    <row r="8" spans="1:4">
      <c r="B8" s="193" t="s">
        <v>12</v>
      </c>
      <c r="C8" s="37">
        <v>4</v>
      </c>
      <c r="D8" s="247" t="s">
        <v>13</v>
      </c>
    </row>
    <row r="9" spans="1:4">
      <c r="B9" s="193" t="s">
        <v>14</v>
      </c>
      <c r="C9" s="37">
        <v>5</v>
      </c>
      <c r="D9" s="247" t="s">
        <v>15</v>
      </c>
    </row>
    <row r="10" spans="1:4">
      <c r="B10" s="193" t="s">
        <v>16</v>
      </c>
      <c r="C10" s="37">
        <v>6</v>
      </c>
      <c r="D10" s="247" t="s">
        <v>17</v>
      </c>
    </row>
    <row r="11" spans="1:4">
      <c r="B11" s="193" t="s">
        <v>18</v>
      </c>
      <c r="C11" s="37">
        <v>7</v>
      </c>
      <c r="D11" s="247" t="s">
        <v>19</v>
      </c>
    </row>
    <row r="12" spans="1:4">
      <c r="B12" s="193" t="s">
        <v>20</v>
      </c>
      <c r="C12" s="37">
        <v>8</v>
      </c>
      <c r="D12" s="247" t="s">
        <v>21</v>
      </c>
    </row>
    <row r="13" spans="1:4">
      <c r="B13" s="193" t="s">
        <v>22</v>
      </c>
      <c r="C13" s="37">
        <v>9</v>
      </c>
      <c r="D13" s="247" t="s">
        <v>23</v>
      </c>
    </row>
    <row r="14" spans="1:4">
      <c r="B14" s="193" t="s">
        <v>24</v>
      </c>
      <c r="C14" s="37">
        <v>10</v>
      </c>
      <c r="D14" s="247" t="s">
        <v>25</v>
      </c>
    </row>
    <row r="15" spans="1:4">
      <c r="B15" s="193" t="s">
        <v>26</v>
      </c>
      <c r="C15" s="37">
        <v>11</v>
      </c>
      <c r="D15" s="247" t="s">
        <v>27</v>
      </c>
    </row>
    <row r="16" spans="1:4">
      <c r="B16" s="193" t="s">
        <v>28</v>
      </c>
      <c r="C16" s="37">
        <v>12</v>
      </c>
      <c r="D16" s="247" t="s">
        <v>29</v>
      </c>
    </row>
    <row r="17" spans="2:4">
      <c r="B17" s="193" t="s">
        <v>30</v>
      </c>
      <c r="C17" s="37">
        <v>13</v>
      </c>
      <c r="D17" s="247" t="s">
        <v>31</v>
      </c>
    </row>
    <row r="18" spans="2:4">
      <c r="B18" s="193" t="s">
        <v>32</v>
      </c>
      <c r="C18" s="37">
        <v>14</v>
      </c>
      <c r="D18" s="247" t="s">
        <v>33</v>
      </c>
    </row>
    <row r="19" spans="2:4">
      <c r="B19" s="193" t="s">
        <v>34</v>
      </c>
      <c r="C19" s="37">
        <v>15</v>
      </c>
      <c r="D19" s="247" t="s">
        <v>35</v>
      </c>
    </row>
    <row r="20" spans="2:4">
      <c r="B20" s="193" t="s">
        <v>36</v>
      </c>
      <c r="C20" s="37">
        <v>16</v>
      </c>
      <c r="D20" s="247" t="s">
        <v>37</v>
      </c>
    </row>
    <row r="21" spans="2:4">
      <c r="B21" s="193" t="s">
        <v>38</v>
      </c>
      <c r="C21" s="37">
        <v>17</v>
      </c>
      <c r="D21" s="247" t="s">
        <v>39</v>
      </c>
    </row>
    <row r="22" spans="2:4">
      <c r="B22" s="193" t="s">
        <v>40</v>
      </c>
      <c r="C22" s="37">
        <v>18</v>
      </c>
      <c r="D22" s="247" t="s">
        <v>41</v>
      </c>
    </row>
    <row r="23" spans="2:4">
      <c r="B23" s="193" t="s">
        <v>42</v>
      </c>
      <c r="C23" s="37">
        <v>19</v>
      </c>
      <c r="D23" s="247" t="s">
        <v>43</v>
      </c>
    </row>
    <row r="24" spans="2:4">
      <c r="B24" s="193" t="s">
        <v>44</v>
      </c>
      <c r="C24" s="37">
        <v>20</v>
      </c>
      <c r="D24" s="247" t="s">
        <v>45</v>
      </c>
    </row>
    <row r="25" spans="2:4">
      <c r="B25" s="193" t="s">
        <v>46</v>
      </c>
      <c r="C25" s="37">
        <v>21</v>
      </c>
      <c r="D25" s="247" t="s">
        <v>47</v>
      </c>
    </row>
    <row r="26" spans="2:4">
      <c r="B26" s="193" t="s">
        <v>48</v>
      </c>
      <c r="C26" s="37">
        <v>22</v>
      </c>
      <c r="D26" s="247" t="s">
        <v>49</v>
      </c>
    </row>
    <row r="27" spans="2:4">
      <c r="B27" s="193" t="s">
        <v>50</v>
      </c>
      <c r="C27" s="37">
        <v>23</v>
      </c>
      <c r="D27" s="247" t="s">
        <v>51</v>
      </c>
    </row>
    <row r="28" spans="2:4" ht="12.75" customHeight="1">
      <c r="B28" s="193" t="s">
        <v>52</v>
      </c>
      <c r="C28" s="37">
        <v>24</v>
      </c>
      <c r="D28" s="247" t="s">
        <v>53</v>
      </c>
    </row>
    <row r="29" spans="2:4">
      <c r="B29" s="193" t="s">
        <v>54</v>
      </c>
      <c r="C29" s="37">
        <v>25</v>
      </c>
      <c r="D29" s="247" t="s">
        <v>55</v>
      </c>
    </row>
    <row r="30" spans="2:4">
      <c r="B30" s="193" t="s">
        <v>56</v>
      </c>
      <c r="C30" s="37">
        <v>26</v>
      </c>
      <c r="D30" s="247" t="s">
        <v>57</v>
      </c>
    </row>
    <row r="31" spans="2:4">
      <c r="B31" s="193" t="s">
        <v>58</v>
      </c>
      <c r="C31" s="37">
        <v>27</v>
      </c>
      <c r="D31" s="247" t="s">
        <v>59</v>
      </c>
    </row>
    <row r="32" spans="2:4">
      <c r="B32" s="193" t="s">
        <v>60</v>
      </c>
      <c r="C32" s="37">
        <v>28</v>
      </c>
      <c r="D32" s="247" t="s">
        <v>61</v>
      </c>
    </row>
    <row r="33" spans="2:4">
      <c r="B33" s="193" t="s">
        <v>62</v>
      </c>
      <c r="C33" s="37">
        <v>29</v>
      </c>
      <c r="D33" s="247" t="s">
        <v>63</v>
      </c>
    </row>
    <row r="34" spans="2:4">
      <c r="B34" s="193" t="s">
        <v>64</v>
      </c>
      <c r="C34" s="37">
        <v>30</v>
      </c>
      <c r="D34" s="247" t="s">
        <v>65</v>
      </c>
    </row>
    <row r="35" spans="2:4">
      <c r="B35" s="193" t="s">
        <v>66</v>
      </c>
      <c r="C35" s="37">
        <v>31</v>
      </c>
      <c r="D35" s="247" t="s">
        <v>67</v>
      </c>
    </row>
    <row r="36" spans="2:4">
      <c r="B36" s="193" t="s">
        <v>68</v>
      </c>
      <c r="C36" s="37">
        <v>32</v>
      </c>
      <c r="D36" s="247" t="s">
        <v>69</v>
      </c>
    </row>
    <row r="37" spans="2:4">
      <c r="B37" s="193" t="s">
        <v>70</v>
      </c>
      <c r="C37" s="37">
        <v>33</v>
      </c>
      <c r="D37" s="247" t="s">
        <v>71</v>
      </c>
    </row>
    <row r="38" spans="2:4">
      <c r="B38" s="193" t="s">
        <v>72</v>
      </c>
      <c r="C38" s="37">
        <v>34</v>
      </c>
      <c r="D38" s="247" t="s">
        <v>73</v>
      </c>
    </row>
    <row r="39" spans="2:4">
      <c r="B39" s="193" t="s">
        <v>74</v>
      </c>
      <c r="C39" s="248">
        <v>35</v>
      </c>
      <c r="D39" s="247" t="s">
        <v>75</v>
      </c>
    </row>
    <row r="40" spans="2:4">
      <c r="B40" s="247"/>
    </row>
    <row r="41" spans="2:4">
      <c r="B41" s="247"/>
    </row>
    <row r="42" spans="2:4">
      <c r="B42" s="247"/>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&amp;RTO2024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1139</v>
      </c>
    </row>
    <row r="2" spans="1:10" ht="13">
      <c r="A2" s="1" t="s">
        <v>1140</v>
      </c>
      <c r="E2" s="39" t="s">
        <v>195</v>
      </c>
      <c r="F2" s="254" t="s">
        <v>1141</v>
      </c>
      <c r="G2" s="54"/>
    </row>
    <row r="3" spans="1:10" ht="13">
      <c r="B3" s="1"/>
      <c r="H3" s="254" t="s">
        <v>1070</v>
      </c>
      <c r="I3" s="54"/>
      <c r="J3" s="35"/>
    </row>
    <row r="4" spans="1:10" ht="13">
      <c r="B4" s="1" t="s">
        <v>1142</v>
      </c>
      <c r="H4" s="642"/>
    </row>
    <row r="5" spans="1:10" ht="13">
      <c r="B5" s="34" t="s">
        <v>1143</v>
      </c>
    </row>
    <row r="6" spans="1:10" ht="13">
      <c r="B6" s="34" t="s">
        <v>1144</v>
      </c>
    </row>
    <row r="7" spans="1:10" ht="13">
      <c r="B7" s="58" t="s">
        <v>1145</v>
      </c>
    </row>
    <row r="8" spans="1:10" ht="13">
      <c r="B8" s="58" t="s">
        <v>1146</v>
      </c>
    </row>
    <row r="9" spans="1:10" ht="13">
      <c r="B9" s="58" t="s">
        <v>1147</v>
      </c>
      <c r="D9" s="1"/>
      <c r="E9" s="1"/>
    </row>
    <row r="10" spans="1:10" ht="13">
      <c r="B10" s="34"/>
    </row>
    <row r="11" spans="1:10" ht="13">
      <c r="B11" s="34"/>
      <c r="C11" s="247" t="s">
        <v>1148</v>
      </c>
    </row>
    <row r="12" spans="1:10" ht="13">
      <c r="B12" s="34"/>
      <c r="C12" s="246" t="s">
        <v>1149</v>
      </c>
    </row>
    <row r="13" spans="1:10" ht="13">
      <c r="B13" s="34"/>
      <c r="C13" s="246" t="s">
        <v>1150</v>
      </c>
    </row>
    <row r="14" spans="1:10" ht="13">
      <c r="B14" s="34"/>
      <c r="C14" s="246" t="s">
        <v>1151</v>
      </c>
    </row>
    <row r="15" spans="1:10" ht="13">
      <c r="B15" s="34"/>
      <c r="C15" s="261" t="s">
        <v>1152</v>
      </c>
    </row>
    <row r="16" spans="1:10" ht="13">
      <c r="B16" s="34"/>
      <c r="C16" s="246" t="s">
        <v>1153</v>
      </c>
    </row>
    <row r="17" spans="1:10" ht="13">
      <c r="B17" s="34"/>
      <c r="C17" s="246" t="s">
        <v>1154</v>
      </c>
    </row>
    <row r="18" spans="1:10" ht="13">
      <c r="B18" s="34"/>
      <c r="C18" s="246"/>
    </row>
    <row r="19" spans="1:10" ht="13">
      <c r="C19" s="1" t="s">
        <v>1155</v>
      </c>
    </row>
    <row r="20" spans="1:10" ht="13">
      <c r="C20" s="1"/>
      <c r="E20" s="3" t="s">
        <v>336</v>
      </c>
      <c r="F20" s="3" t="s">
        <v>337</v>
      </c>
      <c r="G20" s="3" t="s">
        <v>338</v>
      </c>
    </row>
    <row r="21" spans="1:10" ht="13">
      <c r="B21" s="1"/>
      <c r="F21" s="2" t="s">
        <v>859</v>
      </c>
      <c r="G21" s="2" t="s">
        <v>988</v>
      </c>
    </row>
    <row r="22" spans="1:10" ht="13">
      <c r="B22" s="1"/>
      <c r="E22" s="2" t="s">
        <v>859</v>
      </c>
      <c r="F22" s="4" t="s">
        <v>1156</v>
      </c>
      <c r="G22" s="2" t="s">
        <v>1157</v>
      </c>
    </row>
    <row r="23" spans="1:10" ht="13">
      <c r="B23" s="1"/>
      <c r="C23" s="247"/>
      <c r="E23" s="2" t="s">
        <v>1158</v>
      </c>
      <c r="F23" s="2" t="s">
        <v>798</v>
      </c>
      <c r="G23" s="2" t="s">
        <v>24</v>
      </c>
    </row>
    <row r="24" spans="1:10" ht="13">
      <c r="B24" s="1"/>
      <c r="C24" s="2" t="s">
        <v>1159</v>
      </c>
      <c r="E24" s="2" t="s">
        <v>120</v>
      </c>
      <c r="F24" s="2" t="s">
        <v>120</v>
      </c>
      <c r="G24" s="4" t="s">
        <v>473</v>
      </c>
    </row>
    <row r="25" spans="1:10" ht="13">
      <c r="A25" s="30" t="s">
        <v>273</v>
      </c>
      <c r="B25" s="1"/>
      <c r="C25" s="3" t="s">
        <v>1074</v>
      </c>
      <c r="E25" s="3" t="s">
        <v>79</v>
      </c>
      <c r="F25" s="3" t="s">
        <v>79</v>
      </c>
      <c r="G25" s="3" t="s">
        <v>79</v>
      </c>
      <c r="H25" s="3" t="s">
        <v>228</v>
      </c>
      <c r="I25" s="291"/>
      <c r="J25" s="291"/>
    </row>
    <row r="26" spans="1:10" ht="13">
      <c r="A26" s="2">
        <v>1</v>
      </c>
      <c r="B26" s="1"/>
      <c r="C26" s="247" t="s">
        <v>1160</v>
      </c>
      <c r="E26" s="6">
        <f>'10-CWIP'!E25</f>
        <v>569300.1</v>
      </c>
      <c r="F26" s="6">
        <f>'10-CWIP'!E26</f>
        <v>381025.51615384617</v>
      </c>
      <c r="G26" s="6">
        <f>'10-CWIP'!K113</f>
        <v>-569300.09999999974</v>
      </c>
      <c r="H26" s="246" t="str">
        <f>"10-CWIP Lines "&amp;'10-CWIP'!A25&amp;", "&amp;'10-CWIP'!A26&amp;", and "&amp;'10-CWIP'!A113&amp;""</f>
        <v>10-CWIP Lines 13, 14, and 80</v>
      </c>
    </row>
    <row r="27" spans="1:10" ht="13">
      <c r="A27" s="2">
        <f t="shared" ref="A27:A38" si="0">A26+1</f>
        <v>2</v>
      </c>
      <c r="B27" s="1"/>
      <c r="C27" s="247" t="s">
        <v>1161</v>
      </c>
      <c r="E27" s="6">
        <f>'10-CWIP'!F25</f>
        <v>0</v>
      </c>
      <c r="F27" s="6">
        <f>'10-CWIP'!F26</f>
        <v>0</v>
      </c>
      <c r="G27" s="6">
        <f>'10-CWIP'!K146</f>
        <v>0</v>
      </c>
      <c r="H27" s="246" t="str">
        <f>"10-CWIP Lines "&amp;'10-CWIP'!A25&amp;", "&amp;'10-CWIP'!A26&amp;", and "&amp;'10-CWIP'!A146&amp;""</f>
        <v>10-CWIP Lines 13, 14, and 106</v>
      </c>
    </row>
    <row r="28" spans="1:10" ht="13">
      <c r="A28" s="2">
        <f t="shared" si="0"/>
        <v>3</v>
      </c>
      <c r="B28" s="1"/>
      <c r="C28" s="247" t="s">
        <v>1162</v>
      </c>
      <c r="E28" s="6">
        <f>'10-CWIP'!G25</f>
        <v>6391146.5599999996</v>
      </c>
      <c r="F28" s="6">
        <f>'10-CWIP'!G26</f>
        <v>6246772.8100000005</v>
      </c>
      <c r="G28" s="6">
        <f>'10-CWIP'!K179</f>
        <v>2293057.692307692</v>
      </c>
      <c r="H28" s="246" t="str">
        <f>"10-CWIP Lines "&amp;'10-CWIP'!A25&amp;", "&amp;'10-CWIP'!A26&amp;", and "&amp;'10-CWIP'!A179&amp;""</f>
        <v>10-CWIP Lines 13, 14, and 132</v>
      </c>
    </row>
    <row r="29" spans="1:10" ht="13">
      <c r="A29" s="2">
        <f t="shared" si="0"/>
        <v>4</v>
      </c>
      <c r="B29" s="1"/>
      <c r="C29" s="247" t="s">
        <v>1163</v>
      </c>
      <c r="E29" s="6">
        <f>'10-CWIP'!H25</f>
        <v>974727.83</v>
      </c>
      <c r="F29" s="6">
        <f>'10-CWIP'!H26</f>
        <v>671682.44923076918</v>
      </c>
      <c r="G29" s="6">
        <f>'10-CWIP'!K212</f>
        <v>-974727.83</v>
      </c>
      <c r="H29" s="246" t="str">
        <f>"10-CWIP Lines "&amp;'10-CWIP'!A25&amp;", "&amp;'10-CWIP'!A26&amp;", and "&amp;'10-CWIP'!A212&amp;""</f>
        <v>10-CWIP Lines 13, 14, and 158</v>
      </c>
    </row>
    <row r="30" spans="1:10" ht="13">
      <c r="A30" s="2">
        <f t="shared" si="0"/>
        <v>5</v>
      </c>
      <c r="B30" s="1"/>
      <c r="C30" s="247" t="s">
        <v>1164</v>
      </c>
      <c r="E30" s="6">
        <f>'10-CWIP'!I25</f>
        <v>0</v>
      </c>
      <c r="F30" s="6">
        <f>'10-CWIP'!I26</f>
        <v>0</v>
      </c>
      <c r="G30" s="6">
        <f>'10-CWIP'!K245</f>
        <v>0</v>
      </c>
      <c r="H30" s="246" t="str">
        <f>"10-CWIP Lines "&amp;'10-CWIP'!A25&amp;", "&amp;'10-CWIP'!A26&amp;", and "&amp;'10-CWIP'!A245&amp;""</f>
        <v>10-CWIP Lines 13, 14, and 184</v>
      </c>
    </row>
    <row r="31" spans="1:10" ht="13">
      <c r="A31" s="2">
        <f t="shared" si="0"/>
        <v>6</v>
      </c>
      <c r="B31" s="1"/>
      <c r="C31" s="247" t="s">
        <v>1165</v>
      </c>
      <c r="E31" s="6">
        <f>'10-CWIP'!D45</f>
        <v>0</v>
      </c>
      <c r="F31" s="6">
        <f>'10-CWIP'!D46</f>
        <v>0</v>
      </c>
      <c r="G31" s="6">
        <f>'10-CWIP'!K278</f>
        <v>0</v>
      </c>
      <c r="H31" s="246" t="str">
        <f>"10-CWIP Lines "&amp;'10-CWIP'!A45&amp;", "&amp;'10-CWIP'!A46&amp;", and "&amp;'10-CWIP'!A278&amp;""</f>
        <v>10-CWIP Lines 27, 28, and 210</v>
      </c>
    </row>
    <row r="32" spans="1:10" ht="13">
      <c r="A32" s="2">
        <f t="shared" si="0"/>
        <v>7</v>
      </c>
      <c r="B32" s="1"/>
      <c r="C32" s="247" t="s">
        <v>1166</v>
      </c>
      <c r="E32" s="6">
        <f>'10-CWIP'!E45</f>
        <v>0</v>
      </c>
      <c r="F32" s="6">
        <f>'10-CWIP'!E46</f>
        <v>0</v>
      </c>
      <c r="G32" s="6">
        <f>'10-CWIP'!K311</f>
        <v>0</v>
      </c>
      <c r="H32" s="246" t="str">
        <f>"10-CWIP Lines "&amp;'10-CWIP'!A45&amp;", "&amp;'10-CWIP'!A46&amp;", and "&amp;'10-CWIP'!A311&amp;""</f>
        <v>10-CWIP Lines 27, 28, and 236</v>
      </c>
    </row>
    <row r="33" spans="1:8" ht="13">
      <c r="A33" s="2">
        <f t="shared" si="0"/>
        <v>8</v>
      </c>
      <c r="B33" s="1"/>
      <c r="C33" s="247" t="s">
        <v>1167</v>
      </c>
      <c r="E33" s="6">
        <f>'10-CWIP'!F45</f>
        <v>0</v>
      </c>
      <c r="F33" s="6">
        <f>'10-CWIP'!F46</f>
        <v>80790781.849230766</v>
      </c>
      <c r="G33" s="6">
        <f>'10-CWIP'!K344</f>
        <v>0</v>
      </c>
      <c r="H33" s="246" t="str">
        <f>"10-CWIP Lines "&amp;'10-CWIP'!A45&amp;", "&amp;'10-CWIP'!A46&amp;", and "&amp;'10-CWIP'!A344&amp;""</f>
        <v>10-CWIP Lines 27, 28, and 262</v>
      </c>
    </row>
    <row r="34" spans="1:8" ht="13">
      <c r="A34" s="2">
        <f t="shared" si="0"/>
        <v>9</v>
      </c>
      <c r="B34" s="1"/>
      <c r="C34" s="247" t="s">
        <v>1168</v>
      </c>
      <c r="E34" s="6">
        <f>'10-CWIP'!G45</f>
        <v>26660116.48</v>
      </c>
      <c r="F34" s="6">
        <f>'10-CWIP'!G46</f>
        <v>25800174.070769232</v>
      </c>
      <c r="G34" s="6">
        <f>'10-CWIP'!K377</f>
        <v>1701166.0000000037</v>
      </c>
      <c r="H34" s="246" t="str">
        <f>"10-CWIP Lines "&amp;'10-CWIP'!A45&amp;", "&amp;'10-CWIP'!A46&amp;", and "&amp;'10-CWIP'!A377&amp;""</f>
        <v>10-CWIP Lines 27, 28, and 288</v>
      </c>
    </row>
    <row r="35" spans="1:8" ht="13">
      <c r="A35" s="2">
        <f t="shared" si="0"/>
        <v>10</v>
      </c>
      <c r="B35" s="1"/>
      <c r="C35" s="247" t="s">
        <v>1169</v>
      </c>
      <c r="E35" s="6">
        <f>'10-CWIP'!H45</f>
        <v>212122946.66999999</v>
      </c>
      <c r="F35" s="6">
        <f>'10-CWIP'!H46</f>
        <v>199888733.48846155</v>
      </c>
      <c r="G35" s="6">
        <f>'10-CWIP'!K410</f>
        <v>-210638551.53461522</v>
      </c>
      <c r="H35" s="246" t="str">
        <f>"10-CWIP Lines "&amp;'10-CWIP'!A45&amp;", "&amp;'10-CWIP'!A46&amp;", and "&amp;'10-CWIP'!A410&amp;""</f>
        <v>10-CWIP Lines 27, 28, and 314</v>
      </c>
    </row>
    <row r="36" spans="1:8" ht="13">
      <c r="A36" s="2">
        <f t="shared" si="0"/>
        <v>11</v>
      </c>
      <c r="B36" s="1"/>
      <c r="C36" s="247" t="s">
        <v>1170</v>
      </c>
      <c r="E36" s="6">
        <f>'10-CWIP'!I45</f>
        <v>38488677.479999997</v>
      </c>
      <c r="F36" s="6">
        <f>'10-CWIP'!I46</f>
        <v>32384190.809230771</v>
      </c>
      <c r="G36" s="6">
        <f>'10-CWIP'!K443</f>
        <v>1447798.1771499813</v>
      </c>
      <c r="H36" s="246" t="str">
        <f>"10-CWIP Lines "&amp;'10-CWIP'!A45&amp;", "&amp;'10-CWIP'!A46&amp;", and "&amp;'10-CWIP'!A443&amp;""</f>
        <v>10-CWIP Lines 27, 28, and 340</v>
      </c>
    </row>
    <row r="37" spans="1:8" ht="13">
      <c r="A37" s="2">
        <f t="shared" si="0"/>
        <v>12</v>
      </c>
      <c r="B37" s="1"/>
      <c r="C37" s="289" t="s">
        <v>822</v>
      </c>
      <c r="D37" s="54"/>
      <c r="E37" s="505" t="str">
        <f>'10-CWIP'!J46</f>
        <v>---</v>
      </c>
      <c r="F37" s="505" t="str">
        <f>'10-CWIP'!J46</f>
        <v>---</v>
      </c>
      <c r="G37" s="6">
        <f>'10-CWIP'!K476</f>
        <v>0</v>
      </c>
      <c r="H37" s="246" t="str">
        <f>"10-CWIP Lines "&amp;'10-CWIP'!A45&amp;", "&amp;'10-CWIP'!A46&amp;", and "&amp;'10-CWIP'!A476&amp;""</f>
        <v>10-CWIP Lines 27, 28, and 366</v>
      </c>
    </row>
    <row r="38" spans="1:8" ht="13">
      <c r="A38" s="2">
        <f t="shared" si="0"/>
        <v>13</v>
      </c>
      <c r="B38" s="1"/>
      <c r="D38" s="25" t="s">
        <v>431</v>
      </c>
      <c r="E38" s="6">
        <f>SUM(E26:E37)</f>
        <v>285206915.12</v>
      </c>
      <c r="F38" s="6">
        <f>SUM(F26:F37)</f>
        <v>346163360.99307692</v>
      </c>
      <c r="G38" s="6">
        <f>SUM(G26:G37)</f>
        <v>-206740557.59515753</v>
      </c>
      <c r="H38" s="31"/>
    </row>
    <row r="39" spans="1:8" ht="13">
      <c r="B39" s="1"/>
    </row>
    <row r="40" spans="1:8" ht="13">
      <c r="B40" s="1"/>
      <c r="C40" s="1" t="s">
        <v>1171</v>
      </c>
    </row>
    <row r="41" spans="1:8" ht="13">
      <c r="B41" s="1"/>
      <c r="C41" s="1"/>
    </row>
    <row r="42" spans="1:8" ht="13">
      <c r="B42" s="1"/>
      <c r="E42" s="3" t="s">
        <v>336</v>
      </c>
      <c r="F42" s="3" t="s">
        <v>337</v>
      </c>
      <c r="G42" s="3" t="s">
        <v>338</v>
      </c>
    </row>
    <row r="43" spans="1:8" ht="13">
      <c r="B43" s="1"/>
      <c r="E43" s="253" t="s">
        <v>1172</v>
      </c>
      <c r="F43" s="3"/>
      <c r="G43" s="3"/>
    </row>
    <row r="44" spans="1:8" ht="13">
      <c r="B44" s="1"/>
      <c r="E44" s="2" t="s">
        <v>859</v>
      </c>
      <c r="F44" s="2" t="s">
        <v>1092</v>
      </c>
      <c r="G44" s="2" t="s">
        <v>1092</v>
      </c>
    </row>
    <row r="45" spans="1:8" ht="13">
      <c r="B45" s="1"/>
      <c r="E45" s="2" t="s">
        <v>1159</v>
      </c>
      <c r="F45" s="2" t="s">
        <v>24</v>
      </c>
      <c r="G45" s="2" t="s">
        <v>1173</v>
      </c>
    </row>
    <row r="46" spans="1:8" ht="13">
      <c r="B46" s="1"/>
      <c r="E46" s="3" t="s">
        <v>123</v>
      </c>
      <c r="F46" s="3" t="s">
        <v>1174</v>
      </c>
      <c r="G46" s="3" t="s">
        <v>1175</v>
      </c>
      <c r="H46" s="3" t="s">
        <v>228</v>
      </c>
    </row>
    <row r="47" spans="1:8" ht="13">
      <c r="A47" s="2">
        <f>A38+1</f>
        <v>14</v>
      </c>
      <c r="B47" s="1"/>
      <c r="C47" t="s">
        <v>1176</v>
      </c>
      <c r="E47" s="249">
        <f>F47+G47</f>
        <v>126536797.56451166</v>
      </c>
      <c r="F47" s="6">
        <v>0</v>
      </c>
      <c r="G47" s="6">
        <f>H85</f>
        <v>126536797.56451166</v>
      </c>
      <c r="H47" s="246" t="str">
        <f>"Line "&amp;A85&amp;", C4"</f>
        <v>Line 38, C4</v>
      </c>
    </row>
    <row r="48" spans="1:8" ht="13">
      <c r="A48" s="2">
        <f>A47+1</f>
        <v>15</v>
      </c>
      <c r="B48" s="1"/>
      <c r="C48" t="s">
        <v>1177</v>
      </c>
      <c r="E48" s="249">
        <f>F48+G48</f>
        <v>2364487527.5030637</v>
      </c>
      <c r="F48" s="6">
        <f>E26</f>
        <v>569300.1</v>
      </c>
      <c r="G48" s="6">
        <f>F85</f>
        <v>2363918227.4030638</v>
      </c>
      <c r="H48" s="246" t="str">
        <f>"Line "&amp;A26&amp;", C1, and Line "&amp;A85&amp;", C2"</f>
        <v>Line 1, C1, and Line 38, C2</v>
      </c>
    </row>
    <row r="49" spans="1:9" ht="13">
      <c r="A49" s="2">
        <f>A48+1</f>
        <v>16</v>
      </c>
      <c r="B49" s="1"/>
      <c r="C49" s="247" t="s">
        <v>1178</v>
      </c>
      <c r="E49" s="249">
        <f>F49+G49</f>
        <v>590256236.84700966</v>
      </c>
      <c r="F49" s="6">
        <f>E27</f>
        <v>0</v>
      </c>
      <c r="G49" s="6">
        <f>G85</f>
        <v>590256236.84700966</v>
      </c>
      <c r="H49" s="246" t="str">
        <f>"Line "&amp;A27&amp;", C1, and Line "&amp;A85&amp;", C3"</f>
        <v>Line 2, C1, and Line 38, C3</v>
      </c>
    </row>
    <row r="50" spans="1:9" ht="13">
      <c r="A50" s="2">
        <f>A49+1</f>
        <v>17</v>
      </c>
      <c r="B50" s="1"/>
      <c r="C50" s="289" t="s">
        <v>822</v>
      </c>
      <c r="D50" s="54"/>
      <c r="E50" s="289" t="s">
        <v>380</v>
      </c>
      <c r="F50" s="289" t="s">
        <v>380</v>
      </c>
      <c r="G50" s="289" t="s">
        <v>380</v>
      </c>
      <c r="H50" s="289" t="s">
        <v>822</v>
      </c>
      <c r="I50" s="54"/>
    </row>
    <row r="51" spans="1:9" ht="13">
      <c r="A51" s="2">
        <f>A50+1</f>
        <v>18</v>
      </c>
      <c r="B51" s="1"/>
      <c r="C51" s="262"/>
      <c r="E51" s="253"/>
      <c r="F51" s="253"/>
      <c r="G51" s="253"/>
      <c r="H51" s="246"/>
    </row>
    <row r="52" spans="1:9" ht="13">
      <c r="A52" s="2">
        <f>A51+1</f>
        <v>19</v>
      </c>
      <c r="B52" s="1"/>
      <c r="D52" s="245" t="s">
        <v>1179</v>
      </c>
      <c r="E52" s="6">
        <f>SUM(E47:E49)</f>
        <v>3081280561.9145851</v>
      </c>
      <c r="F52" s="253"/>
      <c r="G52" s="253"/>
      <c r="H52" s="246" t="s">
        <v>1180</v>
      </c>
    </row>
    <row r="53" spans="1:9" ht="13">
      <c r="B53" s="1"/>
    </row>
    <row r="54" spans="1:9" ht="13">
      <c r="B54" s="1"/>
      <c r="C54" s="1" t="s">
        <v>1181</v>
      </c>
    </row>
    <row r="55" spans="1:9" ht="13">
      <c r="B55" s="1"/>
      <c r="C55" s="1"/>
    </row>
    <row r="56" spans="1:9" ht="13">
      <c r="B56" s="1"/>
      <c r="C56" s="1"/>
      <c r="E56" s="3" t="s">
        <v>336</v>
      </c>
      <c r="F56" s="3" t="s">
        <v>337</v>
      </c>
      <c r="G56" s="3" t="s">
        <v>338</v>
      </c>
    </row>
    <row r="57" spans="1:9" ht="13">
      <c r="B57" s="1"/>
      <c r="E57" s="253" t="s">
        <v>1172</v>
      </c>
      <c r="G57" s="2" t="s">
        <v>473</v>
      </c>
    </row>
    <row r="58" spans="1:9" ht="13">
      <c r="B58" s="1"/>
      <c r="E58" s="2" t="s">
        <v>859</v>
      </c>
      <c r="F58" s="2" t="s">
        <v>473</v>
      </c>
      <c r="G58" s="2" t="s">
        <v>1173</v>
      </c>
    </row>
    <row r="59" spans="1:9" ht="13">
      <c r="B59" s="1"/>
      <c r="C59" s="2" t="s">
        <v>1159</v>
      </c>
      <c r="E59" s="2" t="s">
        <v>1159</v>
      </c>
      <c r="F59" s="2" t="s">
        <v>24</v>
      </c>
      <c r="G59" s="2" t="s">
        <v>1175</v>
      </c>
    </row>
    <row r="60" spans="1:9" ht="12.75" customHeight="1">
      <c r="B60" s="1"/>
      <c r="C60" s="3" t="s">
        <v>1074</v>
      </c>
      <c r="E60" s="3" t="s">
        <v>123</v>
      </c>
      <c r="F60" s="3" t="s">
        <v>1174</v>
      </c>
      <c r="G60" s="3" t="s">
        <v>1174</v>
      </c>
      <c r="H60" s="3" t="s">
        <v>228</v>
      </c>
    </row>
    <row r="61" spans="1:9" ht="13">
      <c r="A61" s="2">
        <f>A52+1</f>
        <v>20</v>
      </c>
      <c r="B61" s="1"/>
      <c r="C61" t="s">
        <v>1176</v>
      </c>
      <c r="E61" s="249">
        <f>F61+G61</f>
        <v>128906322.08523718</v>
      </c>
      <c r="F61" s="6">
        <v>0</v>
      </c>
      <c r="G61" s="837">
        <f>H86</f>
        <v>128906322.08523718</v>
      </c>
      <c r="H61" s="246" t="str">
        <f>"Line "&amp;A86&amp;", C4"</f>
        <v>Line 39, C4</v>
      </c>
    </row>
    <row r="62" spans="1:9" ht="13">
      <c r="A62" s="2">
        <f>A61+1</f>
        <v>21</v>
      </c>
      <c r="B62" s="1"/>
      <c r="C62" t="s">
        <v>1177</v>
      </c>
      <c r="E62" s="249">
        <f>F62+G62</f>
        <v>2402627325.4961095</v>
      </c>
      <c r="F62" s="6">
        <f>F26</f>
        <v>381025.51615384617</v>
      </c>
      <c r="G62" s="837">
        <f>F86</f>
        <v>2402246299.9799557</v>
      </c>
      <c r="H62" s="246" t="str">
        <f>"Line "&amp;A26&amp;", C2, and Line "&amp;A86&amp;", C2"</f>
        <v>Line 1, C2, and Line 39, C2</v>
      </c>
    </row>
    <row r="63" spans="1:9" ht="13">
      <c r="A63" s="2">
        <f>A62+1</f>
        <v>22</v>
      </c>
      <c r="B63" s="1"/>
      <c r="C63" s="247" t="s">
        <v>1182</v>
      </c>
      <c r="E63" s="249">
        <f>F63+G63</f>
        <v>600120675.68269801</v>
      </c>
      <c r="F63" s="6">
        <f>F27</f>
        <v>0</v>
      </c>
      <c r="G63" s="837">
        <f>G86</f>
        <v>600120675.68269801</v>
      </c>
      <c r="H63" s="246" t="str">
        <f>"Line "&amp;A27&amp;", C2, and Line "&amp;A86&amp;", C3"</f>
        <v>Line 2, C2, and Line 39, C3</v>
      </c>
    </row>
    <row r="64" spans="1:9" ht="13">
      <c r="A64" s="2">
        <f>A63+1</f>
        <v>23</v>
      </c>
      <c r="B64" s="1"/>
      <c r="C64" s="289" t="s">
        <v>822</v>
      </c>
      <c r="D64" s="54"/>
      <c r="E64" s="289" t="s">
        <v>380</v>
      </c>
      <c r="F64" s="289" t="s">
        <v>380</v>
      </c>
      <c r="G64" s="289" t="s">
        <v>380</v>
      </c>
      <c r="H64" s="289" t="s">
        <v>822</v>
      </c>
      <c r="I64" s="54"/>
    </row>
    <row r="65" spans="1:11" ht="13">
      <c r="A65" s="2">
        <f>A64+1</f>
        <v>24</v>
      </c>
      <c r="B65" s="1"/>
      <c r="C65" s="262"/>
      <c r="E65" s="253"/>
      <c r="F65" s="253"/>
      <c r="G65" s="253"/>
      <c r="H65" s="246"/>
    </row>
    <row r="66" spans="1:11" ht="13">
      <c r="A66" s="2">
        <f>A65+1</f>
        <v>25</v>
      </c>
      <c r="B66" s="1"/>
      <c r="D66" s="245" t="s">
        <v>1179</v>
      </c>
      <c r="E66" s="6">
        <f>SUM(E61:E63)</f>
        <v>3131654323.2640448</v>
      </c>
      <c r="H66" s="294" t="s">
        <v>1183</v>
      </c>
    </row>
    <row r="67" spans="1:11" ht="13">
      <c r="A67" s="2"/>
      <c r="B67" s="1"/>
      <c r="D67" s="245"/>
      <c r="E67" s="6"/>
    </row>
    <row r="68" spans="1:11" ht="13">
      <c r="C68" s="1" t="s">
        <v>1184</v>
      </c>
    </row>
    <row r="69" spans="1:11" ht="13">
      <c r="E69" s="48" t="s">
        <v>336</v>
      </c>
      <c r="F69" s="48" t="s">
        <v>337</v>
      </c>
      <c r="G69" s="48" t="s">
        <v>338</v>
      </c>
      <c r="H69" s="48" t="s">
        <v>339</v>
      </c>
      <c r="I69" s="48" t="s">
        <v>340</v>
      </c>
      <c r="J69" s="48"/>
    </row>
    <row r="70" spans="1:11" ht="13">
      <c r="C70" s="2" t="s">
        <v>1185</v>
      </c>
      <c r="E70" s="2" t="s">
        <v>1186</v>
      </c>
      <c r="F70" s="37" t="str">
        <f>"L "&amp;A118&amp;" to L "&amp;A130&amp;", C3"</f>
        <v>L 54 to L 66, C3</v>
      </c>
      <c r="G70" s="37" t="str">
        <f>"L "&amp;A158&amp;" to L "&amp;A170&amp;", C3"</f>
        <v>L 80 to L 92, C3</v>
      </c>
      <c r="H70" s="37" t="str">
        <f>"L "&amp;A138&amp;" to L "&amp;A150&amp;", C3"</f>
        <v>L 67 to L 79, C3</v>
      </c>
      <c r="I70" s="54"/>
      <c r="K70" s="2"/>
    </row>
    <row r="71" spans="1:11" ht="13">
      <c r="C71" s="2" t="s">
        <v>372</v>
      </c>
      <c r="E71" s="2" t="s">
        <v>1187</v>
      </c>
      <c r="G71" s="2" t="s">
        <v>961</v>
      </c>
      <c r="H71" s="2" t="s">
        <v>1188</v>
      </c>
      <c r="I71" s="108"/>
      <c r="J71" s="253"/>
      <c r="K71" s="2"/>
    </row>
    <row r="72" spans="1:11" ht="13">
      <c r="A72" s="30"/>
      <c r="C72" s="18" t="s">
        <v>371</v>
      </c>
      <c r="D72" s="18" t="s">
        <v>372</v>
      </c>
      <c r="E72" s="3" t="s">
        <v>1175</v>
      </c>
      <c r="F72" s="3" t="s">
        <v>965</v>
      </c>
      <c r="G72" s="3" t="s">
        <v>966</v>
      </c>
      <c r="H72" s="3" t="s">
        <v>1189</v>
      </c>
      <c r="I72" s="109"/>
      <c r="J72" s="3" t="s">
        <v>100</v>
      </c>
    </row>
    <row r="73" spans="1:11" ht="13">
      <c r="A73" s="2">
        <f>A66+1</f>
        <v>26</v>
      </c>
      <c r="C73" s="14" t="s">
        <v>379</v>
      </c>
      <c r="D73" s="495">
        <v>2021</v>
      </c>
      <c r="E73" s="275">
        <f>SUM(F73:H73)</f>
        <v>3181841113.4563131</v>
      </c>
      <c r="F73" s="505">
        <f>G118</f>
        <v>2440580152.3319635</v>
      </c>
      <c r="G73" s="505">
        <f>G158</f>
        <v>609985114.5183866</v>
      </c>
      <c r="H73" s="505">
        <f>G138</f>
        <v>131275846.60596265</v>
      </c>
      <c r="I73" s="253" t="s">
        <v>380</v>
      </c>
      <c r="J73" s="291" t="s">
        <v>1190</v>
      </c>
    </row>
    <row r="74" spans="1:11" ht="13">
      <c r="A74" s="2">
        <f>A73+1</f>
        <v>27</v>
      </c>
      <c r="C74" s="14" t="s">
        <v>381</v>
      </c>
      <c r="D74" s="346">
        <v>2022</v>
      </c>
      <c r="E74" s="275">
        <f t="shared" ref="E74:E85" si="1">SUM(F74:H74)</f>
        <v>3173411352.3024688</v>
      </c>
      <c r="F74" s="505">
        <f t="shared" ref="F74:F85" si="2">G119</f>
        <v>2434189385.0708551</v>
      </c>
      <c r="G74" s="505">
        <f t="shared" ref="G74:G85" si="3">G159</f>
        <v>608341041.37910521</v>
      </c>
      <c r="H74" s="505">
        <f t="shared" ref="H74:H85" si="4">G139</f>
        <v>130880925.8525084</v>
      </c>
      <c r="I74" s="253" t="s">
        <v>380</v>
      </c>
      <c r="J74" s="246" t="s">
        <v>1191</v>
      </c>
    </row>
    <row r="75" spans="1:11" ht="13">
      <c r="A75" s="2">
        <f t="shared" ref="A75:A86" si="5">A74+1</f>
        <v>28</v>
      </c>
      <c r="C75" s="14" t="s">
        <v>382</v>
      </c>
      <c r="D75" s="346">
        <v>2022</v>
      </c>
      <c r="E75" s="275">
        <f t="shared" si="1"/>
        <v>3164987479.4623666</v>
      </c>
      <c r="F75" s="505">
        <f t="shared" si="2"/>
        <v>2427804506.1234884</v>
      </c>
      <c r="G75" s="505">
        <f t="shared" si="3"/>
        <v>606696968.23982382</v>
      </c>
      <c r="H75" s="505">
        <f t="shared" si="4"/>
        <v>130486005.09905414</v>
      </c>
      <c r="I75" s="253" t="s">
        <v>380</v>
      </c>
      <c r="J75" s="253" t="s">
        <v>1192</v>
      </c>
      <c r="K75" s="2"/>
    </row>
    <row r="76" spans="1:11" ht="13">
      <c r="A76" s="2">
        <f t="shared" si="5"/>
        <v>29</v>
      </c>
      <c r="C76" s="14" t="s">
        <v>383</v>
      </c>
      <c r="D76" s="346">
        <v>2022</v>
      </c>
      <c r="E76" s="275">
        <f t="shared" si="1"/>
        <v>3156562570.2912054</v>
      </c>
      <c r="F76" s="505">
        <f t="shared" si="2"/>
        <v>2421418590.8450632</v>
      </c>
      <c r="G76" s="505">
        <f t="shared" si="3"/>
        <v>605052895.10054231</v>
      </c>
      <c r="H76" s="505">
        <f t="shared" si="4"/>
        <v>130091084.34559989</v>
      </c>
      <c r="I76" s="253" t="s">
        <v>380</v>
      </c>
      <c r="J76" s="253"/>
      <c r="K76" s="2"/>
    </row>
    <row r="77" spans="1:11" ht="13">
      <c r="A77" s="2">
        <f t="shared" si="5"/>
        <v>30</v>
      </c>
      <c r="C77" s="14" t="s">
        <v>384</v>
      </c>
      <c r="D77" s="346">
        <v>2022</v>
      </c>
      <c r="E77" s="275">
        <f t="shared" si="1"/>
        <v>3148131805.6893497</v>
      </c>
      <c r="F77" s="505">
        <f t="shared" si="2"/>
        <v>2415026820.1359429</v>
      </c>
      <c r="G77" s="505">
        <f t="shared" si="3"/>
        <v>603408821.96126103</v>
      </c>
      <c r="H77" s="505">
        <f t="shared" si="4"/>
        <v>129696163.59214565</v>
      </c>
      <c r="I77" s="253" t="s">
        <v>380</v>
      </c>
      <c r="J77" s="253"/>
      <c r="K77" s="2"/>
    </row>
    <row r="78" spans="1:11" ht="13">
      <c r="A78" s="2">
        <f t="shared" si="5"/>
        <v>31</v>
      </c>
      <c r="C78" s="14" t="s">
        <v>385</v>
      </c>
      <c r="D78" s="346">
        <v>2022</v>
      </c>
      <c r="E78" s="275">
        <f t="shared" si="1"/>
        <v>3139694780.6985526</v>
      </c>
      <c r="F78" s="505">
        <f t="shared" si="2"/>
        <v>2408628789.0378819</v>
      </c>
      <c r="G78" s="505">
        <f t="shared" si="3"/>
        <v>601764748.82197952</v>
      </c>
      <c r="H78" s="505">
        <f t="shared" si="4"/>
        <v>129301242.8386914</v>
      </c>
      <c r="I78" s="253" t="s">
        <v>380</v>
      </c>
      <c r="J78" s="253"/>
      <c r="K78" s="2"/>
    </row>
    <row r="79" spans="1:11" ht="13">
      <c r="A79" s="2">
        <f t="shared" si="5"/>
        <v>32</v>
      </c>
      <c r="C79" s="14" t="s">
        <v>386</v>
      </c>
      <c r="D79" s="346">
        <v>2022</v>
      </c>
      <c r="E79" s="275">
        <f t="shared" si="1"/>
        <v>3131272336.6126795</v>
      </c>
      <c r="F79" s="505">
        <f t="shared" si="2"/>
        <v>2402245338.8447442</v>
      </c>
      <c r="G79" s="505">
        <f t="shared" si="3"/>
        <v>600120675.68269813</v>
      </c>
      <c r="H79" s="505">
        <f t="shared" si="4"/>
        <v>128906322.08523715</v>
      </c>
      <c r="I79" s="253" t="s">
        <v>380</v>
      </c>
      <c r="J79" s="253"/>
      <c r="K79" s="2"/>
    </row>
    <row r="80" spans="1:11" ht="13">
      <c r="A80" s="2">
        <f t="shared" si="5"/>
        <v>33</v>
      </c>
      <c r="C80" s="14" t="s">
        <v>387</v>
      </c>
      <c r="D80" s="346">
        <v>2022</v>
      </c>
      <c r="E80" s="275">
        <f t="shared" si="1"/>
        <v>3122845180.9484124</v>
      </c>
      <c r="F80" s="505">
        <f t="shared" si="2"/>
        <v>2395857177.0732131</v>
      </c>
      <c r="G80" s="505">
        <f t="shared" si="3"/>
        <v>598476602.54341674</v>
      </c>
      <c r="H80" s="505">
        <f t="shared" si="4"/>
        <v>128511401.33178291</v>
      </c>
      <c r="I80" s="253" t="s">
        <v>380</v>
      </c>
      <c r="J80" s="253"/>
      <c r="K80" s="47"/>
    </row>
    <row r="81" spans="1:11" ht="13">
      <c r="A81" s="2">
        <f t="shared" si="5"/>
        <v>34</v>
      </c>
      <c r="C81" s="14" t="s">
        <v>388</v>
      </c>
      <c r="D81" s="346">
        <v>2022</v>
      </c>
      <c r="E81" s="275">
        <f t="shared" si="1"/>
        <v>3114415517.7717857</v>
      </c>
      <c r="F81" s="505">
        <f t="shared" si="2"/>
        <v>2389466507.7893219</v>
      </c>
      <c r="G81" s="505">
        <f t="shared" si="3"/>
        <v>596832529.40413523</v>
      </c>
      <c r="H81" s="505">
        <f t="shared" si="4"/>
        <v>128116480.57832865</v>
      </c>
      <c r="I81" s="253" t="s">
        <v>380</v>
      </c>
      <c r="J81" s="253"/>
      <c r="K81" s="2"/>
    </row>
    <row r="82" spans="1:11" ht="13">
      <c r="A82" s="2">
        <f t="shared" si="5"/>
        <v>35</v>
      </c>
      <c r="C82" s="14" t="s">
        <v>389</v>
      </c>
      <c r="D82" s="346">
        <v>2022</v>
      </c>
      <c r="E82" s="275">
        <f t="shared" si="1"/>
        <v>3105984766.3301401</v>
      </c>
      <c r="F82" s="505">
        <f t="shared" si="2"/>
        <v>2383074750.2404118</v>
      </c>
      <c r="G82" s="505">
        <f t="shared" si="3"/>
        <v>595188456.26485384</v>
      </c>
      <c r="H82" s="505">
        <f t="shared" si="4"/>
        <v>127721559.8248744</v>
      </c>
      <c r="I82" s="253" t="s">
        <v>380</v>
      </c>
      <c r="J82" s="253"/>
      <c r="K82" s="2"/>
    </row>
    <row r="83" spans="1:11" ht="13">
      <c r="A83" s="2">
        <f t="shared" si="5"/>
        <v>36</v>
      </c>
      <c r="C83" s="14" t="s">
        <v>970</v>
      </c>
      <c r="D83" s="346">
        <v>2022</v>
      </c>
      <c r="E83" s="275">
        <f t="shared" si="1"/>
        <v>3097554014.8082881</v>
      </c>
      <c r="F83" s="505">
        <f t="shared" si="2"/>
        <v>2376682992.6112957</v>
      </c>
      <c r="G83" s="505">
        <f t="shared" si="3"/>
        <v>593544383.12557244</v>
      </c>
      <c r="H83" s="505">
        <f t="shared" si="4"/>
        <v>127326639.07142015</v>
      </c>
      <c r="I83" s="253" t="s">
        <v>380</v>
      </c>
      <c r="J83" s="253"/>
      <c r="K83" s="2"/>
    </row>
    <row r="84" spans="1:11" ht="13">
      <c r="A84" s="2">
        <f t="shared" si="5"/>
        <v>37</v>
      </c>
      <c r="C84" s="14" t="s">
        <v>391</v>
      </c>
      <c r="D84" s="346">
        <v>2022</v>
      </c>
      <c r="E84" s="275">
        <f t="shared" si="1"/>
        <v>3089140690.5364366</v>
      </c>
      <c r="F84" s="505">
        <f t="shared" si="2"/>
        <v>2370308662.2321796</v>
      </c>
      <c r="G84" s="505">
        <f t="shared" si="3"/>
        <v>591900309.98629105</v>
      </c>
      <c r="H84" s="505">
        <f t="shared" si="4"/>
        <v>126931718.31796589</v>
      </c>
      <c r="I84" s="253" t="s">
        <v>380</v>
      </c>
      <c r="J84" s="253"/>
      <c r="K84" s="2"/>
    </row>
    <row r="85" spans="1:11" ht="13">
      <c r="A85" s="2">
        <f t="shared" si="5"/>
        <v>38</v>
      </c>
      <c r="C85" s="14" t="s">
        <v>379</v>
      </c>
      <c r="D85" s="346">
        <v>2022</v>
      </c>
      <c r="E85" s="36">
        <f t="shared" si="1"/>
        <v>3080711261.8145852</v>
      </c>
      <c r="F85" s="36">
        <f t="shared" si="2"/>
        <v>2363918227.4030638</v>
      </c>
      <c r="G85" s="36">
        <f t="shared" si="3"/>
        <v>590256236.84700966</v>
      </c>
      <c r="H85" s="36">
        <f t="shared" si="4"/>
        <v>126536797.56451166</v>
      </c>
      <c r="I85" s="253" t="s">
        <v>380</v>
      </c>
      <c r="J85" s="253"/>
      <c r="K85" s="2"/>
    </row>
    <row r="86" spans="1:11" ht="13">
      <c r="A86" s="2">
        <f t="shared" si="5"/>
        <v>39</v>
      </c>
      <c r="C86" s="14"/>
      <c r="D86" s="653" t="s">
        <v>971</v>
      </c>
      <c r="E86" s="275">
        <f>SUM(E73:E85)/13</f>
        <v>3131273297.7478909</v>
      </c>
      <c r="F86" s="275">
        <f>SUM(F73:F85)/13</f>
        <v>2402246299.9799557</v>
      </c>
      <c r="G86" s="275">
        <f>SUM(G73:G85)/13</f>
        <v>600120675.68269801</v>
      </c>
      <c r="H86" s="275">
        <f>SUM(H73:H85)/13</f>
        <v>128906322.08523718</v>
      </c>
      <c r="I86" s="1"/>
      <c r="J86" s="1"/>
      <c r="K86" s="2"/>
    </row>
    <row r="88" spans="1:11" ht="13">
      <c r="A88" s="2"/>
      <c r="C88" s="15" t="s">
        <v>1193</v>
      </c>
      <c r="D88" s="274"/>
      <c r="E88" s="275"/>
      <c r="F88" s="275"/>
      <c r="G88" s="275"/>
      <c r="H88" s="275"/>
      <c r="I88" s="1"/>
      <c r="J88" s="1"/>
    </row>
    <row r="89" spans="1:11" ht="13">
      <c r="A89" s="2"/>
      <c r="C89" s="15"/>
      <c r="D89" s="274"/>
      <c r="E89" s="48" t="s">
        <v>336</v>
      </c>
      <c r="F89" s="48" t="s">
        <v>337</v>
      </c>
      <c r="G89" s="48" t="s">
        <v>338</v>
      </c>
      <c r="H89" s="275"/>
      <c r="I89" s="1"/>
      <c r="J89" s="1"/>
    </row>
    <row r="90" spans="1:11" ht="13">
      <c r="A90" s="2"/>
      <c r="C90" s="266"/>
      <c r="D90" s="274"/>
      <c r="G90" s="253" t="s">
        <v>1194</v>
      </c>
      <c r="H90" s="275"/>
      <c r="I90" s="1"/>
      <c r="J90" s="1"/>
    </row>
    <row r="91" spans="1:11" ht="13">
      <c r="A91" s="2"/>
      <c r="C91" s="266"/>
      <c r="D91" s="274"/>
      <c r="E91" s="186" t="s">
        <v>724</v>
      </c>
      <c r="F91" s="275"/>
      <c r="G91" s="276" t="s">
        <v>1195</v>
      </c>
      <c r="H91" s="275"/>
      <c r="I91" s="1"/>
      <c r="J91" s="1"/>
    </row>
    <row r="92" spans="1:11" ht="13">
      <c r="A92" s="2"/>
      <c r="C92" s="2" t="s">
        <v>1185</v>
      </c>
      <c r="E92" s="186" t="s">
        <v>1196</v>
      </c>
      <c r="F92" s="186" t="s">
        <v>705</v>
      </c>
      <c r="G92" s="186" t="s">
        <v>1196</v>
      </c>
      <c r="H92" s="275"/>
      <c r="I92" s="1"/>
      <c r="J92" s="1"/>
    </row>
    <row r="93" spans="1:11" ht="13">
      <c r="A93" s="2"/>
      <c r="C93" s="2" t="s">
        <v>372</v>
      </c>
      <c r="E93" s="186" t="s">
        <v>1159</v>
      </c>
      <c r="F93" s="4" t="s">
        <v>1197</v>
      </c>
      <c r="G93" s="186" t="s">
        <v>1159</v>
      </c>
      <c r="H93" s="275"/>
      <c r="I93" s="1"/>
      <c r="J93" s="1"/>
    </row>
    <row r="94" spans="1:11" ht="13">
      <c r="A94" s="2"/>
      <c r="C94" s="18" t="s">
        <v>371</v>
      </c>
      <c r="D94" s="18" t="s">
        <v>372</v>
      </c>
      <c r="E94" s="187" t="s">
        <v>1198</v>
      </c>
      <c r="F94" s="3" t="s">
        <v>1199</v>
      </c>
      <c r="G94" s="187" t="s">
        <v>1198</v>
      </c>
      <c r="H94" s="187" t="s">
        <v>1200</v>
      </c>
      <c r="I94" s="1"/>
      <c r="J94" s="1"/>
    </row>
    <row r="95" spans="1:11" ht="12.75" customHeight="1">
      <c r="A95" s="2">
        <f>A86+1</f>
        <v>40</v>
      </c>
      <c r="C95" s="266" t="s">
        <v>379</v>
      </c>
      <c r="D95" s="495">
        <v>2021</v>
      </c>
      <c r="E95" s="6">
        <f t="shared" ref="E95:E107" si="6">H118+H138+H158+H177+H196+H215+H234+H253+H272+H291+H310+H330</f>
        <v>0</v>
      </c>
      <c r="F95" s="277">
        <v>0</v>
      </c>
      <c r="G95" s="275">
        <f>E95-F95</f>
        <v>0</v>
      </c>
      <c r="H95" s="282" t="s">
        <v>1201</v>
      </c>
      <c r="I95" s="1"/>
      <c r="J95" s="6"/>
    </row>
    <row r="96" spans="1:11" ht="13">
      <c r="A96" s="2">
        <f>A95+1</f>
        <v>41</v>
      </c>
      <c r="C96" s="266" t="s">
        <v>381</v>
      </c>
      <c r="D96" s="346">
        <v>2022</v>
      </c>
      <c r="E96" s="6">
        <f t="shared" si="6"/>
        <v>867157.31818781793</v>
      </c>
      <c r="F96" s="277">
        <v>0</v>
      </c>
      <c r="G96" s="275">
        <f t="shared" ref="G96:G107" si="7">E96-F96</f>
        <v>867157.31818781793</v>
      </c>
      <c r="H96" s="282" t="s">
        <v>1202</v>
      </c>
      <c r="I96" s="42"/>
      <c r="J96" s="6"/>
    </row>
    <row r="97" spans="1:10" ht="13">
      <c r="A97" s="2">
        <f t="shared" ref="A97:A108" si="8">A96+1</f>
        <v>42</v>
      </c>
      <c r="C97" s="266" t="s">
        <v>382</v>
      </c>
      <c r="D97" s="346">
        <v>2022</v>
      </c>
      <c r="E97" s="6">
        <f t="shared" si="6"/>
        <v>831618.75564393401</v>
      </c>
      <c r="F97" s="277">
        <v>0</v>
      </c>
      <c r="G97" s="275">
        <f t="shared" si="7"/>
        <v>831618.75564393401</v>
      </c>
      <c r="H97" s="282"/>
      <c r="I97" s="42"/>
      <c r="J97" s="6"/>
    </row>
    <row r="98" spans="1:10" ht="13">
      <c r="A98" s="2">
        <f t="shared" si="8"/>
        <v>43</v>
      </c>
      <c r="C98" s="266" t="s">
        <v>383</v>
      </c>
      <c r="D98" s="346">
        <v>2022</v>
      </c>
      <c r="E98" s="6">
        <f t="shared" si="6"/>
        <v>-490361.4881843254</v>
      </c>
      <c r="F98" s="277">
        <v>0</v>
      </c>
      <c r="G98" s="275">
        <f t="shared" si="7"/>
        <v>-490361.4881843254</v>
      </c>
      <c r="H98" s="275"/>
      <c r="I98" s="42"/>
      <c r="J98" s="6"/>
    </row>
    <row r="99" spans="1:10" ht="13">
      <c r="A99" s="2">
        <f t="shared" si="8"/>
        <v>44</v>
      </c>
      <c r="C99" s="266" t="s">
        <v>384</v>
      </c>
      <c r="D99" s="346">
        <v>2022</v>
      </c>
      <c r="E99" s="6">
        <f t="shared" si="6"/>
        <v>335581.43302600086</v>
      </c>
      <c r="F99" s="277">
        <v>0</v>
      </c>
      <c r="G99" s="275">
        <f t="shared" si="7"/>
        <v>335581.43302600086</v>
      </c>
      <c r="H99" s="275"/>
      <c r="I99" s="42"/>
      <c r="J99" s="6"/>
    </row>
    <row r="100" spans="1:10" ht="13">
      <c r="A100" s="2">
        <f t="shared" si="8"/>
        <v>45</v>
      </c>
      <c r="C100" s="266" t="s">
        <v>385</v>
      </c>
      <c r="D100" s="346">
        <v>2022</v>
      </c>
      <c r="E100" s="6">
        <f t="shared" si="6"/>
        <v>223956959.09731853</v>
      </c>
      <c r="F100" s="277">
        <v>0</v>
      </c>
      <c r="G100" s="275">
        <f t="shared" si="7"/>
        <v>223956959.09731853</v>
      </c>
      <c r="H100" s="275"/>
      <c r="I100" s="42"/>
      <c r="J100" s="6"/>
    </row>
    <row r="101" spans="1:10" ht="13">
      <c r="A101" s="2">
        <f t="shared" si="8"/>
        <v>46</v>
      </c>
      <c r="C101" s="266" t="s">
        <v>386</v>
      </c>
      <c r="D101" s="346">
        <v>2022</v>
      </c>
      <c r="E101" s="6">
        <f t="shared" si="6"/>
        <v>13614208.76633206</v>
      </c>
      <c r="F101" s="277">
        <v>0</v>
      </c>
      <c r="G101" s="275">
        <f t="shared" si="7"/>
        <v>13614208.76633206</v>
      </c>
      <c r="H101" s="275"/>
      <c r="I101" s="42"/>
      <c r="J101" s="6"/>
    </row>
    <row r="102" spans="1:10" ht="13">
      <c r="A102" s="2">
        <f t="shared" si="8"/>
        <v>47</v>
      </c>
      <c r="C102" s="266" t="s">
        <v>387</v>
      </c>
      <c r="D102" s="346">
        <v>2022</v>
      </c>
      <c r="E102" s="6">
        <f t="shared" si="6"/>
        <v>4710310.995458141</v>
      </c>
      <c r="F102" s="277">
        <v>0</v>
      </c>
      <c r="G102" s="275">
        <f t="shared" si="7"/>
        <v>4710310.995458141</v>
      </c>
      <c r="H102" s="275"/>
      <c r="I102" s="42"/>
      <c r="J102" s="6"/>
    </row>
    <row r="103" spans="1:10" ht="13">
      <c r="A103" s="2">
        <f t="shared" si="8"/>
        <v>48</v>
      </c>
      <c r="C103" s="266" t="s">
        <v>388</v>
      </c>
      <c r="D103" s="346">
        <v>2022</v>
      </c>
      <c r="E103" s="6">
        <f t="shared" si="6"/>
        <v>1407305.2241899762</v>
      </c>
      <c r="F103" s="277">
        <v>0</v>
      </c>
      <c r="G103" s="275">
        <f t="shared" si="7"/>
        <v>1407305.2241899762</v>
      </c>
      <c r="H103" s="275"/>
      <c r="I103" s="42"/>
      <c r="J103" s="6"/>
    </row>
    <row r="104" spans="1:10" ht="13">
      <c r="A104" s="2">
        <f t="shared" si="8"/>
        <v>49</v>
      </c>
      <c r="C104" s="266" t="s">
        <v>389</v>
      </c>
      <c r="D104" s="346">
        <v>2022</v>
      </c>
      <c r="E104" s="6">
        <f t="shared" si="6"/>
        <v>4669670.8963019233</v>
      </c>
      <c r="F104" s="277">
        <v>0</v>
      </c>
      <c r="G104" s="275">
        <f t="shared" si="7"/>
        <v>4669670.8963019233</v>
      </c>
      <c r="H104" s="275"/>
      <c r="I104" s="42"/>
      <c r="J104" s="6"/>
    </row>
    <row r="105" spans="1:10" ht="13">
      <c r="A105" s="2">
        <f t="shared" si="8"/>
        <v>50</v>
      </c>
      <c r="C105" s="266" t="s">
        <v>970</v>
      </c>
      <c r="D105" s="346">
        <v>2022</v>
      </c>
      <c r="E105" s="6">
        <f t="shared" si="6"/>
        <v>2685871.0013220757</v>
      </c>
      <c r="F105" s="277">
        <v>0</v>
      </c>
      <c r="G105" s="275">
        <f t="shared" si="7"/>
        <v>2685871.0013220757</v>
      </c>
      <c r="H105" s="275"/>
      <c r="I105" s="42"/>
      <c r="J105" s="6"/>
    </row>
    <row r="106" spans="1:10" ht="13">
      <c r="A106" s="2">
        <f t="shared" si="8"/>
        <v>51</v>
      </c>
      <c r="C106" s="266" t="s">
        <v>391</v>
      </c>
      <c r="D106" s="346">
        <v>2022</v>
      </c>
      <c r="E106" s="6">
        <f t="shared" si="6"/>
        <v>629175.33174200007</v>
      </c>
      <c r="F106" s="277">
        <v>0</v>
      </c>
      <c r="G106" s="275">
        <f t="shared" si="7"/>
        <v>629175.33174200007</v>
      </c>
      <c r="H106" s="275"/>
      <c r="I106" s="42"/>
      <c r="J106" s="6"/>
    </row>
    <row r="107" spans="1:10" ht="13">
      <c r="A107" s="2">
        <f t="shared" si="8"/>
        <v>52</v>
      </c>
      <c r="C107" s="266" t="s">
        <v>379</v>
      </c>
      <c r="D107" s="346">
        <v>2022</v>
      </c>
      <c r="E107" s="53">
        <f t="shared" si="6"/>
        <v>2869209.3399996888</v>
      </c>
      <c r="F107" s="215">
        <v>0</v>
      </c>
      <c r="G107" s="36">
        <f t="shared" si="7"/>
        <v>2869209.3399996888</v>
      </c>
      <c r="H107" s="275"/>
      <c r="I107" s="42"/>
      <c r="J107" s="6"/>
    </row>
    <row r="108" spans="1:10" ht="13">
      <c r="A108" s="2">
        <f t="shared" si="8"/>
        <v>53</v>
      </c>
      <c r="C108" s="266" t="s">
        <v>249</v>
      </c>
      <c r="D108" s="270"/>
      <c r="E108" s="6">
        <f>SUM(E95:E107)</f>
        <v>256086706.67133778</v>
      </c>
      <c r="F108" s="6">
        <f t="shared" ref="F108:G108" si="9">SUM(F95:F107)</f>
        <v>0</v>
      </c>
      <c r="G108" s="6">
        <f t="shared" si="9"/>
        <v>256086706.67133778</v>
      </c>
      <c r="H108" s="275"/>
      <c r="I108" s="42"/>
      <c r="J108" s="1"/>
    </row>
    <row r="109" spans="1:10" ht="13">
      <c r="A109" s="2"/>
      <c r="C109" s="266"/>
      <c r="D109" s="270"/>
      <c r="E109" s="6"/>
      <c r="F109" s="275"/>
      <c r="G109" s="275"/>
      <c r="H109" s="275"/>
      <c r="I109" s="42"/>
      <c r="J109" s="1"/>
    </row>
    <row r="111" spans="1:10" ht="13">
      <c r="C111" s="15" t="s">
        <v>1203</v>
      </c>
    </row>
    <row r="113" spans="1:9" ht="13">
      <c r="C113" s="1" t="s">
        <v>1204</v>
      </c>
      <c r="E113" s="48" t="s">
        <v>336</v>
      </c>
      <c r="F113" s="48" t="s">
        <v>337</v>
      </c>
      <c r="G113" s="48" t="s">
        <v>338</v>
      </c>
      <c r="H113" s="48" t="s">
        <v>339</v>
      </c>
    </row>
    <row r="114" spans="1:9">
      <c r="G114" s="253" t="s">
        <v>1194</v>
      </c>
      <c r="H114" s="253" t="s">
        <v>1205</v>
      </c>
    </row>
    <row r="115" spans="1:9" ht="13">
      <c r="C115" s="2" t="s">
        <v>1185</v>
      </c>
      <c r="H115" s="248" t="s">
        <v>1206</v>
      </c>
    </row>
    <row r="116" spans="1:9" ht="13">
      <c r="C116" s="2" t="s">
        <v>372</v>
      </c>
      <c r="E116" s="2" t="s">
        <v>659</v>
      </c>
      <c r="F116" s="2" t="s">
        <v>1207</v>
      </c>
      <c r="G116" s="2" t="s">
        <v>1208</v>
      </c>
      <c r="H116" s="2" t="s">
        <v>703</v>
      </c>
    </row>
    <row r="117" spans="1:9" ht="13">
      <c r="C117" s="18" t="s">
        <v>371</v>
      </c>
      <c r="D117" s="18" t="s">
        <v>372</v>
      </c>
      <c r="E117" s="3" t="s">
        <v>1209</v>
      </c>
      <c r="F117" s="3" t="s">
        <v>38</v>
      </c>
      <c r="G117" s="3" t="s">
        <v>1175</v>
      </c>
      <c r="H117" s="3" t="s">
        <v>1199</v>
      </c>
    </row>
    <row r="118" spans="1:9" ht="13">
      <c r="A118" s="2">
        <f>A108+1</f>
        <v>54</v>
      </c>
      <c r="C118" s="266" t="s">
        <v>379</v>
      </c>
      <c r="D118" s="495">
        <v>2021</v>
      </c>
      <c r="E118" s="59">
        <v>3062582365.8372154</v>
      </c>
      <c r="F118" s="59">
        <v>622002213.50525188</v>
      </c>
      <c r="G118" s="6">
        <f t="shared" ref="G118:G130" si="10">E118-F118</f>
        <v>2440580152.3319635</v>
      </c>
      <c r="H118" s="6">
        <f>E118-E118</f>
        <v>0</v>
      </c>
      <c r="I118" s="301"/>
    </row>
    <row r="119" spans="1:9" ht="13">
      <c r="A119" s="2">
        <f>A118+1</f>
        <v>55</v>
      </c>
      <c r="C119" s="266" t="s">
        <v>381</v>
      </c>
      <c r="D119" s="346">
        <v>2022</v>
      </c>
      <c r="E119" s="59">
        <v>3062583357.5172153</v>
      </c>
      <c r="F119" s="59">
        <v>628393972.44636023</v>
      </c>
      <c r="G119" s="6">
        <f t="shared" si="10"/>
        <v>2434189385.0708551</v>
      </c>
      <c r="H119" s="6">
        <f>E119-E118</f>
        <v>991.67999982833862</v>
      </c>
    </row>
    <row r="120" spans="1:9" ht="13">
      <c r="A120" s="2">
        <f t="shared" ref="A120:A130" si="11">A119+1</f>
        <v>56</v>
      </c>
      <c r="C120" s="266" t="s">
        <v>382</v>
      </c>
      <c r="D120" s="346">
        <v>2022</v>
      </c>
      <c r="E120" s="59">
        <v>3062590240.8672152</v>
      </c>
      <c r="F120" s="59">
        <v>634785734.74372697</v>
      </c>
      <c r="G120" s="6">
        <f t="shared" si="10"/>
        <v>2427804506.1234884</v>
      </c>
      <c r="H120" s="6">
        <f t="shared" ref="H120:H130" si="12">E120-E119</f>
        <v>6883.3499999046326</v>
      </c>
    </row>
    <row r="121" spans="1:9" ht="13">
      <c r="A121" s="2">
        <f t="shared" si="11"/>
        <v>57</v>
      </c>
      <c r="C121" s="266" t="s">
        <v>383</v>
      </c>
      <c r="D121" s="346">
        <v>2022</v>
      </c>
      <c r="E121" s="59">
        <v>3062596087.6872149</v>
      </c>
      <c r="F121" s="59">
        <v>641177496.84215152</v>
      </c>
      <c r="G121" s="6">
        <f t="shared" si="10"/>
        <v>2421418590.8450632</v>
      </c>
      <c r="H121" s="6">
        <f t="shared" si="12"/>
        <v>5846.8199996948242</v>
      </c>
    </row>
    <row r="122" spans="1:9" ht="13">
      <c r="A122" s="2">
        <f t="shared" si="11"/>
        <v>58</v>
      </c>
      <c r="C122" s="266" t="s">
        <v>384</v>
      </c>
      <c r="D122" s="346">
        <v>2022</v>
      </c>
      <c r="E122" s="59">
        <v>3062596087.6872149</v>
      </c>
      <c r="F122" s="59">
        <v>647569267.55127203</v>
      </c>
      <c r="G122" s="6">
        <f t="shared" si="10"/>
        <v>2415026820.1359429</v>
      </c>
      <c r="H122" s="6">
        <f t="shared" si="12"/>
        <v>0</v>
      </c>
    </row>
    <row r="123" spans="1:9" ht="13">
      <c r="A123" s="2">
        <f t="shared" si="11"/>
        <v>59</v>
      </c>
      <c r="C123" s="266" t="s">
        <v>385</v>
      </c>
      <c r="D123" s="346">
        <v>2022</v>
      </c>
      <c r="E123" s="59">
        <v>3062589826.7072153</v>
      </c>
      <c r="F123" s="59">
        <v>653961037.6693337</v>
      </c>
      <c r="G123" s="6">
        <f t="shared" si="10"/>
        <v>2408628789.0378819</v>
      </c>
      <c r="H123" s="6">
        <f t="shared" si="12"/>
        <v>-6260.9799995422363</v>
      </c>
    </row>
    <row r="124" spans="1:9" ht="13">
      <c r="A124" s="2">
        <f t="shared" si="11"/>
        <v>60</v>
      </c>
      <c r="C124" s="266" t="s">
        <v>386</v>
      </c>
      <c r="D124" s="346">
        <v>2022</v>
      </c>
      <c r="E124" s="59">
        <v>3062598133.1072154</v>
      </c>
      <c r="F124" s="59">
        <v>660352794.2624712</v>
      </c>
      <c r="G124" s="6">
        <f t="shared" si="10"/>
        <v>2402245338.8447442</v>
      </c>
      <c r="H124" s="6">
        <f t="shared" si="12"/>
        <v>8306.4000000953674</v>
      </c>
    </row>
    <row r="125" spans="1:9" ht="13">
      <c r="A125" s="2">
        <f t="shared" si="11"/>
        <v>61</v>
      </c>
      <c r="C125" s="266" t="s">
        <v>387</v>
      </c>
      <c r="D125" s="346">
        <v>2022</v>
      </c>
      <c r="E125" s="59">
        <v>3062601728.0072155</v>
      </c>
      <c r="F125" s="59">
        <v>666744550.93400252</v>
      </c>
      <c r="G125" s="6">
        <f t="shared" si="10"/>
        <v>2395857177.0732131</v>
      </c>
      <c r="H125" s="6">
        <f t="shared" si="12"/>
        <v>3594.9000000953674</v>
      </c>
    </row>
    <row r="126" spans="1:9" ht="13">
      <c r="A126" s="2">
        <f t="shared" si="11"/>
        <v>62</v>
      </c>
      <c r="C126" s="266" t="s">
        <v>388</v>
      </c>
      <c r="D126" s="346">
        <v>2022</v>
      </c>
      <c r="E126" s="59">
        <v>3062602816.0072155</v>
      </c>
      <c r="F126" s="59">
        <v>673136308.21789372</v>
      </c>
      <c r="G126" s="6">
        <f t="shared" si="10"/>
        <v>2389466507.7893219</v>
      </c>
      <c r="H126" s="6">
        <f t="shared" si="12"/>
        <v>1088</v>
      </c>
    </row>
    <row r="127" spans="1:9" ht="13">
      <c r="A127" s="2">
        <f t="shared" si="11"/>
        <v>63</v>
      </c>
      <c r="C127" s="266" t="s">
        <v>389</v>
      </c>
      <c r="D127" s="346">
        <v>2022</v>
      </c>
      <c r="E127" s="59">
        <v>3062602816.0072155</v>
      </c>
      <c r="F127" s="59">
        <v>679528065.76680398</v>
      </c>
      <c r="G127" s="6">
        <f t="shared" si="10"/>
        <v>2383074750.2404118</v>
      </c>
      <c r="H127" s="6">
        <f t="shared" si="12"/>
        <v>0</v>
      </c>
    </row>
    <row r="128" spans="1:9" ht="13">
      <c r="A128" s="2">
        <f t="shared" si="11"/>
        <v>64</v>
      </c>
      <c r="C128" s="266" t="s">
        <v>970</v>
      </c>
      <c r="D128" s="346">
        <v>2022</v>
      </c>
      <c r="E128" s="59">
        <v>3062602816.0072155</v>
      </c>
      <c r="F128" s="59">
        <v>685919823.39591992</v>
      </c>
      <c r="G128" s="6">
        <f t="shared" si="10"/>
        <v>2376682992.6112957</v>
      </c>
      <c r="H128" s="6">
        <f t="shared" si="12"/>
        <v>0</v>
      </c>
    </row>
    <row r="129" spans="1:8" ht="13">
      <c r="A129" s="2">
        <f t="shared" si="11"/>
        <v>65</v>
      </c>
      <c r="C129" s="266" t="s">
        <v>391</v>
      </c>
      <c r="D129" s="346">
        <v>2022</v>
      </c>
      <c r="E129" s="59">
        <v>3062620243.2572155</v>
      </c>
      <c r="F129" s="59">
        <v>692311581.02503562</v>
      </c>
      <c r="G129" s="6">
        <f t="shared" si="10"/>
        <v>2370308662.2321796</v>
      </c>
      <c r="H129" s="6">
        <f t="shared" si="12"/>
        <v>17427.25</v>
      </c>
    </row>
    <row r="130" spans="1:8" ht="13">
      <c r="A130" s="2">
        <f t="shared" si="11"/>
        <v>66</v>
      </c>
      <c r="C130" s="266" t="s">
        <v>379</v>
      </c>
      <c r="D130" s="346">
        <v>2022</v>
      </c>
      <c r="E130" s="59">
        <v>3062621566.0572152</v>
      </c>
      <c r="F130" s="59">
        <v>698703338.65415156</v>
      </c>
      <c r="G130" s="6">
        <f t="shared" si="10"/>
        <v>2363918227.4030638</v>
      </c>
      <c r="H130" s="6">
        <f t="shared" si="12"/>
        <v>1322.7999997138977</v>
      </c>
    </row>
    <row r="131" spans="1:8" ht="13">
      <c r="A131" s="2"/>
      <c r="C131" s="266"/>
      <c r="D131" s="270"/>
    </row>
    <row r="133" spans="1:8" ht="13">
      <c r="C133" s="15" t="s">
        <v>1210</v>
      </c>
      <c r="E133" s="48" t="s">
        <v>336</v>
      </c>
      <c r="F133" s="48" t="s">
        <v>337</v>
      </c>
      <c r="G133" s="48" t="s">
        <v>338</v>
      </c>
      <c r="H133" s="48" t="s">
        <v>339</v>
      </c>
    </row>
    <row r="134" spans="1:8">
      <c r="G134" s="253" t="s">
        <v>1194</v>
      </c>
      <c r="H134" s="253" t="s">
        <v>1205</v>
      </c>
    </row>
    <row r="135" spans="1:8" ht="13">
      <c r="C135" s="2" t="s">
        <v>1185</v>
      </c>
      <c r="H135" s="248" t="s">
        <v>1206</v>
      </c>
    </row>
    <row r="136" spans="1:8" ht="13">
      <c r="C136" s="2" t="s">
        <v>372</v>
      </c>
      <c r="E136" s="2" t="s">
        <v>659</v>
      </c>
      <c r="F136" s="2" t="s">
        <v>1207</v>
      </c>
      <c r="G136" s="2" t="s">
        <v>1208</v>
      </c>
      <c r="H136" s="2" t="s">
        <v>703</v>
      </c>
    </row>
    <row r="137" spans="1:8" ht="13">
      <c r="C137" s="18" t="s">
        <v>371</v>
      </c>
      <c r="D137" s="18" t="s">
        <v>372</v>
      </c>
      <c r="E137" s="3" t="s">
        <v>1209</v>
      </c>
      <c r="F137" s="3" t="s">
        <v>38</v>
      </c>
      <c r="G137" s="3" t="s">
        <v>1175</v>
      </c>
      <c r="H137" s="3" t="s">
        <v>1199</v>
      </c>
    </row>
    <row r="138" spans="1:8" ht="13">
      <c r="A138" s="2">
        <f>A130+1</f>
        <v>67</v>
      </c>
      <c r="C138" s="266" t="s">
        <v>379</v>
      </c>
      <c r="D138" s="495">
        <v>2021</v>
      </c>
      <c r="E138" s="59">
        <v>191500873.53999996</v>
      </c>
      <c r="F138" s="59">
        <v>60225026.934037313</v>
      </c>
      <c r="G138" s="6">
        <f>E138-F138</f>
        <v>131275846.60596265</v>
      </c>
      <c r="H138" s="6">
        <f>E138-E138</f>
        <v>0</v>
      </c>
    </row>
    <row r="139" spans="1:8" ht="13">
      <c r="A139" s="2">
        <f>A138+1</f>
        <v>68</v>
      </c>
      <c r="C139" s="266" t="s">
        <v>381</v>
      </c>
      <c r="D139" s="346">
        <v>2022</v>
      </c>
      <c r="E139" s="59">
        <v>191500873.53999996</v>
      </c>
      <c r="F139" s="59">
        <v>60619947.687491558</v>
      </c>
      <c r="G139" s="6">
        <f t="shared" ref="G139:G150" si="13">E139-F139</f>
        <v>130880925.8525084</v>
      </c>
      <c r="H139" s="6">
        <f>E139-E138</f>
        <v>0</v>
      </c>
    </row>
    <row r="140" spans="1:8" ht="13">
      <c r="A140" s="2">
        <f t="shared" ref="A140:A150" si="14">A139+1</f>
        <v>69</v>
      </c>
      <c r="C140" s="266" t="s">
        <v>382</v>
      </c>
      <c r="D140" s="346">
        <v>2022</v>
      </c>
      <c r="E140" s="59">
        <v>191500873.53999996</v>
      </c>
      <c r="F140" s="59">
        <v>61014868.440945819</v>
      </c>
      <c r="G140" s="6">
        <f t="shared" si="13"/>
        <v>130486005.09905414</v>
      </c>
      <c r="H140" s="6">
        <f t="shared" ref="H140:H150" si="15">E140-E139</f>
        <v>0</v>
      </c>
    </row>
    <row r="141" spans="1:8" ht="13">
      <c r="A141" s="2">
        <f t="shared" si="14"/>
        <v>70</v>
      </c>
      <c r="C141" s="266" t="s">
        <v>383</v>
      </c>
      <c r="D141" s="346">
        <v>2022</v>
      </c>
      <c r="E141" s="59">
        <v>191500873.53999996</v>
      </c>
      <c r="F141" s="59">
        <v>61409789.194400072</v>
      </c>
      <c r="G141" s="6">
        <f t="shared" si="13"/>
        <v>130091084.34559989</v>
      </c>
      <c r="H141" s="6">
        <f t="shared" si="15"/>
        <v>0</v>
      </c>
    </row>
    <row r="142" spans="1:8" ht="13">
      <c r="A142" s="2">
        <f t="shared" si="14"/>
        <v>71</v>
      </c>
      <c r="C142" s="266" t="s">
        <v>384</v>
      </c>
      <c r="D142" s="346">
        <v>2022</v>
      </c>
      <c r="E142" s="59">
        <v>191500873.53999996</v>
      </c>
      <c r="F142" s="59">
        <v>61804709.947854318</v>
      </c>
      <c r="G142" s="6">
        <f t="shared" si="13"/>
        <v>129696163.59214565</v>
      </c>
      <c r="H142" s="6">
        <f t="shared" si="15"/>
        <v>0</v>
      </c>
    </row>
    <row r="143" spans="1:8" ht="13">
      <c r="A143" s="2">
        <f t="shared" si="14"/>
        <v>72</v>
      </c>
      <c r="C143" s="266" t="s">
        <v>385</v>
      </c>
      <c r="D143" s="346">
        <v>2022</v>
      </c>
      <c r="E143" s="59">
        <v>191500873.53999996</v>
      </c>
      <c r="F143" s="59">
        <v>62199630.701308563</v>
      </c>
      <c r="G143" s="6">
        <f t="shared" si="13"/>
        <v>129301242.8386914</v>
      </c>
      <c r="H143" s="6">
        <f t="shared" si="15"/>
        <v>0</v>
      </c>
    </row>
    <row r="144" spans="1:8" ht="13">
      <c r="A144" s="2">
        <f t="shared" si="14"/>
        <v>73</v>
      </c>
      <c r="C144" s="266" t="s">
        <v>386</v>
      </c>
      <c r="D144" s="346">
        <v>2022</v>
      </c>
      <c r="E144" s="59">
        <v>191500873.53999996</v>
      </c>
      <c r="F144" s="59">
        <v>62594551.454762816</v>
      </c>
      <c r="G144" s="6">
        <f t="shared" si="13"/>
        <v>128906322.08523715</v>
      </c>
      <c r="H144" s="6">
        <f t="shared" si="15"/>
        <v>0</v>
      </c>
    </row>
    <row r="145" spans="1:8" ht="13">
      <c r="A145" s="2">
        <f t="shared" si="14"/>
        <v>74</v>
      </c>
      <c r="C145" s="266" t="s">
        <v>387</v>
      </c>
      <c r="D145" s="346">
        <v>2022</v>
      </c>
      <c r="E145" s="59">
        <v>191500873.53999996</v>
      </c>
      <c r="F145" s="59">
        <v>62989472.208217062</v>
      </c>
      <c r="G145" s="6">
        <f t="shared" si="13"/>
        <v>128511401.33178291</v>
      </c>
      <c r="H145" s="6">
        <f t="shared" si="15"/>
        <v>0</v>
      </c>
    </row>
    <row r="146" spans="1:8" ht="13">
      <c r="A146" s="2">
        <f t="shared" si="14"/>
        <v>75</v>
      </c>
      <c r="C146" s="266" t="s">
        <v>388</v>
      </c>
      <c r="D146" s="346">
        <v>2022</v>
      </c>
      <c r="E146" s="59">
        <v>191500873.53999996</v>
      </c>
      <c r="F146" s="59">
        <v>63384392.961671308</v>
      </c>
      <c r="G146" s="6">
        <f t="shared" si="13"/>
        <v>128116480.57832865</v>
      </c>
      <c r="H146" s="6">
        <f t="shared" si="15"/>
        <v>0</v>
      </c>
    </row>
    <row r="147" spans="1:8" ht="13">
      <c r="A147" s="2">
        <f t="shared" si="14"/>
        <v>76</v>
      </c>
      <c r="C147" s="266" t="s">
        <v>389</v>
      </c>
      <c r="D147" s="346">
        <v>2022</v>
      </c>
      <c r="E147" s="59">
        <v>191500873.53999996</v>
      </c>
      <c r="F147" s="59">
        <v>63779313.715125561</v>
      </c>
      <c r="G147" s="6">
        <f t="shared" si="13"/>
        <v>127721559.8248744</v>
      </c>
      <c r="H147" s="6">
        <f t="shared" si="15"/>
        <v>0</v>
      </c>
    </row>
    <row r="148" spans="1:8" ht="13">
      <c r="A148" s="2">
        <f t="shared" si="14"/>
        <v>77</v>
      </c>
      <c r="C148" s="266" t="s">
        <v>970</v>
      </c>
      <c r="D148" s="346">
        <v>2022</v>
      </c>
      <c r="E148" s="59">
        <v>191500873.53999996</v>
      </c>
      <c r="F148" s="59">
        <v>64174234.468579814</v>
      </c>
      <c r="G148" s="6">
        <f t="shared" si="13"/>
        <v>127326639.07142015</v>
      </c>
      <c r="H148" s="6">
        <f t="shared" si="15"/>
        <v>0</v>
      </c>
    </row>
    <row r="149" spans="1:8" ht="13">
      <c r="A149" s="2">
        <f t="shared" si="14"/>
        <v>78</v>
      </c>
      <c r="C149" s="266" t="s">
        <v>391</v>
      </c>
      <c r="D149" s="346">
        <v>2022</v>
      </c>
      <c r="E149" s="59">
        <v>191500873.53999996</v>
      </c>
      <c r="F149" s="59">
        <v>64569155.222034067</v>
      </c>
      <c r="G149" s="6">
        <f t="shared" si="13"/>
        <v>126931718.31796589</v>
      </c>
      <c r="H149" s="6">
        <f t="shared" si="15"/>
        <v>0</v>
      </c>
    </row>
    <row r="150" spans="1:8" ht="13">
      <c r="A150" s="2">
        <f t="shared" si="14"/>
        <v>79</v>
      </c>
      <c r="C150" s="266" t="s">
        <v>379</v>
      </c>
      <c r="D150" s="346">
        <v>2022</v>
      </c>
      <c r="E150" s="59">
        <v>191500873.53999996</v>
      </c>
      <c r="F150" s="59">
        <v>64964075.975488313</v>
      </c>
      <c r="G150" s="6">
        <f t="shared" si="13"/>
        <v>126536797.56451166</v>
      </c>
      <c r="H150" s="6">
        <f t="shared" si="15"/>
        <v>0</v>
      </c>
    </row>
    <row r="151" spans="1:8" ht="13">
      <c r="A151" s="2"/>
    </row>
    <row r="152" spans="1:8" ht="12.75" customHeight="1"/>
    <row r="153" spans="1:8" ht="13">
      <c r="C153" s="15" t="s">
        <v>1211</v>
      </c>
      <c r="E153" s="48" t="s">
        <v>336</v>
      </c>
      <c r="F153" s="48" t="s">
        <v>337</v>
      </c>
      <c r="G153" s="48" t="s">
        <v>338</v>
      </c>
      <c r="H153" s="48" t="s">
        <v>339</v>
      </c>
    </row>
    <row r="154" spans="1:8">
      <c r="G154" s="253" t="s">
        <v>1194</v>
      </c>
      <c r="H154" s="253" t="s">
        <v>1205</v>
      </c>
    </row>
    <row r="155" spans="1:8" ht="13">
      <c r="C155" s="2" t="s">
        <v>1185</v>
      </c>
      <c r="H155" s="248" t="s">
        <v>1206</v>
      </c>
    </row>
    <row r="156" spans="1:8" ht="13">
      <c r="C156" s="2" t="s">
        <v>372</v>
      </c>
      <c r="E156" s="2" t="s">
        <v>659</v>
      </c>
      <c r="F156" s="2" t="s">
        <v>1207</v>
      </c>
      <c r="G156" s="2" t="s">
        <v>1208</v>
      </c>
      <c r="H156" s="2" t="s">
        <v>703</v>
      </c>
    </row>
    <row r="157" spans="1:8" ht="13">
      <c r="C157" s="18" t="s">
        <v>371</v>
      </c>
      <c r="D157" s="18" t="s">
        <v>372</v>
      </c>
      <c r="E157" s="3" t="s">
        <v>1209</v>
      </c>
      <c r="F157" s="3" t="s">
        <v>38</v>
      </c>
      <c r="G157" s="3" t="s">
        <v>1175</v>
      </c>
      <c r="H157" s="3" t="s">
        <v>1199</v>
      </c>
    </row>
    <row r="158" spans="1:8" ht="13">
      <c r="A158" s="2">
        <f>A150+1</f>
        <v>80</v>
      </c>
      <c r="C158" s="266" t="s">
        <v>379</v>
      </c>
      <c r="D158" s="495">
        <v>2021</v>
      </c>
      <c r="E158" s="59">
        <v>774699350.07999992</v>
      </c>
      <c r="F158" s="59">
        <v>164714235.56161329</v>
      </c>
      <c r="G158" s="6">
        <f t="shared" ref="G158:G170" si="16">E158-F158</f>
        <v>609985114.5183866</v>
      </c>
      <c r="H158" s="6">
        <f>E158-E158</f>
        <v>0</v>
      </c>
    </row>
    <row r="159" spans="1:8" ht="13">
      <c r="A159" s="2">
        <f>A158+1</f>
        <v>81</v>
      </c>
      <c r="C159" s="266" t="s">
        <v>381</v>
      </c>
      <c r="D159" s="346">
        <v>2022</v>
      </c>
      <c r="E159" s="59">
        <v>774699350.07999992</v>
      </c>
      <c r="F159" s="59">
        <v>166358308.70089471</v>
      </c>
      <c r="G159" s="6">
        <f t="shared" si="16"/>
        <v>608341041.37910521</v>
      </c>
      <c r="H159" s="6">
        <f>E159-E158</f>
        <v>0</v>
      </c>
    </row>
    <row r="160" spans="1:8" ht="13">
      <c r="A160" s="2">
        <f t="shared" ref="A160:A170" si="17">A159+1</f>
        <v>82</v>
      </c>
      <c r="C160" s="266" t="s">
        <v>382</v>
      </c>
      <c r="D160" s="346">
        <v>2022</v>
      </c>
      <c r="E160" s="59">
        <v>774699350.07999992</v>
      </c>
      <c r="F160" s="59">
        <v>168002381.84017614</v>
      </c>
      <c r="G160" s="6">
        <f t="shared" si="16"/>
        <v>606696968.23982382</v>
      </c>
      <c r="H160" s="6">
        <f t="shared" ref="H160:H170" si="18">E160-E159</f>
        <v>0</v>
      </c>
    </row>
    <row r="161" spans="1:8" ht="13">
      <c r="A161" s="2">
        <f t="shared" si="17"/>
        <v>83</v>
      </c>
      <c r="C161" s="266" t="s">
        <v>383</v>
      </c>
      <c r="D161" s="346">
        <v>2022</v>
      </c>
      <c r="E161" s="59">
        <v>774699350.07999992</v>
      </c>
      <c r="F161" s="59">
        <v>169646454.97945756</v>
      </c>
      <c r="G161" s="6">
        <f t="shared" si="16"/>
        <v>605052895.10054231</v>
      </c>
      <c r="H161" s="6">
        <f t="shared" si="18"/>
        <v>0</v>
      </c>
    </row>
    <row r="162" spans="1:8" ht="13">
      <c r="A162" s="2">
        <f t="shared" si="17"/>
        <v>84</v>
      </c>
      <c r="C162" s="266" t="s">
        <v>384</v>
      </c>
      <c r="D162" s="346">
        <v>2022</v>
      </c>
      <c r="E162" s="59">
        <v>774699350.07999992</v>
      </c>
      <c r="F162" s="59">
        <v>171290528.11873895</v>
      </c>
      <c r="G162" s="6">
        <f t="shared" si="16"/>
        <v>603408821.96126103</v>
      </c>
      <c r="H162" s="6">
        <f t="shared" si="18"/>
        <v>0</v>
      </c>
    </row>
    <row r="163" spans="1:8" ht="13">
      <c r="A163" s="2">
        <f t="shared" si="17"/>
        <v>85</v>
      </c>
      <c r="C163" s="266" t="s">
        <v>385</v>
      </c>
      <c r="D163" s="346">
        <v>2022</v>
      </c>
      <c r="E163" s="59">
        <v>774699350.07999992</v>
      </c>
      <c r="F163" s="59">
        <v>172934601.2580204</v>
      </c>
      <c r="G163" s="6">
        <f t="shared" si="16"/>
        <v>601764748.82197952</v>
      </c>
      <c r="H163" s="6">
        <f t="shared" si="18"/>
        <v>0</v>
      </c>
    </row>
    <row r="164" spans="1:8" ht="13">
      <c r="A164" s="2">
        <f t="shared" si="17"/>
        <v>86</v>
      </c>
      <c r="C164" s="266" t="s">
        <v>386</v>
      </c>
      <c r="D164" s="346">
        <v>2022</v>
      </c>
      <c r="E164" s="59">
        <v>774699350.07999992</v>
      </c>
      <c r="F164" s="59">
        <v>174578674.39730179</v>
      </c>
      <c r="G164" s="6">
        <f t="shared" si="16"/>
        <v>600120675.68269813</v>
      </c>
      <c r="H164" s="6">
        <f t="shared" si="18"/>
        <v>0</v>
      </c>
    </row>
    <row r="165" spans="1:8" ht="13">
      <c r="A165" s="2">
        <f t="shared" si="17"/>
        <v>87</v>
      </c>
      <c r="C165" s="266" t="s">
        <v>387</v>
      </c>
      <c r="D165" s="346">
        <v>2022</v>
      </c>
      <c r="E165" s="59">
        <v>774699350.07999992</v>
      </c>
      <c r="F165" s="59">
        <v>176222747.53658321</v>
      </c>
      <c r="G165" s="6">
        <f t="shared" si="16"/>
        <v>598476602.54341674</v>
      </c>
      <c r="H165" s="6">
        <f t="shared" si="18"/>
        <v>0</v>
      </c>
    </row>
    <row r="166" spans="1:8" ht="13">
      <c r="A166" s="2">
        <f t="shared" si="17"/>
        <v>88</v>
      </c>
      <c r="C166" s="266" t="s">
        <v>388</v>
      </c>
      <c r="D166" s="346">
        <v>2022</v>
      </c>
      <c r="E166" s="59">
        <v>774699350.07999992</v>
      </c>
      <c r="F166" s="59">
        <v>177866820.67586464</v>
      </c>
      <c r="G166" s="6">
        <f t="shared" si="16"/>
        <v>596832529.40413523</v>
      </c>
      <c r="H166" s="6">
        <f t="shared" si="18"/>
        <v>0</v>
      </c>
    </row>
    <row r="167" spans="1:8" ht="13">
      <c r="A167" s="2">
        <f t="shared" si="17"/>
        <v>89</v>
      </c>
      <c r="C167" s="266" t="s">
        <v>389</v>
      </c>
      <c r="D167" s="346">
        <v>2022</v>
      </c>
      <c r="E167" s="59">
        <v>774699350.07999992</v>
      </c>
      <c r="F167" s="59">
        <v>179510893.81514609</v>
      </c>
      <c r="G167" s="6">
        <f t="shared" si="16"/>
        <v>595188456.26485384</v>
      </c>
      <c r="H167" s="6">
        <f t="shared" si="18"/>
        <v>0</v>
      </c>
    </row>
    <row r="168" spans="1:8" ht="13">
      <c r="A168" s="2">
        <f t="shared" si="17"/>
        <v>90</v>
      </c>
      <c r="C168" s="266" t="s">
        <v>970</v>
      </c>
      <c r="D168" s="346">
        <v>2022</v>
      </c>
      <c r="E168" s="59">
        <v>774699350.07999992</v>
      </c>
      <c r="F168" s="59">
        <v>181154966.95442748</v>
      </c>
      <c r="G168" s="6">
        <f t="shared" si="16"/>
        <v>593544383.12557244</v>
      </c>
      <c r="H168" s="6">
        <f t="shared" si="18"/>
        <v>0</v>
      </c>
    </row>
    <row r="169" spans="1:8" ht="13">
      <c r="A169" s="2">
        <f t="shared" si="17"/>
        <v>91</v>
      </c>
      <c r="C169" s="266" t="s">
        <v>391</v>
      </c>
      <c r="D169" s="346">
        <v>2022</v>
      </c>
      <c r="E169" s="59">
        <v>774699350.07999992</v>
      </c>
      <c r="F169" s="59">
        <v>182799040.09370887</v>
      </c>
      <c r="G169" s="6">
        <f t="shared" si="16"/>
        <v>591900309.98629105</v>
      </c>
      <c r="H169" s="6">
        <f t="shared" si="18"/>
        <v>0</v>
      </c>
    </row>
    <row r="170" spans="1:8" ht="13">
      <c r="A170" s="2">
        <f t="shared" si="17"/>
        <v>92</v>
      </c>
      <c r="C170" s="266" t="s">
        <v>379</v>
      </c>
      <c r="D170" s="346">
        <v>2022</v>
      </c>
      <c r="E170" s="59">
        <v>774699350.07999992</v>
      </c>
      <c r="F170" s="59">
        <v>184443113.23299029</v>
      </c>
      <c r="G170" s="6">
        <f t="shared" si="16"/>
        <v>590256236.84700966</v>
      </c>
      <c r="H170" s="6">
        <f t="shared" si="18"/>
        <v>0</v>
      </c>
    </row>
    <row r="172" spans="1:8" ht="13">
      <c r="C172" s="15" t="s">
        <v>1212</v>
      </c>
      <c r="E172" s="48" t="s">
        <v>336</v>
      </c>
      <c r="F172" s="48" t="s">
        <v>337</v>
      </c>
      <c r="G172" s="48" t="s">
        <v>338</v>
      </c>
      <c r="H172" s="48" t="s">
        <v>339</v>
      </c>
    </row>
    <row r="173" spans="1:8">
      <c r="G173" s="253" t="s">
        <v>1194</v>
      </c>
      <c r="H173" s="253" t="s">
        <v>1205</v>
      </c>
    </row>
    <row r="174" spans="1:8" ht="13">
      <c r="C174" s="2" t="s">
        <v>1185</v>
      </c>
      <c r="H174" s="248" t="s">
        <v>1206</v>
      </c>
    </row>
    <row r="175" spans="1:8" ht="13">
      <c r="C175" s="2" t="s">
        <v>372</v>
      </c>
      <c r="E175" s="2" t="s">
        <v>659</v>
      </c>
      <c r="F175" s="2" t="s">
        <v>1207</v>
      </c>
      <c r="G175" s="2" t="s">
        <v>1208</v>
      </c>
      <c r="H175" s="2" t="s">
        <v>703</v>
      </c>
    </row>
    <row r="176" spans="1:8" ht="13">
      <c r="C176" s="18" t="s">
        <v>371</v>
      </c>
      <c r="D176" s="18" t="s">
        <v>372</v>
      </c>
      <c r="E176" s="3" t="s">
        <v>1209</v>
      </c>
      <c r="F176" s="3" t="s">
        <v>38</v>
      </c>
      <c r="G176" s="3" t="s">
        <v>1175</v>
      </c>
      <c r="H176" s="3" t="s">
        <v>1199</v>
      </c>
    </row>
    <row r="177" spans="1:8" ht="13">
      <c r="A177" s="2">
        <f>A170+1</f>
        <v>93</v>
      </c>
      <c r="C177" s="266" t="s">
        <v>379</v>
      </c>
      <c r="D177" s="495">
        <v>2021</v>
      </c>
      <c r="E177" s="59">
        <v>0</v>
      </c>
      <c r="F177" s="59">
        <v>0</v>
      </c>
      <c r="G177" s="6">
        <f t="shared" ref="G177:G189" si="19">E177-F177</f>
        <v>0</v>
      </c>
      <c r="H177" s="6">
        <f>E177-E177</f>
        <v>0</v>
      </c>
    </row>
    <row r="178" spans="1:8" ht="13">
      <c r="A178" s="2">
        <f>A177+1</f>
        <v>94</v>
      </c>
      <c r="C178" s="266" t="s">
        <v>381</v>
      </c>
      <c r="D178" s="346">
        <v>2022</v>
      </c>
      <c r="E178" s="59">
        <v>0</v>
      </c>
      <c r="F178" s="59">
        <v>0</v>
      </c>
      <c r="G178" s="6">
        <f t="shared" si="19"/>
        <v>0</v>
      </c>
      <c r="H178" s="6">
        <f>E178-E177</f>
        <v>0</v>
      </c>
    </row>
    <row r="179" spans="1:8" ht="13">
      <c r="A179" s="2">
        <f t="shared" ref="A179:A189" si="20">A178+1</f>
        <v>95</v>
      </c>
      <c r="C179" s="266" t="s">
        <v>382</v>
      </c>
      <c r="D179" s="346">
        <v>2022</v>
      </c>
      <c r="E179" s="59">
        <v>0</v>
      </c>
      <c r="F179" s="59">
        <v>0</v>
      </c>
      <c r="G179" s="6">
        <f t="shared" si="19"/>
        <v>0</v>
      </c>
      <c r="H179" s="6">
        <f t="shared" ref="H179:H189" si="21">E179-E178</f>
        <v>0</v>
      </c>
    </row>
    <row r="180" spans="1:8" ht="13">
      <c r="A180" s="2">
        <f t="shared" si="20"/>
        <v>96</v>
      </c>
      <c r="C180" s="266" t="s">
        <v>383</v>
      </c>
      <c r="D180" s="346">
        <v>2022</v>
      </c>
      <c r="E180" s="59">
        <v>0</v>
      </c>
      <c r="F180" s="59">
        <v>0</v>
      </c>
      <c r="G180" s="6">
        <f t="shared" si="19"/>
        <v>0</v>
      </c>
      <c r="H180" s="6">
        <f t="shared" si="21"/>
        <v>0</v>
      </c>
    </row>
    <row r="181" spans="1:8" ht="13">
      <c r="A181" s="2">
        <f t="shared" si="20"/>
        <v>97</v>
      </c>
      <c r="C181" s="266" t="s">
        <v>384</v>
      </c>
      <c r="D181" s="346">
        <v>2022</v>
      </c>
      <c r="E181" s="59">
        <v>0</v>
      </c>
      <c r="F181" s="59">
        <v>0</v>
      </c>
      <c r="G181" s="6">
        <f t="shared" si="19"/>
        <v>0</v>
      </c>
      <c r="H181" s="6">
        <f t="shared" si="21"/>
        <v>0</v>
      </c>
    </row>
    <row r="182" spans="1:8" ht="13">
      <c r="A182" s="2">
        <f t="shared" si="20"/>
        <v>98</v>
      </c>
      <c r="C182" s="266" t="s">
        <v>385</v>
      </c>
      <c r="D182" s="346">
        <v>2022</v>
      </c>
      <c r="E182" s="59">
        <v>0</v>
      </c>
      <c r="F182" s="59">
        <v>0</v>
      </c>
      <c r="G182" s="6">
        <f t="shared" si="19"/>
        <v>0</v>
      </c>
      <c r="H182" s="6">
        <f t="shared" si="21"/>
        <v>0</v>
      </c>
    </row>
    <row r="183" spans="1:8" ht="13">
      <c r="A183" s="2">
        <f t="shared" si="20"/>
        <v>99</v>
      </c>
      <c r="C183" s="266" t="s">
        <v>386</v>
      </c>
      <c r="D183" s="346">
        <v>2022</v>
      </c>
      <c r="E183" s="59">
        <v>0</v>
      </c>
      <c r="F183" s="59">
        <v>0</v>
      </c>
      <c r="G183" s="6">
        <f t="shared" si="19"/>
        <v>0</v>
      </c>
      <c r="H183" s="6">
        <f t="shared" si="21"/>
        <v>0</v>
      </c>
    </row>
    <row r="184" spans="1:8" ht="13">
      <c r="A184" s="2">
        <f t="shared" si="20"/>
        <v>100</v>
      </c>
      <c r="C184" s="266" t="s">
        <v>387</v>
      </c>
      <c r="D184" s="346">
        <v>2022</v>
      </c>
      <c r="E184" s="59">
        <v>0</v>
      </c>
      <c r="F184" s="59">
        <v>0</v>
      </c>
      <c r="G184" s="6">
        <f t="shared" si="19"/>
        <v>0</v>
      </c>
      <c r="H184" s="6">
        <f t="shared" si="21"/>
        <v>0</v>
      </c>
    </row>
    <row r="185" spans="1:8" ht="13">
      <c r="A185" s="2">
        <f t="shared" si="20"/>
        <v>101</v>
      </c>
      <c r="C185" s="266" t="s">
        <v>388</v>
      </c>
      <c r="D185" s="346">
        <v>2022</v>
      </c>
      <c r="E185" s="59">
        <v>0</v>
      </c>
      <c r="F185" s="59">
        <v>0</v>
      </c>
      <c r="G185" s="6">
        <f t="shared" si="19"/>
        <v>0</v>
      </c>
      <c r="H185" s="6">
        <f t="shared" si="21"/>
        <v>0</v>
      </c>
    </row>
    <row r="186" spans="1:8" ht="13">
      <c r="A186" s="2">
        <f t="shared" si="20"/>
        <v>102</v>
      </c>
      <c r="C186" s="266" t="s">
        <v>389</v>
      </c>
      <c r="D186" s="346">
        <v>2022</v>
      </c>
      <c r="E186" s="59">
        <v>0</v>
      </c>
      <c r="F186" s="59">
        <v>0</v>
      </c>
      <c r="G186" s="6">
        <f t="shared" si="19"/>
        <v>0</v>
      </c>
      <c r="H186" s="6">
        <f t="shared" si="21"/>
        <v>0</v>
      </c>
    </row>
    <row r="187" spans="1:8" ht="13">
      <c r="A187" s="2">
        <f t="shared" si="20"/>
        <v>103</v>
      </c>
      <c r="C187" s="266" t="s">
        <v>970</v>
      </c>
      <c r="D187" s="346">
        <v>2022</v>
      </c>
      <c r="E187" s="59">
        <v>0</v>
      </c>
      <c r="F187" s="59">
        <v>0</v>
      </c>
      <c r="G187" s="6">
        <f t="shared" si="19"/>
        <v>0</v>
      </c>
      <c r="H187" s="6">
        <f t="shared" si="21"/>
        <v>0</v>
      </c>
    </row>
    <row r="188" spans="1:8" ht="13">
      <c r="A188" s="2">
        <f t="shared" si="20"/>
        <v>104</v>
      </c>
      <c r="C188" s="266" t="s">
        <v>391</v>
      </c>
      <c r="D188" s="346">
        <v>2022</v>
      </c>
      <c r="E188" s="59">
        <v>0</v>
      </c>
      <c r="F188" s="59">
        <v>0</v>
      </c>
      <c r="G188" s="6">
        <f t="shared" si="19"/>
        <v>0</v>
      </c>
      <c r="H188" s="6">
        <f t="shared" si="21"/>
        <v>0</v>
      </c>
    </row>
    <row r="189" spans="1:8" ht="13">
      <c r="A189" s="2">
        <f t="shared" si="20"/>
        <v>105</v>
      </c>
      <c r="C189" s="266" t="s">
        <v>379</v>
      </c>
      <c r="D189" s="346">
        <v>2022</v>
      </c>
      <c r="E189" s="59">
        <v>0</v>
      </c>
      <c r="F189" s="59">
        <v>0</v>
      </c>
      <c r="G189" s="6">
        <f t="shared" si="19"/>
        <v>0</v>
      </c>
      <c r="H189" s="6">
        <f t="shared" si="21"/>
        <v>0</v>
      </c>
    </row>
    <row r="191" spans="1:8" ht="13">
      <c r="C191" s="15" t="s">
        <v>1213</v>
      </c>
      <c r="E191" s="48" t="s">
        <v>336</v>
      </c>
      <c r="F191" s="48" t="s">
        <v>337</v>
      </c>
      <c r="G191" s="48" t="s">
        <v>338</v>
      </c>
      <c r="H191" s="48" t="s">
        <v>339</v>
      </c>
    </row>
    <row r="192" spans="1:8">
      <c r="G192" s="253" t="s">
        <v>1194</v>
      </c>
      <c r="H192" s="253" t="s">
        <v>1205</v>
      </c>
    </row>
    <row r="193" spans="1:8" ht="13">
      <c r="C193" s="2" t="s">
        <v>1185</v>
      </c>
      <c r="H193" s="248" t="s">
        <v>1206</v>
      </c>
    </row>
    <row r="194" spans="1:8" ht="13">
      <c r="C194" s="2" t="s">
        <v>372</v>
      </c>
      <c r="E194" s="2" t="s">
        <v>659</v>
      </c>
      <c r="F194" s="2" t="s">
        <v>1207</v>
      </c>
      <c r="G194" s="2" t="s">
        <v>1208</v>
      </c>
      <c r="H194" s="2" t="s">
        <v>703</v>
      </c>
    </row>
    <row r="195" spans="1:8" ht="13">
      <c r="C195" s="18" t="s">
        <v>371</v>
      </c>
      <c r="D195" s="18" t="s">
        <v>372</v>
      </c>
      <c r="E195" s="3" t="s">
        <v>1209</v>
      </c>
      <c r="F195" s="3" t="s">
        <v>38</v>
      </c>
      <c r="G195" s="3" t="s">
        <v>1175</v>
      </c>
      <c r="H195" s="3" t="s">
        <v>1199</v>
      </c>
    </row>
    <row r="196" spans="1:8" ht="13">
      <c r="A196" s="2">
        <f>A189+1</f>
        <v>106</v>
      </c>
      <c r="C196" s="266" t="s">
        <v>379</v>
      </c>
      <c r="D196" s="495">
        <v>2021</v>
      </c>
      <c r="E196" s="59">
        <v>300994973.99000001</v>
      </c>
      <c r="F196" s="59">
        <v>6671240.6907404177</v>
      </c>
      <c r="G196" s="6">
        <f t="shared" ref="G196:G208" si="22">E196-F196</f>
        <v>294323733.2992596</v>
      </c>
      <c r="H196" s="6">
        <f>E196-E196</f>
        <v>0</v>
      </c>
    </row>
    <row r="197" spans="1:8" ht="13">
      <c r="A197" s="2">
        <f>A196+1</f>
        <v>107</v>
      </c>
      <c r="C197" s="266" t="s">
        <v>381</v>
      </c>
      <c r="D197" s="346">
        <v>2022</v>
      </c>
      <c r="E197" s="59">
        <v>301365897.20000005</v>
      </c>
      <c r="F197" s="59">
        <v>7331462.623373501</v>
      </c>
      <c r="G197" s="6">
        <f t="shared" si="22"/>
        <v>294034434.57662654</v>
      </c>
      <c r="H197" s="6">
        <f>E197-E196</f>
        <v>370923.21000003815</v>
      </c>
    </row>
    <row r="198" spans="1:8" ht="13">
      <c r="A198" s="2">
        <f t="shared" ref="A198:A208" si="23">A197+1</f>
        <v>108</v>
      </c>
      <c r="C198" s="266" t="s">
        <v>382</v>
      </c>
      <c r="D198" s="346">
        <v>2022</v>
      </c>
      <c r="E198" s="59">
        <v>301979673.49000007</v>
      </c>
      <c r="F198" s="59">
        <v>7992494.3084610021</v>
      </c>
      <c r="G198" s="6">
        <f t="shared" si="22"/>
        <v>293987179.18153906</v>
      </c>
      <c r="H198" s="6">
        <f t="shared" ref="H198:H208" si="24">E198-E197</f>
        <v>613776.29000002146</v>
      </c>
    </row>
    <row r="199" spans="1:8" ht="13">
      <c r="A199" s="2">
        <f t="shared" si="23"/>
        <v>109</v>
      </c>
      <c r="C199" s="266" t="s">
        <v>383</v>
      </c>
      <c r="D199" s="346">
        <v>2022</v>
      </c>
      <c r="E199" s="59">
        <v>302579563.43000001</v>
      </c>
      <c r="F199" s="59">
        <v>8654853.6558760013</v>
      </c>
      <c r="G199" s="6">
        <f t="shared" si="22"/>
        <v>293924709.77412403</v>
      </c>
      <c r="H199" s="6">
        <f t="shared" si="24"/>
        <v>599889.93999993801</v>
      </c>
    </row>
    <row r="200" spans="1:8" ht="13">
      <c r="A200" s="2">
        <f t="shared" si="23"/>
        <v>110</v>
      </c>
      <c r="C200" s="266" t="s">
        <v>384</v>
      </c>
      <c r="D200" s="346">
        <v>2022</v>
      </c>
      <c r="E200" s="59">
        <v>302851776.04000002</v>
      </c>
      <c r="F200" s="59">
        <v>9318482.8734344188</v>
      </c>
      <c r="G200" s="6">
        <f t="shared" si="22"/>
        <v>293533293.1665656</v>
      </c>
      <c r="H200" s="6">
        <f t="shared" si="24"/>
        <v>272212.61000001431</v>
      </c>
    </row>
    <row r="201" spans="1:8" ht="13">
      <c r="A201" s="2">
        <f t="shared" si="23"/>
        <v>111</v>
      </c>
      <c r="C201" s="266" t="s">
        <v>385</v>
      </c>
      <c r="D201" s="346">
        <v>2022</v>
      </c>
      <c r="E201" s="59">
        <v>302952435.80000007</v>
      </c>
      <c r="F201" s="59">
        <v>9982723.2730662525</v>
      </c>
      <c r="G201" s="6">
        <f t="shared" si="22"/>
        <v>292969712.52693379</v>
      </c>
      <c r="H201" s="6">
        <f t="shared" si="24"/>
        <v>100659.76000005007</v>
      </c>
    </row>
    <row r="202" spans="1:8" ht="13">
      <c r="A202" s="2">
        <f t="shared" si="23"/>
        <v>112</v>
      </c>
      <c r="C202" s="266" t="s">
        <v>386</v>
      </c>
      <c r="D202" s="346">
        <v>2022</v>
      </c>
      <c r="E202" s="59">
        <v>304443578.70000005</v>
      </c>
      <c r="F202" s="59">
        <v>10647189.316818919</v>
      </c>
      <c r="G202" s="6">
        <f t="shared" si="22"/>
        <v>293796389.38318115</v>
      </c>
      <c r="H202" s="6">
        <f t="shared" si="24"/>
        <v>1491142.8999999762</v>
      </c>
    </row>
    <row r="203" spans="1:8" ht="13">
      <c r="A203" s="2">
        <f t="shared" si="23"/>
        <v>113</v>
      </c>
      <c r="C203" s="266" t="s">
        <v>387</v>
      </c>
      <c r="D203" s="346">
        <v>2022</v>
      </c>
      <c r="E203" s="59">
        <v>304516409.39000005</v>
      </c>
      <c r="F203" s="59">
        <v>11314989.877574669</v>
      </c>
      <c r="G203" s="6">
        <f t="shared" si="22"/>
        <v>293201419.51242536</v>
      </c>
      <c r="H203" s="6">
        <f t="shared" si="24"/>
        <v>72830.689999997616</v>
      </c>
    </row>
    <row r="204" spans="1:8" ht="13">
      <c r="A204" s="2">
        <f t="shared" si="23"/>
        <v>114</v>
      </c>
      <c r="C204" s="266" t="s">
        <v>388</v>
      </c>
      <c r="D204" s="346">
        <v>2022</v>
      </c>
      <c r="E204" s="59">
        <v>304923182.45000005</v>
      </c>
      <c r="F204" s="59">
        <v>11982952.858439669</v>
      </c>
      <c r="G204" s="6">
        <f t="shared" si="22"/>
        <v>292940229.59156036</v>
      </c>
      <c r="H204" s="6">
        <f t="shared" si="24"/>
        <v>406773.06000000238</v>
      </c>
    </row>
    <row r="205" spans="1:8" ht="13">
      <c r="A205" s="2">
        <f t="shared" si="23"/>
        <v>115</v>
      </c>
      <c r="C205" s="266" t="s">
        <v>389</v>
      </c>
      <c r="D205" s="346">
        <v>2022</v>
      </c>
      <c r="E205" s="59">
        <v>305013647.26000005</v>
      </c>
      <c r="F205" s="59">
        <v>12651829.061763668</v>
      </c>
      <c r="G205" s="6">
        <f t="shared" si="22"/>
        <v>292361818.19823641</v>
      </c>
      <c r="H205" s="6">
        <f t="shared" si="24"/>
        <v>90464.810000002384</v>
      </c>
    </row>
    <row r="206" spans="1:8" ht="13">
      <c r="A206" s="2">
        <f t="shared" si="23"/>
        <v>116</v>
      </c>
      <c r="C206" s="266" t="s">
        <v>970</v>
      </c>
      <c r="D206" s="346">
        <v>2022</v>
      </c>
      <c r="E206" s="59">
        <v>305073672.36000007</v>
      </c>
      <c r="F206" s="59">
        <v>13320904.849292837</v>
      </c>
      <c r="G206" s="6">
        <f t="shared" si="22"/>
        <v>291752767.51070726</v>
      </c>
      <c r="H206" s="6">
        <f t="shared" si="24"/>
        <v>60025.100000023842</v>
      </c>
    </row>
    <row r="207" spans="1:8" ht="13">
      <c r="A207" s="2">
        <f t="shared" si="23"/>
        <v>117</v>
      </c>
      <c r="C207" s="266" t="s">
        <v>391</v>
      </c>
      <c r="D207" s="346">
        <v>2022</v>
      </c>
      <c r="E207" s="59">
        <v>305120840.21000004</v>
      </c>
      <c r="F207" s="59">
        <v>13990114.164886754</v>
      </c>
      <c r="G207" s="6">
        <f t="shared" si="22"/>
        <v>291130726.04511327</v>
      </c>
      <c r="H207" s="6">
        <f t="shared" si="24"/>
        <v>47167.849999964237</v>
      </c>
    </row>
    <row r="208" spans="1:8" ht="13">
      <c r="A208" s="2">
        <f t="shared" si="23"/>
        <v>118</v>
      </c>
      <c r="C208" s="266" t="s">
        <v>379</v>
      </c>
      <c r="D208" s="346">
        <v>2022</v>
      </c>
      <c r="E208" s="59">
        <v>305228805.05000007</v>
      </c>
      <c r="F208" s="59">
        <v>14659428.253130501</v>
      </c>
      <c r="G208" s="6">
        <f t="shared" si="22"/>
        <v>290569376.79686958</v>
      </c>
      <c r="H208" s="6">
        <f t="shared" si="24"/>
        <v>107964.84000003338</v>
      </c>
    </row>
    <row r="210" spans="1:8" ht="13">
      <c r="C210" s="15" t="s">
        <v>1214</v>
      </c>
      <c r="E210" s="48" t="s">
        <v>336</v>
      </c>
      <c r="F210" s="48" t="s">
        <v>337</v>
      </c>
      <c r="G210" s="48" t="s">
        <v>338</v>
      </c>
      <c r="H210" s="48" t="s">
        <v>339</v>
      </c>
    </row>
    <row r="211" spans="1:8">
      <c r="G211" s="253" t="s">
        <v>1194</v>
      </c>
      <c r="H211" s="253" t="s">
        <v>1205</v>
      </c>
    </row>
    <row r="212" spans="1:8" ht="13">
      <c r="C212" s="2" t="s">
        <v>1185</v>
      </c>
      <c r="H212" s="248" t="s">
        <v>1206</v>
      </c>
    </row>
    <row r="213" spans="1:8" ht="13">
      <c r="C213" s="2" t="s">
        <v>372</v>
      </c>
      <c r="E213" s="2" t="s">
        <v>659</v>
      </c>
      <c r="F213" s="2" t="s">
        <v>1207</v>
      </c>
      <c r="G213" s="2" t="s">
        <v>1208</v>
      </c>
      <c r="H213" s="2" t="s">
        <v>703</v>
      </c>
    </row>
    <row r="214" spans="1:8" ht="13">
      <c r="C214" s="18" t="s">
        <v>371</v>
      </c>
      <c r="D214" s="18" t="s">
        <v>372</v>
      </c>
      <c r="E214" s="3" t="s">
        <v>1209</v>
      </c>
      <c r="F214" s="3" t="s">
        <v>38</v>
      </c>
      <c r="G214" s="3" t="s">
        <v>1175</v>
      </c>
      <c r="H214" s="3" t="s">
        <v>1199</v>
      </c>
    </row>
    <row r="215" spans="1:8" ht="13">
      <c r="A215" s="2">
        <f>A208+1</f>
        <v>119</v>
      </c>
      <c r="C215" s="266" t="s">
        <v>379</v>
      </c>
      <c r="D215" s="495">
        <v>2021</v>
      </c>
      <c r="E215" s="59">
        <v>235653780.98999995</v>
      </c>
      <c r="F215" s="59">
        <v>49390886.843493186</v>
      </c>
      <c r="G215" s="6">
        <f t="shared" ref="G215:G227" si="25">E215-F215</f>
        <v>186262894.14650676</v>
      </c>
      <c r="H215" s="6">
        <f>E215-E215</f>
        <v>0</v>
      </c>
    </row>
    <row r="216" spans="1:8" ht="13">
      <c r="A216" s="2">
        <f>A215+1</f>
        <v>120</v>
      </c>
      <c r="C216" s="266" t="s">
        <v>381</v>
      </c>
      <c r="D216" s="346">
        <v>2022</v>
      </c>
      <c r="E216" s="59">
        <v>235653780.98999995</v>
      </c>
      <c r="F216" s="59">
        <v>49887637.544095516</v>
      </c>
      <c r="G216" s="6">
        <f t="shared" si="25"/>
        <v>185766143.44590443</v>
      </c>
      <c r="H216" s="6">
        <f>E216-E215</f>
        <v>0</v>
      </c>
    </row>
    <row r="217" spans="1:8" ht="13">
      <c r="A217" s="2">
        <f t="shared" ref="A217:A227" si="26">A216+1</f>
        <v>121</v>
      </c>
      <c r="C217" s="266" t="s">
        <v>382</v>
      </c>
      <c r="D217" s="346">
        <v>2022</v>
      </c>
      <c r="E217" s="59">
        <v>235653780.98999995</v>
      </c>
      <c r="F217" s="59">
        <v>50384388.244697846</v>
      </c>
      <c r="G217" s="6">
        <f t="shared" si="25"/>
        <v>185269392.74530211</v>
      </c>
      <c r="H217" s="6">
        <f t="shared" ref="H217:H227" si="27">E217-E216</f>
        <v>0</v>
      </c>
    </row>
    <row r="218" spans="1:8" ht="13">
      <c r="A218" s="2">
        <f t="shared" si="26"/>
        <v>122</v>
      </c>
      <c r="C218" s="266" t="s">
        <v>383</v>
      </c>
      <c r="D218" s="346">
        <v>2022</v>
      </c>
      <c r="E218" s="59">
        <v>235653780.98999995</v>
      </c>
      <c r="F218" s="59">
        <v>50881138.945300184</v>
      </c>
      <c r="G218" s="6">
        <f t="shared" si="25"/>
        <v>184772642.04469976</v>
      </c>
      <c r="H218" s="6">
        <f t="shared" si="27"/>
        <v>0</v>
      </c>
    </row>
    <row r="219" spans="1:8" ht="13">
      <c r="A219" s="2">
        <f t="shared" si="26"/>
        <v>123</v>
      </c>
      <c r="C219" s="266" t="s">
        <v>384</v>
      </c>
      <c r="D219" s="346">
        <v>2022</v>
      </c>
      <c r="E219" s="59">
        <v>235653780.98999995</v>
      </c>
      <c r="F219" s="59">
        <v>51377889.645902514</v>
      </c>
      <c r="G219" s="6">
        <f t="shared" si="25"/>
        <v>184275891.34409744</v>
      </c>
      <c r="H219" s="6">
        <f t="shared" si="27"/>
        <v>0</v>
      </c>
    </row>
    <row r="220" spans="1:8" ht="13">
      <c r="A220" s="2">
        <f t="shared" si="26"/>
        <v>124</v>
      </c>
      <c r="C220" s="266" t="s">
        <v>385</v>
      </c>
      <c r="D220" s="346">
        <v>2022</v>
      </c>
      <c r="E220" s="59">
        <v>235653780.98999995</v>
      </c>
      <c r="F220" s="59">
        <v>51874640.346504852</v>
      </c>
      <c r="G220" s="6">
        <f t="shared" si="25"/>
        <v>183779140.64349508</v>
      </c>
      <c r="H220" s="6">
        <f t="shared" si="27"/>
        <v>0</v>
      </c>
    </row>
    <row r="221" spans="1:8" ht="13">
      <c r="A221" s="2">
        <f t="shared" si="26"/>
        <v>125</v>
      </c>
      <c r="C221" s="266" t="s">
        <v>386</v>
      </c>
      <c r="D221" s="346">
        <v>2022</v>
      </c>
      <c r="E221" s="59">
        <v>235653780.98999995</v>
      </c>
      <c r="F221" s="59">
        <v>52371391.047107182</v>
      </c>
      <c r="G221" s="6">
        <f t="shared" si="25"/>
        <v>183282389.94289276</v>
      </c>
      <c r="H221" s="6">
        <f t="shared" si="27"/>
        <v>0</v>
      </c>
    </row>
    <row r="222" spans="1:8" ht="13">
      <c r="A222" s="2">
        <f t="shared" si="26"/>
        <v>126</v>
      </c>
      <c r="C222" s="266" t="s">
        <v>387</v>
      </c>
      <c r="D222" s="346">
        <v>2022</v>
      </c>
      <c r="E222" s="59">
        <v>235653780.98999995</v>
      </c>
      <c r="F222" s="59">
        <v>52868141.747709513</v>
      </c>
      <c r="G222" s="6">
        <f t="shared" si="25"/>
        <v>182785639.24229044</v>
      </c>
      <c r="H222" s="6">
        <f t="shared" si="27"/>
        <v>0</v>
      </c>
    </row>
    <row r="223" spans="1:8" ht="13">
      <c r="A223" s="2">
        <f t="shared" si="26"/>
        <v>127</v>
      </c>
      <c r="C223" s="266" t="s">
        <v>388</v>
      </c>
      <c r="D223" s="346">
        <v>2022</v>
      </c>
      <c r="E223" s="59">
        <v>235653780.98999995</v>
      </c>
      <c r="F223" s="59">
        <v>53364892.448311858</v>
      </c>
      <c r="G223" s="6">
        <f t="shared" si="25"/>
        <v>182288888.54168808</v>
      </c>
      <c r="H223" s="6">
        <f t="shared" si="27"/>
        <v>0</v>
      </c>
    </row>
    <row r="224" spans="1:8" ht="13">
      <c r="A224" s="2">
        <f t="shared" si="26"/>
        <v>128</v>
      </c>
      <c r="C224" s="266" t="s">
        <v>389</v>
      </c>
      <c r="D224" s="346">
        <v>2022</v>
      </c>
      <c r="E224" s="59">
        <v>235653780.98999995</v>
      </c>
      <c r="F224" s="59">
        <v>53861643.148914196</v>
      </c>
      <c r="G224" s="6">
        <f t="shared" si="25"/>
        <v>181792137.84108576</v>
      </c>
      <c r="H224" s="6">
        <f t="shared" si="27"/>
        <v>0</v>
      </c>
    </row>
    <row r="225" spans="1:8" ht="13">
      <c r="A225" s="2">
        <f t="shared" si="26"/>
        <v>129</v>
      </c>
      <c r="C225" s="266" t="s">
        <v>970</v>
      </c>
      <c r="D225" s="346">
        <v>2022</v>
      </c>
      <c r="E225" s="59">
        <v>235653780.98999995</v>
      </c>
      <c r="F225" s="59">
        <v>54358393.849516526</v>
      </c>
      <c r="G225" s="6">
        <f t="shared" si="25"/>
        <v>181295387.14048344</v>
      </c>
      <c r="H225" s="6">
        <f t="shared" si="27"/>
        <v>0</v>
      </c>
    </row>
    <row r="226" spans="1:8" ht="13">
      <c r="A226" s="2">
        <f t="shared" si="26"/>
        <v>130</v>
      </c>
      <c r="C226" s="266" t="s">
        <v>391</v>
      </c>
      <c r="D226" s="346">
        <v>2022</v>
      </c>
      <c r="E226" s="59">
        <v>235653780.98999995</v>
      </c>
      <c r="F226" s="59">
        <v>54855144.550118864</v>
      </c>
      <c r="G226" s="6">
        <f t="shared" si="25"/>
        <v>180798636.43988109</v>
      </c>
      <c r="H226" s="6">
        <f t="shared" si="27"/>
        <v>0</v>
      </c>
    </row>
    <row r="227" spans="1:8" ht="13">
      <c r="A227" s="2">
        <f t="shared" si="26"/>
        <v>131</v>
      </c>
      <c r="C227" s="266" t="s">
        <v>379</v>
      </c>
      <c r="D227" s="346">
        <v>2022</v>
      </c>
      <c r="E227" s="59">
        <v>235653780.98999995</v>
      </c>
      <c r="F227" s="59">
        <v>55351895.250721186</v>
      </c>
      <c r="G227" s="6">
        <f t="shared" si="25"/>
        <v>180301885.73927876</v>
      </c>
      <c r="H227" s="6">
        <f t="shared" si="27"/>
        <v>0</v>
      </c>
    </row>
    <row r="229" spans="1:8" ht="13">
      <c r="C229" s="350" t="s">
        <v>1215</v>
      </c>
      <c r="H229" s="48" t="s">
        <v>339</v>
      </c>
    </row>
    <row r="230" spans="1:8" ht="13">
      <c r="E230" s="48" t="s">
        <v>336</v>
      </c>
      <c r="F230" s="48" t="s">
        <v>337</v>
      </c>
      <c r="G230" s="48" t="s">
        <v>338</v>
      </c>
      <c r="H230" s="253" t="s">
        <v>1205</v>
      </c>
    </row>
    <row r="231" spans="1:8" ht="13">
      <c r="C231" s="2" t="s">
        <v>1185</v>
      </c>
      <c r="G231" s="253" t="s">
        <v>1194</v>
      </c>
      <c r="H231" s="248" t="s">
        <v>1206</v>
      </c>
    </row>
    <row r="232" spans="1:8" ht="13">
      <c r="C232" s="2" t="s">
        <v>372</v>
      </c>
      <c r="E232" s="2" t="s">
        <v>659</v>
      </c>
      <c r="F232" s="2" t="s">
        <v>1207</v>
      </c>
      <c r="G232" s="2" t="s">
        <v>1208</v>
      </c>
      <c r="H232" s="2" t="s">
        <v>703</v>
      </c>
    </row>
    <row r="233" spans="1:8" ht="13">
      <c r="C233" s="18" t="s">
        <v>371</v>
      </c>
      <c r="D233" s="18" t="s">
        <v>372</v>
      </c>
      <c r="E233" s="3" t="s">
        <v>1209</v>
      </c>
      <c r="F233" s="3" t="s">
        <v>38</v>
      </c>
      <c r="G233" s="3" t="s">
        <v>1175</v>
      </c>
      <c r="H233" s="3" t="s">
        <v>1199</v>
      </c>
    </row>
    <row r="234" spans="1:8" ht="13">
      <c r="A234" s="2">
        <f>A227+1</f>
        <v>132</v>
      </c>
      <c r="C234" s="266" t="s">
        <v>379</v>
      </c>
      <c r="D234" s="495">
        <v>2021</v>
      </c>
      <c r="E234" s="59">
        <v>87604169.900000021</v>
      </c>
      <c r="F234" s="59">
        <v>13556912.08578451</v>
      </c>
      <c r="G234" s="6">
        <f t="shared" ref="G234:G246" si="28">E234-F234</f>
        <v>74047257.814215511</v>
      </c>
      <c r="H234" s="6">
        <f>E234-E234</f>
        <v>0</v>
      </c>
    </row>
    <row r="235" spans="1:8" ht="13">
      <c r="A235" s="2">
        <f>A234+1</f>
        <v>133</v>
      </c>
      <c r="C235" s="266" t="s">
        <v>381</v>
      </c>
      <c r="D235" s="346">
        <v>2022</v>
      </c>
      <c r="E235" s="59">
        <v>87604169.900000021</v>
      </c>
      <c r="F235" s="59">
        <v>13737383.844562843</v>
      </c>
      <c r="G235" s="6">
        <f t="shared" si="28"/>
        <v>73866786.055437177</v>
      </c>
      <c r="H235" s="6">
        <f>E235-E234</f>
        <v>0</v>
      </c>
    </row>
    <row r="236" spans="1:8" ht="13">
      <c r="A236" s="2">
        <f t="shared" ref="A236:A246" si="29">A235+1</f>
        <v>134</v>
      </c>
      <c r="C236" s="266" t="s">
        <v>382</v>
      </c>
      <c r="D236" s="346">
        <v>2022</v>
      </c>
      <c r="E236" s="59">
        <v>87604169.900000021</v>
      </c>
      <c r="F236" s="59">
        <v>13917855.603341177</v>
      </c>
      <c r="G236" s="6">
        <f t="shared" si="28"/>
        <v>73686314.296658844</v>
      </c>
      <c r="H236" s="6">
        <f t="shared" ref="H236:H246" si="30">E236-E235</f>
        <v>0</v>
      </c>
    </row>
    <row r="237" spans="1:8" ht="13">
      <c r="A237" s="2">
        <f t="shared" si="29"/>
        <v>135</v>
      </c>
      <c r="C237" s="266" t="s">
        <v>383</v>
      </c>
      <c r="D237" s="346">
        <v>2022</v>
      </c>
      <c r="E237" s="59">
        <v>87604169.900000021</v>
      </c>
      <c r="F237" s="59">
        <v>14098327.362119511</v>
      </c>
      <c r="G237" s="6">
        <f t="shared" si="28"/>
        <v>73505842.53788051</v>
      </c>
      <c r="H237" s="6">
        <f t="shared" si="30"/>
        <v>0</v>
      </c>
    </row>
    <row r="238" spans="1:8" ht="13">
      <c r="A238" s="2">
        <f t="shared" si="29"/>
        <v>136</v>
      </c>
      <c r="C238" s="266" t="s">
        <v>384</v>
      </c>
      <c r="D238" s="346">
        <v>2022</v>
      </c>
      <c r="E238" s="59">
        <v>87604169.900000021</v>
      </c>
      <c r="F238" s="59">
        <v>14278799.120897844</v>
      </c>
      <c r="G238" s="6">
        <f t="shared" si="28"/>
        <v>73325370.779102176</v>
      </c>
      <c r="H238" s="6">
        <f t="shared" si="30"/>
        <v>0</v>
      </c>
    </row>
    <row r="239" spans="1:8" ht="13">
      <c r="A239" s="2">
        <f t="shared" si="29"/>
        <v>137</v>
      </c>
      <c r="C239" s="266" t="s">
        <v>385</v>
      </c>
      <c r="D239" s="346">
        <v>2022</v>
      </c>
      <c r="E239" s="59">
        <v>87604169.900000021</v>
      </c>
      <c r="F239" s="59">
        <v>14459270.879676178</v>
      </c>
      <c r="G239" s="6">
        <f t="shared" si="28"/>
        <v>73144899.020323843</v>
      </c>
      <c r="H239" s="6">
        <f t="shared" si="30"/>
        <v>0</v>
      </c>
    </row>
    <row r="240" spans="1:8" ht="13">
      <c r="A240" s="2">
        <f t="shared" si="29"/>
        <v>138</v>
      </c>
      <c r="C240" s="266" t="s">
        <v>386</v>
      </c>
      <c r="D240" s="346">
        <v>2022</v>
      </c>
      <c r="E240" s="59">
        <v>87604169.900000021</v>
      </c>
      <c r="F240" s="59">
        <v>14639742.638454514</v>
      </c>
      <c r="G240" s="6">
        <f t="shared" si="28"/>
        <v>72964427.261545509</v>
      </c>
      <c r="H240" s="6">
        <f t="shared" si="30"/>
        <v>0</v>
      </c>
    </row>
    <row r="241" spans="1:8" ht="13">
      <c r="A241" s="2">
        <f t="shared" si="29"/>
        <v>139</v>
      </c>
      <c r="C241" s="266" t="s">
        <v>387</v>
      </c>
      <c r="D241" s="346">
        <v>2022</v>
      </c>
      <c r="E241" s="59">
        <v>87604169.900000021</v>
      </c>
      <c r="F241" s="59">
        <v>14820214.397232847</v>
      </c>
      <c r="G241" s="6">
        <f t="shared" si="28"/>
        <v>72783955.502767175</v>
      </c>
      <c r="H241" s="6">
        <f t="shared" si="30"/>
        <v>0</v>
      </c>
    </row>
    <row r="242" spans="1:8" ht="13">
      <c r="A242" s="2">
        <f t="shared" si="29"/>
        <v>140</v>
      </c>
      <c r="C242" s="266" t="s">
        <v>388</v>
      </c>
      <c r="D242" s="346">
        <v>2022</v>
      </c>
      <c r="E242" s="59">
        <v>87604169.900000021</v>
      </c>
      <c r="F242" s="59">
        <v>15000686.156011181</v>
      </c>
      <c r="G242" s="6">
        <f t="shared" si="28"/>
        <v>72603483.743988842</v>
      </c>
      <c r="H242" s="6">
        <f t="shared" si="30"/>
        <v>0</v>
      </c>
    </row>
    <row r="243" spans="1:8" ht="13">
      <c r="A243" s="2">
        <f t="shared" si="29"/>
        <v>141</v>
      </c>
      <c r="C243" s="266" t="s">
        <v>389</v>
      </c>
      <c r="D243" s="346">
        <v>2022</v>
      </c>
      <c r="E243" s="59">
        <v>87604169.900000021</v>
      </c>
      <c r="F243" s="59">
        <v>15181157.914789515</v>
      </c>
      <c r="G243" s="6">
        <f t="shared" si="28"/>
        <v>72423011.985210508</v>
      </c>
      <c r="H243" s="6">
        <f t="shared" si="30"/>
        <v>0</v>
      </c>
    </row>
    <row r="244" spans="1:8" ht="13">
      <c r="A244" s="2">
        <f t="shared" si="29"/>
        <v>142</v>
      </c>
      <c r="C244" s="266" t="s">
        <v>970</v>
      </c>
      <c r="D244" s="346">
        <v>2022</v>
      </c>
      <c r="E244" s="59">
        <v>87604169.900000021</v>
      </c>
      <c r="F244" s="59">
        <v>15361629.673567848</v>
      </c>
      <c r="G244" s="6">
        <f t="shared" si="28"/>
        <v>72242540.226432174</v>
      </c>
      <c r="H244" s="6">
        <f t="shared" si="30"/>
        <v>0</v>
      </c>
    </row>
    <row r="245" spans="1:8" ht="13">
      <c r="A245" s="2">
        <f t="shared" si="29"/>
        <v>143</v>
      </c>
      <c r="C245" s="266" t="s">
        <v>391</v>
      </c>
      <c r="D245" s="346">
        <v>2022</v>
      </c>
      <c r="E245" s="59">
        <v>87604169.900000021</v>
      </c>
      <c r="F245" s="59">
        <v>15542101.432346182</v>
      </c>
      <c r="G245" s="6">
        <f t="shared" si="28"/>
        <v>72062068.467653841</v>
      </c>
      <c r="H245" s="6">
        <f t="shared" si="30"/>
        <v>0</v>
      </c>
    </row>
    <row r="246" spans="1:8" ht="13">
      <c r="A246" s="2">
        <f t="shared" si="29"/>
        <v>144</v>
      </c>
      <c r="C246" s="266" t="s">
        <v>379</v>
      </c>
      <c r="D246" s="346">
        <v>2022</v>
      </c>
      <c r="E246" s="59">
        <v>87604169.900000021</v>
      </c>
      <c r="F246" s="59">
        <v>15722573.191124517</v>
      </c>
      <c r="G246" s="6">
        <f t="shared" si="28"/>
        <v>71881596.708875507</v>
      </c>
      <c r="H246" s="6">
        <f t="shared" si="30"/>
        <v>0</v>
      </c>
    </row>
    <row r="248" spans="1:8" ht="13">
      <c r="C248" s="15" t="s">
        <v>1216</v>
      </c>
      <c r="H248" s="48" t="s">
        <v>339</v>
      </c>
    </row>
    <row r="249" spans="1:8" ht="13">
      <c r="E249" s="48" t="s">
        <v>336</v>
      </c>
      <c r="F249" s="48" t="s">
        <v>337</v>
      </c>
      <c r="G249" s="48" t="s">
        <v>338</v>
      </c>
      <c r="H249" s="253" t="s">
        <v>1205</v>
      </c>
    </row>
    <row r="250" spans="1:8" ht="13">
      <c r="C250" s="2" t="s">
        <v>1185</v>
      </c>
      <c r="G250" s="253" t="s">
        <v>1194</v>
      </c>
      <c r="H250" s="248" t="s">
        <v>1206</v>
      </c>
    </row>
    <row r="251" spans="1:8" ht="13">
      <c r="C251" s="2" t="s">
        <v>372</v>
      </c>
      <c r="E251" s="2" t="s">
        <v>659</v>
      </c>
      <c r="F251" s="2" t="s">
        <v>1207</v>
      </c>
      <c r="G251" s="2" t="s">
        <v>1208</v>
      </c>
      <c r="H251" s="2" t="s">
        <v>703</v>
      </c>
    </row>
    <row r="252" spans="1:8" ht="13">
      <c r="C252" s="18" t="s">
        <v>371</v>
      </c>
      <c r="D252" s="18" t="s">
        <v>372</v>
      </c>
      <c r="E252" s="3" t="s">
        <v>1209</v>
      </c>
      <c r="F252" s="3" t="s">
        <v>38</v>
      </c>
      <c r="G252" s="3" t="s">
        <v>1175</v>
      </c>
      <c r="H252" s="3" t="s">
        <v>1199</v>
      </c>
    </row>
    <row r="253" spans="1:8" ht="13">
      <c r="A253" s="2">
        <f>A246+1</f>
        <v>145</v>
      </c>
      <c r="C253" s="266" t="s">
        <v>379</v>
      </c>
      <c r="D253" s="495">
        <v>2021</v>
      </c>
      <c r="E253" s="59">
        <v>95233570.200000063</v>
      </c>
      <c r="F253" s="59">
        <v>14925586.277804166</v>
      </c>
      <c r="G253" s="6">
        <f t="shared" ref="G253:G265" si="31">E253-F253</f>
        <v>80307983.922195897</v>
      </c>
      <c r="H253" s="6">
        <f>E253-E253</f>
        <v>0</v>
      </c>
    </row>
    <row r="254" spans="1:8" ht="13">
      <c r="A254" s="2">
        <f>A253+1</f>
        <v>146</v>
      </c>
      <c r="C254" s="266" t="s">
        <v>381</v>
      </c>
      <c r="D254" s="346">
        <v>2022</v>
      </c>
      <c r="E254" s="59">
        <v>95728297.810000062</v>
      </c>
      <c r="F254" s="59">
        <v>15122599.349836666</v>
      </c>
      <c r="G254" s="6">
        <f t="shared" si="31"/>
        <v>80605698.4601634</v>
      </c>
      <c r="H254" s="6">
        <f>E254-E253</f>
        <v>494727.6099999994</v>
      </c>
    </row>
    <row r="255" spans="1:8" ht="13">
      <c r="A255" s="2">
        <f t="shared" ref="A255:A265" si="32">A254+1</f>
        <v>147</v>
      </c>
      <c r="C255" s="266" t="s">
        <v>382</v>
      </c>
      <c r="D255" s="346">
        <v>2022</v>
      </c>
      <c r="E255" s="59">
        <v>95938978.840000063</v>
      </c>
      <c r="F255" s="59">
        <v>15320630.736199748</v>
      </c>
      <c r="G255" s="6">
        <f t="shared" si="31"/>
        <v>80618348.103800312</v>
      </c>
      <c r="H255" s="6">
        <f t="shared" ref="H255:H265" si="33">E255-E254</f>
        <v>210681.03000000119</v>
      </c>
    </row>
    <row r="256" spans="1:8" ht="13">
      <c r="A256" s="2">
        <f t="shared" si="32"/>
        <v>148</v>
      </c>
      <c r="C256" s="266" t="s">
        <v>383</v>
      </c>
      <c r="D256" s="346">
        <v>2022</v>
      </c>
      <c r="E256" s="59">
        <v>96156293.930000067</v>
      </c>
      <c r="F256" s="59">
        <v>15519095.774349583</v>
      </c>
      <c r="G256" s="6">
        <f t="shared" si="31"/>
        <v>80637198.155650482</v>
      </c>
      <c r="H256" s="6">
        <f t="shared" si="33"/>
        <v>217315.09000000358</v>
      </c>
    </row>
    <row r="257" spans="1:8" ht="13">
      <c r="A257" s="2">
        <f t="shared" si="32"/>
        <v>149</v>
      </c>
      <c r="C257" s="266" t="s">
        <v>384</v>
      </c>
      <c r="D257" s="346">
        <v>2022</v>
      </c>
      <c r="E257" s="59">
        <v>96209473.040000066</v>
      </c>
      <c r="F257" s="59">
        <v>15718008.119393</v>
      </c>
      <c r="G257" s="6">
        <f t="shared" si="31"/>
        <v>80491464.92060706</v>
      </c>
      <c r="H257" s="6">
        <f t="shared" si="33"/>
        <v>53179.109999999404</v>
      </c>
    </row>
    <row r="258" spans="1:8" ht="13">
      <c r="A258" s="2">
        <f t="shared" si="32"/>
        <v>150</v>
      </c>
      <c r="C258" s="266" t="s">
        <v>385</v>
      </c>
      <c r="D258" s="346">
        <v>2022</v>
      </c>
      <c r="E258" s="59">
        <v>96244402.410000071</v>
      </c>
      <c r="F258" s="59">
        <v>15917029.924771167</v>
      </c>
      <c r="G258" s="6">
        <f t="shared" si="31"/>
        <v>80327372.485228896</v>
      </c>
      <c r="H258" s="6">
        <f t="shared" si="33"/>
        <v>34929.370000004768</v>
      </c>
    </row>
    <row r="259" spans="1:8" ht="13">
      <c r="A259" s="2">
        <f t="shared" si="32"/>
        <v>151</v>
      </c>
      <c r="C259" s="266" t="s">
        <v>386</v>
      </c>
      <c r="D259" s="346">
        <v>2022</v>
      </c>
      <c r="E259" s="59">
        <v>96315346.480000064</v>
      </c>
      <c r="F259" s="59">
        <v>16116123.626435917</v>
      </c>
      <c r="G259" s="6">
        <f t="shared" si="31"/>
        <v>80199222.853564143</v>
      </c>
      <c r="H259" s="6">
        <f t="shared" si="33"/>
        <v>70944.069999992847</v>
      </c>
    </row>
    <row r="260" spans="1:8" ht="13">
      <c r="A260" s="2">
        <f t="shared" si="32"/>
        <v>152</v>
      </c>
      <c r="C260" s="266" t="s">
        <v>387</v>
      </c>
      <c r="D260" s="346">
        <v>2022</v>
      </c>
      <c r="E260" s="59">
        <v>96297237.470000058</v>
      </c>
      <c r="F260" s="59">
        <v>16315363.354644751</v>
      </c>
      <c r="G260" s="6">
        <f t="shared" si="31"/>
        <v>79981874.115355313</v>
      </c>
      <c r="H260" s="6">
        <f t="shared" si="33"/>
        <v>-18109.010000005364</v>
      </c>
    </row>
    <row r="261" spans="1:8" ht="13">
      <c r="A261" s="2">
        <f t="shared" si="32"/>
        <v>153</v>
      </c>
      <c r="C261" s="266" t="s">
        <v>388</v>
      </c>
      <c r="D261" s="346">
        <v>2022</v>
      </c>
      <c r="E261" s="59">
        <v>96308312.980000064</v>
      </c>
      <c r="F261" s="59">
        <v>16514565.808474669</v>
      </c>
      <c r="G261" s="6">
        <f t="shared" si="31"/>
        <v>79793747.171525389</v>
      </c>
      <c r="H261" s="6">
        <f t="shared" si="33"/>
        <v>11075.510000005364</v>
      </c>
    </row>
    <row r="262" spans="1:8" ht="13">
      <c r="A262" s="2">
        <f t="shared" si="32"/>
        <v>154</v>
      </c>
      <c r="C262" s="266" t="s">
        <v>389</v>
      </c>
      <c r="D262" s="346">
        <v>2022</v>
      </c>
      <c r="E262" s="59">
        <v>96332568.440000057</v>
      </c>
      <c r="F262" s="59">
        <v>16713791.059396002</v>
      </c>
      <c r="G262" s="6">
        <f t="shared" si="31"/>
        <v>79618777.380604059</v>
      </c>
      <c r="H262" s="6">
        <f t="shared" si="33"/>
        <v>24255.459999993443</v>
      </c>
    </row>
    <row r="263" spans="1:8" ht="13">
      <c r="A263" s="2">
        <f t="shared" si="32"/>
        <v>155</v>
      </c>
      <c r="C263" s="266" t="s">
        <v>970</v>
      </c>
      <c r="D263" s="346">
        <v>2022</v>
      </c>
      <c r="E263" s="59">
        <v>96354946.670000061</v>
      </c>
      <c r="F263" s="59">
        <v>16913066.236139167</v>
      </c>
      <c r="G263" s="6">
        <f t="shared" si="31"/>
        <v>79441880.433860898</v>
      </c>
      <c r="H263" s="6">
        <f t="shared" si="33"/>
        <v>22378.230000004172</v>
      </c>
    </row>
    <row r="264" spans="1:8" ht="13">
      <c r="A264" s="2">
        <f t="shared" si="32"/>
        <v>156</v>
      </c>
      <c r="C264" s="266" t="s">
        <v>391</v>
      </c>
      <c r="D264" s="346">
        <v>2022</v>
      </c>
      <c r="E264" s="59">
        <v>96378239.080000058</v>
      </c>
      <c r="F264" s="59">
        <v>17112387.474739086</v>
      </c>
      <c r="G264" s="6">
        <f t="shared" si="31"/>
        <v>79265851.605260968</v>
      </c>
      <c r="H264" s="6">
        <f t="shared" si="33"/>
        <v>23292.409999996424</v>
      </c>
    </row>
    <row r="265" spans="1:8" ht="13">
      <c r="A265" s="2">
        <f t="shared" si="32"/>
        <v>157</v>
      </c>
      <c r="C265" s="266" t="s">
        <v>379</v>
      </c>
      <c r="D265" s="346">
        <v>2022</v>
      </c>
      <c r="E265" s="59">
        <v>96390504.010000065</v>
      </c>
      <c r="F265" s="59">
        <v>17311756.656882919</v>
      </c>
      <c r="G265" s="6">
        <f t="shared" si="31"/>
        <v>79078747.353117138</v>
      </c>
      <c r="H265" s="6">
        <f t="shared" si="33"/>
        <v>12264.930000007153</v>
      </c>
    </row>
    <row r="267" spans="1:8" ht="13">
      <c r="C267" s="15" t="s">
        <v>1217</v>
      </c>
      <c r="E267" s="48" t="s">
        <v>336</v>
      </c>
      <c r="F267" s="48" t="s">
        <v>337</v>
      </c>
      <c r="G267" s="48" t="s">
        <v>338</v>
      </c>
      <c r="H267" s="48" t="s">
        <v>339</v>
      </c>
    </row>
    <row r="268" spans="1:8">
      <c r="G268" s="253" t="s">
        <v>1194</v>
      </c>
      <c r="H268" s="253" t="s">
        <v>1205</v>
      </c>
    </row>
    <row r="269" spans="1:8" ht="13">
      <c r="C269" s="2" t="s">
        <v>1185</v>
      </c>
      <c r="H269" s="248" t="s">
        <v>1206</v>
      </c>
    </row>
    <row r="270" spans="1:8" ht="13">
      <c r="C270" s="2" t="s">
        <v>372</v>
      </c>
      <c r="E270" s="2" t="s">
        <v>659</v>
      </c>
      <c r="F270" s="2" t="s">
        <v>1207</v>
      </c>
      <c r="G270" s="2" t="s">
        <v>1208</v>
      </c>
      <c r="H270" s="2" t="s">
        <v>703</v>
      </c>
    </row>
    <row r="271" spans="1:8" ht="13">
      <c r="C271" s="18" t="s">
        <v>371</v>
      </c>
      <c r="D271" s="18" t="s">
        <v>372</v>
      </c>
      <c r="E271" s="3" t="s">
        <v>1209</v>
      </c>
      <c r="F271" s="3" t="s">
        <v>38</v>
      </c>
      <c r="G271" s="3" t="s">
        <v>1175</v>
      </c>
      <c r="H271" s="3" t="s">
        <v>1199</v>
      </c>
    </row>
    <row r="272" spans="1:8" ht="13">
      <c r="A272" s="2">
        <f>A265+1</f>
        <v>158</v>
      </c>
      <c r="C272" s="266" t="s">
        <v>379</v>
      </c>
      <c r="D272" s="495">
        <v>2021</v>
      </c>
      <c r="E272" s="59">
        <v>190416054.66315401</v>
      </c>
      <c r="F272" s="59">
        <v>9363231.7740206998</v>
      </c>
      <c r="G272" s="6">
        <f t="shared" ref="G272:G284" si="34">E272-F272</f>
        <v>181052822.8891333</v>
      </c>
      <c r="H272" s="6">
        <f>E272-E272</f>
        <v>0</v>
      </c>
    </row>
    <row r="273" spans="1:8" ht="13">
      <c r="A273" s="2">
        <f>A272+1</f>
        <v>159</v>
      </c>
      <c r="C273" s="266" t="s">
        <v>381</v>
      </c>
      <c r="D273" s="346">
        <v>2022</v>
      </c>
      <c r="E273" s="59">
        <v>190416569.48134196</v>
      </c>
      <c r="F273" s="59">
        <v>9768819.908538159</v>
      </c>
      <c r="G273" s="6">
        <f t="shared" si="34"/>
        <v>180647749.5728038</v>
      </c>
      <c r="H273" s="6">
        <f>E273-E272</f>
        <v>514.81818795204163</v>
      </c>
    </row>
    <row r="274" spans="1:8" ht="13">
      <c r="A274" s="2">
        <f t="shared" ref="A274:A284" si="35">A273+1</f>
        <v>160</v>
      </c>
      <c r="C274" s="266" t="s">
        <v>382</v>
      </c>
      <c r="D274" s="346">
        <v>2022</v>
      </c>
      <c r="E274" s="59">
        <v>190416847.56698596</v>
      </c>
      <c r="F274" s="59">
        <v>10174409.114712493</v>
      </c>
      <c r="G274" s="6">
        <f t="shared" si="34"/>
        <v>180242438.45227346</v>
      </c>
      <c r="H274" s="6">
        <f t="shared" ref="H274:H284" si="36">E274-E273</f>
        <v>278.08564400672913</v>
      </c>
    </row>
    <row r="275" spans="1:8" ht="13">
      <c r="A275" s="2">
        <f t="shared" si="35"/>
        <v>161</v>
      </c>
      <c r="C275" s="266" t="s">
        <v>383</v>
      </c>
      <c r="D275" s="346">
        <v>2022</v>
      </c>
      <c r="E275" s="59">
        <v>190421565.569902</v>
      </c>
      <c r="F275" s="59">
        <v>10579998.899756318</v>
      </c>
      <c r="G275" s="6">
        <f t="shared" si="34"/>
        <v>179841566.67014569</v>
      </c>
      <c r="H275" s="6">
        <f t="shared" si="36"/>
        <v>4718.0029160380363</v>
      </c>
    </row>
    <row r="276" spans="1:8" ht="13">
      <c r="A276" s="2">
        <f t="shared" si="35"/>
        <v>162</v>
      </c>
      <c r="C276" s="266" t="s">
        <v>384</v>
      </c>
      <c r="D276" s="346">
        <v>2022</v>
      </c>
      <c r="E276" s="59">
        <v>190431755.28292799</v>
      </c>
      <c r="F276" s="59">
        <v>10985599.844200833</v>
      </c>
      <c r="G276" s="6">
        <f t="shared" si="34"/>
        <v>179446155.43872717</v>
      </c>
      <c r="H276" s="6">
        <f t="shared" si="36"/>
        <v>10189.713025987148</v>
      </c>
    </row>
    <row r="277" spans="1:8" ht="13">
      <c r="A277" s="2">
        <f t="shared" si="35"/>
        <v>163</v>
      </c>
      <c r="C277" s="266" t="s">
        <v>385</v>
      </c>
      <c r="D277" s="346">
        <v>2022</v>
      </c>
      <c r="E277" s="59">
        <v>414259386.23024601</v>
      </c>
      <c r="F277" s="59">
        <v>11391222.357259851</v>
      </c>
      <c r="G277" s="6">
        <f t="shared" si="34"/>
        <v>402868163.87298614</v>
      </c>
      <c r="H277" s="6">
        <f t="shared" si="36"/>
        <v>223827630.94731802</v>
      </c>
    </row>
    <row r="278" spans="1:8" ht="13">
      <c r="A278" s="2">
        <f t="shared" si="35"/>
        <v>164</v>
      </c>
      <c r="C278" s="266" t="s">
        <v>386</v>
      </c>
      <c r="D278" s="346">
        <v>2022</v>
      </c>
      <c r="E278" s="59">
        <v>417673200.156578</v>
      </c>
      <c r="F278" s="59">
        <v>12261598.974493939</v>
      </c>
      <c r="G278" s="6">
        <f t="shared" si="34"/>
        <v>405411601.18208408</v>
      </c>
      <c r="H278" s="6">
        <f t="shared" si="36"/>
        <v>3413813.9263319969</v>
      </c>
    </row>
    <row r="279" spans="1:8" ht="13">
      <c r="A279" s="2">
        <f t="shared" si="35"/>
        <v>165</v>
      </c>
      <c r="C279" s="266" t="s">
        <v>387</v>
      </c>
      <c r="D279" s="346">
        <v>2022</v>
      </c>
      <c r="E279" s="59">
        <v>421185454.04203606</v>
      </c>
      <c r="F279" s="59">
        <v>13139089.965445478</v>
      </c>
      <c r="G279" s="6">
        <f t="shared" si="34"/>
        <v>408046364.0765906</v>
      </c>
      <c r="H279" s="6">
        <f t="shared" si="36"/>
        <v>3512253.8854580522</v>
      </c>
    </row>
    <row r="280" spans="1:8" ht="13">
      <c r="A280" s="2">
        <f t="shared" si="35"/>
        <v>166</v>
      </c>
      <c r="C280" s="266" t="s">
        <v>388</v>
      </c>
      <c r="D280" s="346">
        <v>2022</v>
      </c>
      <c r="E280" s="59">
        <v>422255031.29622602</v>
      </c>
      <c r="F280" s="59">
        <v>14023883.157429397</v>
      </c>
      <c r="G280" s="6">
        <f t="shared" si="34"/>
        <v>408231148.13879663</v>
      </c>
      <c r="H280" s="6">
        <f t="shared" si="36"/>
        <v>1069577.2541899681</v>
      </c>
    </row>
    <row r="281" spans="1:8" ht="13">
      <c r="A281" s="2">
        <f t="shared" si="35"/>
        <v>167</v>
      </c>
      <c r="C281" s="266" t="s">
        <v>389</v>
      </c>
      <c r="D281" s="346">
        <v>2022</v>
      </c>
      <c r="E281" s="59">
        <v>426765030.50252795</v>
      </c>
      <c r="F281" s="59">
        <v>14910924.647513345</v>
      </c>
      <c r="G281" s="6">
        <f t="shared" si="34"/>
        <v>411854105.85501462</v>
      </c>
      <c r="H281" s="6">
        <f t="shared" si="36"/>
        <v>4509999.2063019276</v>
      </c>
    </row>
    <row r="282" spans="1:8" ht="13">
      <c r="A282" s="2">
        <f t="shared" si="35"/>
        <v>168</v>
      </c>
      <c r="C282" s="266" t="s">
        <v>970</v>
      </c>
      <c r="D282" s="346">
        <v>2022</v>
      </c>
      <c r="E282" s="59">
        <v>429304776.42385</v>
      </c>
      <c r="F282" s="59">
        <v>15807346.101629939</v>
      </c>
      <c r="G282" s="6">
        <f t="shared" si="34"/>
        <v>413497430.32222009</v>
      </c>
      <c r="H282" s="6">
        <f t="shared" si="36"/>
        <v>2539745.9213220477</v>
      </c>
    </row>
    <row r="283" spans="1:8" ht="13">
      <c r="A283" s="2">
        <f t="shared" si="35"/>
        <v>169</v>
      </c>
      <c r="C283" s="266" t="s">
        <v>391</v>
      </c>
      <c r="D283" s="346">
        <v>2022</v>
      </c>
      <c r="E283" s="59">
        <v>431080378.93729204</v>
      </c>
      <c r="F283" s="59">
        <v>16709036.266451068</v>
      </c>
      <c r="G283" s="6">
        <f t="shared" si="34"/>
        <v>414371342.67084098</v>
      </c>
      <c r="H283" s="6">
        <f t="shared" si="36"/>
        <v>1775602.5134420395</v>
      </c>
    </row>
    <row r="284" spans="1:8" ht="13">
      <c r="A284" s="2">
        <f t="shared" si="35"/>
        <v>170</v>
      </c>
      <c r="C284" s="266" t="s">
        <v>379</v>
      </c>
      <c r="D284" s="346">
        <v>2022</v>
      </c>
      <c r="E284" s="59">
        <v>432700403.25729197</v>
      </c>
      <c r="F284" s="59">
        <v>17613765.908482693</v>
      </c>
      <c r="G284" s="6">
        <f t="shared" si="34"/>
        <v>415086637.3488093</v>
      </c>
      <c r="H284" s="6">
        <f t="shared" si="36"/>
        <v>1620024.3199999332</v>
      </c>
    </row>
    <row r="286" spans="1:8" ht="13">
      <c r="C286" s="350" t="s">
        <v>1218</v>
      </c>
      <c r="E286" s="48" t="s">
        <v>336</v>
      </c>
      <c r="F286" s="48" t="s">
        <v>337</v>
      </c>
      <c r="G286" s="48" t="s">
        <v>338</v>
      </c>
      <c r="H286" s="48" t="s">
        <v>339</v>
      </c>
    </row>
    <row r="287" spans="1:8">
      <c r="G287" s="253" t="s">
        <v>1194</v>
      </c>
      <c r="H287" s="253" t="s">
        <v>1205</v>
      </c>
    </row>
    <row r="288" spans="1:8" ht="13">
      <c r="C288" s="2" t="s">
        <v>1185</v>
      </c>
      <c r="H288" s="248" t="s">
        <v>1206</v>
      </c>
    </row>
    <row r="289" spans="1:8" ht="13">
      <c r="C289" s="2" t="s">
        <v>372</v>
      </c>
      <c r="E289" s="2" t="s">
        <v>659</v>
      </c>
      <c r="F289" s="2" t="s">
        <v>1207</v>
      </c>
      <c r="G289" s="2" t="s">
        <v>1208</v>
      </c>
      <c r="H289" s="2" t="s">
        <v>703</v>
      </c>
    </row>
    <row r="290" spans="1:8" ht="13">
      <c r="C290" s="18" t="s">
        <v>371</v>
      </c>
      <c r="D290" s="18" t="s">
        <v>372</v>
      </c>
      <c r="E290" s="3" t="s">
        <v>1209</v>
      </c>
      <c r="F290" s="3" t="s">
        <v>38</v>
      </c>
      <c r="G290" s="3" t="s">
        <v>1175</v>
      </c>
      <c r="H290" s="3" t="s">
        <v>1199</v>
      </c>
    </row>
    <row r="291" spans="1:8" ht="13">
      <c r="A291" s="2">
        <f>A284+1</f>
        <v>171</v>
      </c>
      <c r="C291" s="266" t="s">
        <v>379</v>
      </c>
      <c r="D291" s="495">
        <v>2021</v>
      </c>
      <c r="E291" s="59">
        <v>3550027.0427999999</v>
      </c>
      <c r="F291" s="59">
        <v>0</v>
      </c>
      <c r="G291" s="6">
        <f t="shared" ref="G291:G303" si="37">E291-F291</f>
        <v>3550027.0427999999</v>
      </c>
      <c r="H291" s="6">
        <f>E291-E291</f>
        <v>0</v>
      </c>
    </row>
    <row r="292" spans="1:8" ht="13">
      <c r="A292" s="2">
        <f>A291+1</f>
        <v>172</v>
      </c>
      <c r="C292" s="266" t="s">
        <v>381</v>
      </c>
      <c r="D292" s="346">
        <v>2022</v>
      </c>
      <c r="E292" s="59">
        <v>3550027.0427999999</v>
      </c>
      <c r="F292" s="59">
        <v>0</v>
      </c>
      <c r="G292" s="6">
        <f t="shared" si="37"/>
        <v>3550027.0427999999</v>
      </c>
      <c r="H292" s="6">
        <f>E292-E291</f>
        <v>0</v>
      </c>
    </row>
    <row r="293" spans="1:8" ht="13">
      <c r="A293" s="2">
        <f t="shared" ref="A293:A303" si="38">A292+1</f>
        <v>173</v>
      </c>
      <c r="C293" s="266" t="s">
        <v>382</v>
      </c>
      <c r="D293" s="346">
        <v>2022</v>
      </c>
      <c r="E293" s="59">
        <v>3550027.0427999999</v>
      </c>
      <c r="F293" s="59">
        <v>0</v>
      </c>
      <c r="G293" s="6">
        <f t="shared" si="37"/>
        <v>3550027.0427999999</v>
      </c>
      <c r="H293" s="6">
        <f t="shared" ref="H293:H303" si="39">E293-E292</f>
        <v>0</v>
      </c>
    </row>
    <row r="294" spans="1:8" ht="13">
      <c r="A294" s="2">
        <f t="shared" si="38"/>
        <v>174</v>
      </c>
      <c r="C294" s="266" t="s">
        <v>383</v>
      </c>
      <c r="D294" s="346">
        <v>2022</v>
      </c>
      <c r="E294" s="59">
        <v>2231895.7017000001</v>
      </c>
      <c r="F294" s="59">
        <v>0</v>
      </c>
      <c r="G294" s="6">
        <f t="shared" si="37"/>
        <v>2231895.7017000001</v>
      </c>
      <c r="H294" s="6">
        <f t="shared" si="39"/>
        <v>-1318131.3410999998</v>
      </c>
    </row>
    <row r="295" spans="1:8" ht="13">
      <c r="A295" s="2">
        <f t="shared" si="38"/>
        <v>175</v>
      </c>
      <c r="C295" s="266" t="s">
        <v>384</v>
      </c>
      <c r="D295" s="346">
        <v>2022</v>
      </c>
      <c r="E295" s="59">
        <v>2231895.7017000001</v>
      </c>
      <c r="F295" s="59">
        <v>0</v>
      </c>
      <c r="G295" s="6">
        <f t="shared" si="37"/>
        <v>2231895.7017000001</v>
      </c>
      <c r="H295" s="6">
        <f t="shared" si="39"/>
        <v>0</v>
      </c>
    </row>
    <row r="296" spans="1:8" ht="13">
      <c r="A296" s="2">
        <f t="shared" si="38"/>
        <v>176</v>
      </c>
      <c r="C296" s="266" t="s">
        <v>385</v>
      </c>
      <c r="D296" s="346">
        <v>2022</v>
      </c>
      <c r="E296" s="59">
        <v>2231895.7017000001</v>
      </c>
      <c r="F296" s="59">
        <v>0</v>
      </c>
      <c r="G296" s="6">
        <f t="shared" si="37"/>
        <v>2231895.7017000001</v>
      </c>
      <c r="H296" s="6">
        <f t="shared" si="39"/>
        <v>0</v>
      </c>
    </row>
    <row r="297" spans="1:8" ht="13">
      <c r="A297" s="2">
        <f t="shared" si="38"/>
        <v>177</v>
      </c>
      <c r="C297" s="266" t="s">
        <v>386</v>
      </c>
      <c r="D297" s="346">
        <v>2022</v>
      </c>
      <c r="E297" s="59">
        <v>2231895.7017000001</v>
      </c>
      <c r="F297" s="59">
        <v>0</v>
      </c>
      <c r="G297" s="6">
        <f t="shared" si="37"/>
        <v>2231895.7017000001</v>
      </c>
      <c r="H297" s="6">
        <f t="shared" si="39"/>
        <v>0</v>
      </c>
    </row>
    <row r="298" spans="1:8" ht="13">
      <c r="A298" s="2">
        <f t="shared" si="38"/>
        <v>178</v>
      </c>
      <c r="C298" s="266" t="s">
        <v>387</v>
      </c>
      <c r="D298" s="346">
        <v>2022</v>
      </c>
      <c r="E298" s="59">
        <v>2231895.7017000001</v>
      </c>
      <c r="F298" s="59">
        <v>0</v>
      </c>
      <c r="G298" s="6">
        <f t="shared" si="37"/>
        <v>2231895.7017000001</v>
      </c>
      <c r="H298" s="6">
        <f t="shared" si="39"/>
        <v>0</v>
      </c>
    </row>
    <row r="299" spans="1:8" ht="13">
      <c r="A299" s="2">
        <f t="shared" si="38"/>
        <v>179</v>
      </c>
      <c r="C299" s="266" t="s">
        <v>388</v>
      </c>
      <c r="D299" s="346">
        <v>2022</v>
      </c>
      <c r="E299" s="59">
        <v>2231895.7017000001</v>
      </c>
      <c r="F299" s="59">
        <v>0</v>
      </c>
      <c r="G299" s="6">
        <f t="shared" si="37"/>
        <v>2231895.7017000001</v>
      </c>
      <c r="H299" s="6">
        <f t="shared" si="39"/>
        <v>0</v>
      </c>
    </row>
    <row r="300" spans="1:8" ht="13">
      <c r="A300" s="2">
        <f t="shared" si="38"/>
        <v>180</v>
      </c>
      <c r="C300" s="266" t="s">
        <v>389</v>
      </c>
      <c r="D300" s="346">
        <v>2022</v>
      </c>
      <c r="E300" s="59">
        <v>2231895.7017000001</v>
      </c>
      <c r="F300" s="59">
        <v>0</v>
      </c>
      <c r="G300" s="6">
        <f t="shared" si="37"/>
        <v>2231895.7017000001</v>
      </c>
      <c r="H300" s="6">
        <f t="shared" si="39"/>
        <v>0</v>
      </c>
    </row>
    <row r="301" spans="1:8" ht="13">
      <c r="A301" s="2">
        <f t="shared" si="38"/>
        <v>181</v>
      </c>
      <c r="C301" s="266" t="s">
        <v>970</v>
      </c>
      <c r="D301" s="346">
        <v>2022</v>
      </c>
      <c r="E301" s="59">
        <v>2231895.7017000001</v>
      </c>
      <c r="F301" s="59">
        <v>0</v>
      </c>
      <c r="G301" s="6">
        <f t="shared" si="37"/>
        <v>2231895.7017000001</v>
      </c>
      <c r="H301" s="6">
        <f t="shared" si="39"/>
        <v>0</v>
      </c>
    </row>
    <row r="302" spans="1:8" ht="13">
      <c r="A302" s="2">
        <f t="shared" si="38"/>
        <v>182</v>
      </c>
      <c r="C302" s="266" t="s">
        <v>391</v>
      </c>
      <c r="D302" s="346">
        <v>2022</v>
      </c>
      <c r="E302" s="59">
        <v>810117.00000000023</v>
      </c>
      <c r="F302" s="59">
        <v>0</v>
      </c>
      <c r="G302" s="6">
        <f t="shared" si="37"/>
        <v>810117.00000000023</v>
      </c>
      <c r="H302" s="6">
        <f t="shared" si="39"/>
        <v>-1421778.7016999999</v>
      </c>
    </row>
    <row r="303" spans="1:8" ht="13">
      <c r="A303" s="2">
        <f t="shared" si="38"/>
        <v>183</v>
      </c>
      <c r="C303" s="266" t="s">
        <v>379</v>
      </c>
      <c r="D303" s="346">
        <v>2022</v>
      </c>
      <c r="E303" s="59">
        <v>810117.00000000023</v>
      </c>
      <c r="F303" s="59">
        <v>0</v>
      </c>
      <c r="G303" s="6">
        <f t="shared" si="37"/>
        <v>810117.00000000023</v>
      </c>
      <c r="H303" s="6">
        <f t="shared" si="39"/>
        <v>0</v>
      </c>
    </row>
    <row r="305" spans="1:11" ht="13">
      <c r="C305" s="350" t="s">
        <v>1219</v>
      </c>
      <c r="E305" s="48" t="s">
        <v>336</v>
      </c>
      <c r="F305" s="48" t="s">
        <v>337</v>
      </c>
      <c r="G305" s="48" t="s">
        <v>338</v>
      </c>
      <c r="H305" s="48" t="s">
        <v>339</v>
      </c>
    </row>
    <row r="306" spans="1:11">
      <c r="G306" s="253" t="s">
        <v>1194</v>
      </c>
      <c r="H306" s="253" t="s">
        <v>1205</v>
      </c>
    </row>
    <row r="307" spans="1:11" ht="13">
      <c r="C307" s="2" t="s">
        <v>1185</v>
      </c>
      <c r="H307" s="248" t="s">
        <v>1206</v>
      </c>
    </row>
    <row r="308" spans="1:11" ht="13">
      <c r="C308" s="2" t="s">
        <v>372</v>
      </c>
      <c r="E308" s="2" t="s">
        <v>659</v>
      </c>
      <c r="F308" s="2" t="s">
        <v>1207</v>
      </c>
      <c r="G308" s="2" t="s">
        <v>1208</v>
      </c>
      <c r="H308" s="2" t="s">
        <v>703</v>
      </c>
    </row>
    <row r="309" spans="1:11" ht="13">
      <c r="C309" s="18" t="s">
        <v>371</v>
      </c>
      <c r="D309" s="18" t="s">
        <v>372</v>
      </c>
      <c r="E309" s="3" t="s">
        <v>1209</v>
      </c>
      <c r="F309" s="3" t="s">
        <v>38</v>
      </c>
      <c r="G309" s="3" t="s">
        <v>1175</v>
      </c>
      <c r="H309" s="3" t="s">
        <v>1199</v>
      </c>
    </row>
    <row r="310" spans="1:11" ht="13">
      <c r="A310" s="2">
        <f>A303+1</f>
        <v>184</v>
      </c>
      <c r="C310" s="266" t="s">
        <v>379</v>
      </c>
      <c r="D310" s="495">
        <v>2021</v>
      </c>
      <c r="E310" s="59">
        <v>0</v>
      </c>
      <c r="F310" s="59">
        <v>0</v>
      </c>
      <c r="G310" s="6">
        <f t="shared" ref="G310:G322" si="40">E310-F310</f>
        <v>0</v>
      </c>
      <c r="H310" s="6">
        <f>E310-E310</f>
        <v>0</v>
      </c>
    </row>
    <row r="311" spans="1:11" ht="13">
      <c r="A311" s="2">
        <f>A310+1</f>
        <v>185</v>
      </c>
      <c r="C311" s="266" t="s">
        <v>381</v>
      </c>
      <c r="D311" s="346">
        <v>2022</v>
      </c>
      <c r="E311" s="59">
        <v>0</v>
      </c>
      <c r="F311" s="59">
        <v>0</v>
      </c>
      <c r="G311" s="6">
        <f t="shared" si="40"/>
        <v>0</v>
      </c>
      <c r="H311" s="6">
        <f>E311-E310</f>
        <v>0</v>
      </c>
    </row>
    <row r="312" spans="1:11" ht="13">
      <c r="A312" s="2">
        <f t="shared" ref="A312:A322" si="41">A311+1</f>
        <v>186</v>
      </c>
      <c r="C312" s="266" t="s">
        <v>382</v>
      </c>
      <c r="D312" s="346">
        <v>2022</v>
      </c>
      <c r="E312" s="59">
        <v>0</v>
      </c>
      <c r="F312" s="59">
        <v>0</v>
      </c>
      <c r="G312" s="6">
        <f t="shared" si="40"/>
        <v>0</v>
      </c>
      <c r="H312" s="6">
        <f t="shared" ref="H312:H322" si="42">E312-E311</f>
        <v>0</v>
      </c>
    </row>
    <row r="313" spans="1:11" ht="13">
      <c r="A313" s="2">
        <f t="shared" si="41"/>
        <v>187</v>
      </c>
      <c r="C313" s="266" t="s">
        <v>383</v>
      </c>
      <c r="D313" s="346">
        <v>2022</v>
      </c>
      <c r="E313" s="59">
        <v>0</v>
      </c>
      <c r="F313" s="59">
        <v>0</v>
      </c>
      <c r="G313" s="6">
        <f t="shared" si="40"/>
        <v>0</v>
      </c>
      <c r="H313" s="6">
        <f t="shared" si="42"/>
        <v>0</v>
      </c>
    </row>
    <row r="314" spans="1:11" ht="13">
      <c r="A314" s="2">
        <f t="shared" si="41"/>
        <v>188</v>
      </c>
      <c r="C314" s="266" t="s">
        <v>384</v>
      </c>
      <c r="D314" s="346">
        <v>2022</v>
      </c>
      <c r="E314" s="59">
        <v>0</v>
      </c>
      <c r="F314" s="59">
        <v>0</v>
      </c>
      <c r="G314" s="6">
        <f t="shared" si="40"/>
        <v>0</v>
      </c>
      <c r="H314" s="6">
        <f t="shared" si="42"/>
        <v>0</v>
      </c>
    </row>
    <row r="315" spans="1:11" ht="13">
      <c r="A315" s="2">
        <f t="shared" si="41"/>
        <v>189</v>
      </c>
      <c r="C315" s="266" t="s">
        <v>385</v>
      </c>
      <c r="D315" s="346">
        <v>2022</v>
      </c>
      <c r="E315" s="59">
        <v>0</v>
      </c>
      <c r="F315" s="59">
        <v>0</v>
      </c>
      <c r="G315" s="6">
        <f t="shared" si="40"/>
        <v>0</v>
      </c>
      <c r="H315" s="6">
        <f t="shared" si="42"/>
        <v>0</v>
      </c>
      <c r="K315" t="s">
        <v>3014</v>
      </c>
    </row>
    <row r="316" spans="1:11" ht="13">
      <c r="A316" s="2">
        <f t="shared" si="41"/>
        <v>190</v>
      </c>
      <c r="C316" s="266" t="s">
        <v>386</v>
      </c>
      <c r="D316" s="346">
        <v>2022</v>
      </c>
      <c r="E316" s="59">
        <v>8630001.4699999988</v>
      </c>
      <c r="F316" s="59">
        <v>0</v>
      </c>
      <c r="G316" s="6">
        <f t="shared" si="40"/>
        <v>8630001.4699999988</v>
      </c>
      <c r="H316" s="6">
        <f t="shared" si="42"/>
        <v>8630001.4699999988</v>
      </c>
    </row>
    <row r="317" spans="1:11" ht="13">
      <c r="A317" s="2">
        <f t="shared" si="41"/>
        <v>191</v>
      </c>
      <c r="C317" s="266" t="s">
        <v>387</v>
      </c>
      <c r="D317" s="346">
        <v>2022</v>
      </c>
      <c r="E317" s="59">
        <v>9769742</v>
      </c>
      <c r="F317" s="59">
        <v>21609.788990916666</v>
      </c>
      <c r="G317" s="6">
        <f t="shared" si="40"/>
        <v>9748132.2110090833</v>
      </c>
      <c r="H317" s="6">
        <f t="shared" si="42"/>
        <v>1139740.5300000012</v>
      </c>
    </row>
    <row r="318" spans="1:11" ht="13">
      <c r="A318" s="2">
        <f t="shared" si="41"/>
        <v>192</v>
      </c>
      <c r="C318" s="266" t="s">
        <v>388</v>
      </c>
      <c r="D318" s="346">
        <v>2022</v>
      </c>
      <c r="E318" s="59">
        <v>9688533.4000000004</v>
      </c>
      <c r="F318" s="59">
        <v>44841.883069916665</v>
      </c>
      <c r="G318" s="6">
        <f t="shared" si="40"/>
        <v>9643691.5169300828</v>
      </c>
      <c r="H318" s="6">
        <f t="shared" si="42"/>
        <v>-81208.599999999627</v>
      </c>
    </row>
    <row r="319" spans="1:11" ht="13">
      <c r="A319" s="2">
        <f t="shared" si="41"/>
        <v>193</v>
      </c>
      <c r="C319" s="266" t="s">
        <v>389</v>
      </c>
      <c r="D319" s="346">
        <v>2022</v>
      </c>
      <c r="E319" s="59">
        <v>9733484.8200000003</v>
      </c>
      <c r="F319" s="59">
        <v>67861.620210416659</v>
      </c>
      <c r="G319" s="6">
        <f t="shared" si="40"/>
        <v>9665623.1997895837</v>
      </c>
      <c r="H319" s="6">
        <f t="shared" si="42"/>
        <v>44951.419999999925</v>
      </c>
    </row>
    <row r="320" spans="1:11" ht="13">
      <c r="A320" s="2">
        <f t="shared" si="41"/>
        <v>194</v>
      </c>
      <c r="C320" s="266" t="s">
        <v>970</v>
      </c>
      <c r="D320" s="346">
        <v>2022</v>
      </c>
      <c r="E320" s="59">
        <v>9797206.5700000003</v>
      </c>
      <c r="F320" s="59">
        <v>90993.917092583331</v>
      </c>
      <c r="G320" s="6">
        <f t="shared" si="40"/>
        <v>9706212.6529074162</v>
      </c>
      <c r="H320" s="6">
        <f t="shared" si="42"/>
        <v>63721.75</v>
      </c>
    </row>
    <row r="321" spans="1:8" ht="13">
      <c r="A321" s="2">
        <f t="shared" si="41"/>
        <v>195</v>
      </c>
      <c r="C321" s="266" t="s">
        <v>391</v>
      </c>
      <c r="D321" s="346">
        <v>2022</v>
      </c>
      <c r="E321" s="59">
        <v>9984670.5800000001</v>
      </c>
      <c r="F321" s="59">
        <v>114280.87730399999</v>
      </c>
      <c r="G321" s="6">
        <f t="shared" si="40"/>
        <v>9870389.7026959993</v>
      </c>
      <c r="H321" s="6">
        <f t="shared" si="42"/>
        <v>187464.00999999978</v>
      </c>
    </row>
    <row r="322" spans="1:8" ht="13">
      <c r="A322" s="2">
        <f t="shared" si="41"/>
        <v>196</v>
      </c>
      <c r="C322" s="266" t="s">
        <v>379</v>
      </c>
      <c r="D322" s="346">
        <v>2022</v>
      </c>
      <c r="E322" s="59">
        <v>11112303.030000001</v>
      </c>
      <c r="F322" s="59">
        <v>138037.25316391667</v>
      </c>
      <c r="G322" s="6">
        <f t="shared" si="40"/>
        <v>10974265.776836084</v>
      </c>
      <c r="H322" s="6">
        <f t="shared" si="42"/>
        <v>1127632.4500000011</v>
      </c>
    </row>
    <row r="323" spans="1:8" ht="13">
      <c r="A323" s="2"/>
      <c r="C323" s="266"/>
      <c r="D323" s="590"/>
      <c r="E323" s="6"/>
      <c r="F323" s="6"/>
      <c r="G323" s="6"/>
      <c r="H323" s="6"/>
    </row>
    <row r="324" spans="1:8" ht="13">
      <c r="A324" s="2"/>
      <c r="C324" s="350" t="s">
        <v>1220</v>
      </c>
      <c r="D324" s="266"/>
      <c r="E324" s="266"/>
      <c r="F324" s="266"/>
      <c r="G324" s="6"/>
      <c r="H324" s="6"/>
    </row>
    <row r="325" spans="1:8" ht="13">
      <c r="C325" s="350"/>
      <c r="E325" s="48" t="s">
        <v>336</v>
      </c>
      <c r="F325" s="48" t="s">
        <v>337</v>
      </c>
      <c r="G325" s="48" t="s">
        <v>338</v>
      </c>
      <c r="H325" s="48" t="s">
        <v>339</v>
      </c>
    </row>
    <row r="326" spans="1:8">
      <c r="G326" s="253" t="s">
        <v>1194</v>
      </c>
      <c r="H326" s="253" t="s">
        <v>1205</v>
      </c>
    </row>
    <row r="327" spans="1:8" ht="13">
      <c r="C327" s="2" t="s">
        <v>1185</v>
      </c>
      <c r="H327" s="248" t="s">
        <v>1206</v>
      </c>
    </row>
    <row r="328" spans="1:8" ht="13">
      <c r="C328" s="2" t="s">
        <v>372</v>
      </c>
      <c r="E328" s="2" t="s">
        <v>659</v>
      </c>
      <c r="F328" s="2" t="s">
        <v>1207</v>
      </c>
      <c r="G328" s="2" t="s">
        <v>1208</v>
      </c>
      <c r="H328" s="2" t="s">
        <v>703</v>
      </c>
    </row>
    <row r="329" spans="1:8" ht="13">
      <c r="C329" s="18" t="s">
        <v>371</v>
      </c>
      <c r="D329" s="18" t="s">
        <v>372</v>
      </c>
      <c r="E329" s="3" t="s">
        <v>1209</v>
      </c>
      <c r="F329" s="3" t="s">
        <v>38</v>
      </c>
      <c r="G329" s="3" t="s">
        <v>1175</v>
      </c>
      <c r="H329" s="3" t="s">
        <v>1199</v>
      </c>
    </row>
    <row r="330" spans="1:8" ht="13">
      <c r="A330" s="2">
        <f>A322+1</f>
        <v>197</v>
      </c>
      <c r="C330" s="266" t="s">
        <v>379</v>
      </c>
      <c r="D330" s="495">
        <v>2021</v>
      </c>
      <c r="E330" s="59">
        <v>0</v>
      </c>
      <c r="F330" s="59">
        <v>0</v>
      </c>
      <c r="G330" s="6">
        <f t="shared" ref="G330:G342" si="43">E330-F330</f>
        <v>0</v>
      </c>
      <c r="H330" s="6">
        <f>E330-E330</f>
        <v>0</v>
      </c>
    </row>
    <row r="331" spans="1:8" ht="13">
      <c r="A331" s="2">
        <f>A330+1</f>
        <v>198</v>
      </c>
      <c r="C331" s="266" t="s">
        <v>381</v>
      </c>
      <c r="D331" s="346">
        <v>2022</v>
      </c>
      <c r="E331" s="59">
        <v>0</v>
      </c>
      <c r="F331" s="59">
        <v>0</v>
      </c>
      <c r="G331" s="6">
        <f t="shared" si="43"/>
        <v>0</v>
      </c>
      <c r="H331" s="6">
        <f>E331-E330</f>
        <v>0</v>
      </c>
    </row>
    <row r="332" spans="1:8" ht="13">
      <c r="A332" s="2">
        <f t="shared" ref="A332:A342" si="44">A331+1</f>
        <v>199</v>
      </c>
      <c r="C332" s="266" t="s">
        <v>382</v>
      </c>
      <c r="D332" s="346">
        <v>2022</v>
      </c>
      <c r="E332" s="59">
        <v>0</v>
      </c>
      <c r="F332" s="59">
        <v>0</v>
      </c>
      <c r="G332" s="6">
        <f t="shared" si="43"/>
        <v>0</v>
      </c>
      <c r="H332" s="6">
        <f t="shared" ref="H332:H342" si="45">E332-E331</f>
        <v>0</v>
      </c>
    </row>
    <row r="333" spans="1:8" ht="13">
      <c r="A333" s="2">
        <f t="shared" si="44"/>
        <v>200</v>
      </c>
      <c r="C333" s="266" t="s">
        <v>383</v>
      </c>
      <c r="D333" s="346">
        <v>2022</v>
      </c>
      <c r="E333" s="59">
        <v>0</v>
      </c>
      <c r="F333" s="59">
        <v>0</v>
      </c>
      <c r="G333" s="6">
        <f t="shared" si="43"/>
        <v>0</v>
      </c>
      <c r="H333" s="6">
        <f t="shared" si="45"/>
        <v>0</v>
      </c>
    </row>
    <row r="334" spans="1:8" ht="13">
      <c r="A334" s="2">
        <f t="shared" si="44"/>
        <v>201</v>
      </c>
      <c r="C334" s="266" t="s">
        <v>384</v>
      </c>
      <c r="D334" s="346">
        <v>2022</v>
      </c>
      <c r="E334" s="59">
        <v>0</v>
      </c>
      <c r="F334" s="59">
        <v>0</v>
      </c>
      <c r="G334" s="6">
        <f t="shared" si="43"/>
        <v>0</v>
      </c>
      <c r="H334" s="6">
        <f t="shared" si="45"/>
        <v>0</v>
      </c>
    </row>
    <row r="335" spans="1:8" ht="13">
      <c r="A335" s="2">
        <f t="shared" si="44"/>
        <v>202</v>
      </c>
      <c r="C335" s="266" t="s">
        <v>385</v>
      </c>
      <c r="D335" s="346">
        <v>2022</v>
      </c>
      <c r="E335" s="59">
        <v>0</v>
      </c>
      <c r="F335" s="59">
        <v>0</v>
      </c>
      <c r="G335" s="6">
        <f t="shared" si="43"/>
        <v>0</v>
      </c>
      <c r="H335" s="6">
        <f t="shared" si="45"/>
        <v>0</v>
      </c>
    </row>
    <row r="336" spans="1:8" ht="13">
      <c r="A336" s="2">
        <f t="shared" si="44"/>
        <v>203</v>
      </c>
      <c r="C336" s="266" t="s">
        <v>386</v>
      </c>
      <c r="D336" s="346">
        <v>2022</v>
      </c>
      <c r="E336" s="59">
        <v>0</v>
      </c>
      <c r="F336" s="59">
        <v>0</v>
      </c>
      <c r="G336" s="6">
        <f t="shared" si="43"/>
        <v>0</v>
      </c>
      <c r="H336" s="6">
        <f t="shared" si="45"/>
        <v>0</v>
      </c>
    </row>
    <row r="337" spans="1:8" ht="13">
      <c r="A337" s="2">
        <f t="shared" si="44"/>
        <v>204</v>
      </c>
      <c r="C337" s="266" t="s">
        <v>387</v>
      </c>
      <c r="D337" s="346">
        <v>2022</v>
      </c>
      <c r="E337" s="59">
        <v>0</v>
      </c>
      <c r="F337" s="59">
        <v>0</v>
      </c>
      <c r="G337" s="6">
        <f t="shared" si="43"/>
        <v>0</v>
      </c>
      <c r="H337" s="6">
        <f t="shared" si="45"/>
        <v>0</v>
      </c>
    </row>
    <row r="338" spans="1:8" ht="13">
      <c r="A338" s="2">
        <f t="shared" si="44"/>
        <v>205</v>
      </c>
      <c r="C338" s="266" t="s">
        <v>388</v>
      </c>
      <c r="D338" s="346">
        <v>2022</v>
      </c>
      <c r="E338" s="59">
        <v>0</v>
      </c>
      <c r="F338" s="59">
        <v>0</v>
      </c>
      <c r="G338" s="6">
        <f t="shared" si="43"/>
        <v>0</v>
      </c>
      <c r="H338" s="6">
        <f t="shared" si="45"/>
        <v>0</v>
      </c>
    </row>
    <row r="339" spans="1:8" ht="13">
      <c r="A339" s="2">
        <f t="shared" si="44"/>
        <v>206</v>
      </c>
      <c r="C339" s="266" t="s">
        <v>389</v>
      </c>
      <c r="D339" s="346">
        <v>2022</v>
      </c>
      <c r="E339" s="59">
        <v>0</v>
      </c>
      <c r="F339" s="59">
        <v>0</v>
      </c>
      <c r="G339" s="6">
        <f t="shared" si="43"/>
        <v>0</v>
      </c>
      <c r="H339" s="6">
        <f t="shared" si="45"/>
        <v>0</v>
      </c>
    </row>
    <row r="340" spans="1:8" ht="13">
      <c r="A340" s="2">
        <f t="shared" si="44"/>
        <v>207</v>
      </c>
      <c r="C340" s="266" t="s">
        <v>970</v>
      </c>
      <c r="D340" s="346">
        <v>2022</v>
      </c>
      <c r="E340" s="59">
        <v>0</v>
      </c>
      <c r="F340" s="59">
        <v>0</v>
      </c>
      <c r="G340" s="6">
        <f t="shared" si="43"/>
        <v>0</v>
      </c>
      <c r="H340" s="6">
        <f t="shared" si="45"/>
        <v>0</v>
      </c>
    </row>
    <row r="341" spans="1:8" ht="13">
      <c r="A341" s="2">
        <f t="shared" si="44"/>
        <v>208</v>
      </c>
      <c r="C341" s="266" t="s">
        <v>391</v>
      </c>
      <c r="D341" s="346">
        <v>2022</v>
      </c>
      <c r="E341" s="59">
        <v>0</v>
      </c>
      <c r="F341" s="59">
        <v>0</v>
      </c>
      <c r="G341" s="6">
        <f t="shared" si="43"/>
        <v>0</v>
      </c>
      <c r="H341" s="6">
        <f t="shared" si="45"/>
        <v>0</v>
      </c>
    </row>
    <row r="342" spans="1:8" ht="13">
      <c r="A342" s="2">
        <f t="shared" si="44"/>
        <v>209</v>
      </c>
      <c r="C342" s="266" t="s">
        <v>379</v>
      </c>
      <c r="D342" s="346">
        <v>2022</v>
      </c>
      <c r="E342" s="59">
        <v>0</v>
      </c>
      <c r="F342" s="59">
        <v>0</v>
      </c>
      <c r="G342" s="6">
        <f t="shared" si="43"/>
        <v>0</v>
      </c>
      <c r="H342" s="6">
        <f t="shared" si="45"/>
        <v>0</v>
      </c>
    </row>
    <row r="343" spans="1:8" ht="13">
      <c r="A343" s="2"/>
      <c r="C343" s="266"/>
      <c r="D343" s="590"/>
      <c r="E343" s="6"/>
      <c r="F343" s="6"/>
      <c r="G343" s="6"/>
      <c r="H343" s="6"/>
    </row>
    <row r="344" spans="1:8" ht="13">
      <c r="C344" s="842" t="s">
        <v>1221</v>
      </c>
      <c r="E344" s="48" t="s">
        <v>336</v>
      </c>
      <c r="F344" s="48" t="s">
        <v>337</v>
      </c>
      <c r="G344" s="48" t="s">
        <v>338</v>
      </c>
      <c r="H344" s="48" t="s">
        <v>339</v>
      </c>
    </row>
    <row r="345" spans="1:8">
      <c r="G345" s="253" t="s">
        <v>1194</v>
      </c>
      <c r="H345" s="253" t="s">
        <v>1205</v>
      </c>
    </row>
    <row r="346" spans="1:8" ht="13">
      <c r="C346" s="2" t="s">
        <v>1185</v>
      </c>
      <c r="H346" s="248" t="s">
        <v>1206</v>
      </c>
    </row>
    <row r="347" spans="1:8" ht="13">
      <c r="C347" s="2" t="s">
        <v>372</v>
      </c>
      <c r="E347" s="2" t="s">
        <v>659</v>
      </c>
      <c r="F347" s="2" t="s">
        <v>1207</v>
      </c>
      <c r="G347" s="2" t="s">
        <v>1208</v>
      </c>
      <c r="H347" s="2" t="s">
        <v>703</v>
      </c>
    </row>
    <row r="348" spans="1:8" ht="13">
      <c r="C348" s="18" t="s">
        <v>371</v>
      </c>
      <c r="D348" s="18" t="s">
        <v>372</v>
      </c>
      <c r="E348" s="3" t="s">
        <v>1209</v>
      </c>
      <c r="F348" s="3" t="s">
        <v>38</v>
      </c>
      <c r="G348" s="3" t="s">
        <v>1175</v>
      </c>
      <c r="H348" s="3" t="s">
        <v>1199</v>
      </c>
    </row>
    <row r="349" spans="1:8" ht="13">
      <c r="A349" s="2">
        <f>A342+1</f>
        <v>210</v>
      </c>
      <c r="C349" s="266" t="s">
        <v>379</v>
      </c>
      <c r="D349" s="495">
        <v>2021</v>
      </c>
      <c r="E349" s="59"/>
      <c r="F349" s="59"/>
      <c r="G349" s="6">
        <f t="shared" ref="G349:G361" si="46">E349-F349</f>
        <v>0</v>
      </c>
      <c r="H349" s="6">
        <f>E349-E349</f>
        <v>0</v>
      </c>
    </row>
    <row r="350" spans="1:8" ht="13">
      <c r="A350" s="2">
        <f>A349+1</f>
        <v>211</v>
      </c>
      <c r="C350" s="266" t="s">
        <v>381</v>
      </c>
      <c r="D350" s="346">
        <v>2022</v>
      </c>
      <c r="E350" s="59"/>
      <c r="F350" s="59"/>
      <c r="G350" s="6">
        <f t="shared" si="46"/>
        <v>0</v>
      </c>
      <c r="H350" s="6">
        <f>E350-E349</f>
        <v>0</v>
      </c>
    </row>
    <row r="351" spans="1:8" ht="13">
      <c r="A351" s="2">
        <f t="shared" ref="A351:A361" si="47">A350+1</f>
        <v>212</v>
      </c>
      <c r="C351" s="266" t="s">
        <v>382</v>
      </c>
      <c r="D351" s="346">
        <v>2022</v>
      </c>
      <c r="E351" s="59"/>
      <c r="F351" s="59"/>
      <c r="G351" s="6">
        <f t="shared" si="46"/>
        <v>0</v>
      </c>
      <c r="H351" s="6">
        <f t="shared" ref="H351:H361" si="48">E351-E350</f>
        <v>0</v>
      </c>
    </row>
    <row r="352" spans="1:8" ht="13">
      <c r="A352" s="2">
        <f t="shared" si="47"/>
        <v>213</v>
      </c>
      <c r="C352" s="266" t="s">
        <v>383</v>
      </c>
      <c r="D352" s="346">
        <v>2022</v>
      </c>
      <c r="E352" s="59"/>
      <c r="F352" s="59"/>
      <c r="G352" s="6">
        <f t="shared" si="46"/>
        <v>0</v>
      </c>
      <c r="H352" s="6">
        <f t="shared" si="48"/>
        <v>0</v>
      </c>
    </row>
    <row r="353" spans="1:10" ht="13">
      <c r="A353" s="2">
        <f t="shared" si="47"/>
        <v>214</v>
      </c>
      <c r="C353" s="266" t="s">
        <v>384</v>
      </c>
      <c r="D353" s="346">
        <v>2022</v>
      </c>
      <c r="E353" s="59"/>
      <c r="F353" s="59"/>
      <c r="G353" s="6">
        <f t="shared" si="46"/>
        <v>0</v>
      </c>
      <c r="H353" s="6">
        <f t="shared" si="48"/>
        <v>0</v>
      </c>
    </row>
    <row r="354" spans="1:10" ht="13">
      <c r="A354" s="2">
        <f t="shared" si="47"/>
        <v>215</v>
      </c>
      <c r="C354" s="266" t="s">
        <v>385</v>
      </c>
      <c r="D354" s="346">
        <v>2022</v>
      </c>
      <c r="E354" s="59"/>
      <c r="F354" s="59"/>
      <c r="G354" s="6">
        <f t="shared" si="46"/>
        <v>0</v>
      </c>
      <c r="H354" s="6">
        <f t="shared" si="48"/>
        <v>0</v>
      </c>
    </row>
    <row r="355" spans="1:10" ht="13">
      <c r="A355" s="2">
        <f t="shared" si="47"/>
        <v>216</v>
      </c>
      <c r="C355" s="266" t="s">
        <v>386</v>
      </c>
      <c r="D355" s="346">
        <v>2022</v>
      </c>
      <c r="E355" s="59"/>
      <c r="F355" s="59"/>
      <c r="G355" s="6">
        <f t="shared" si="46"/>
        <v>0</v>
      </c>
      <c r="H355" s="6">
        <f t="shared" si="48"/>
        <v>0</v>
      </c>
    </row>
    <row r="356" spans="1:10" ht="13">
      <c r="A356" s="2">
        <f t="shared" si="47"/>
        <v>217</v>
      </c>
      <c r="C356" s="266" t="s">
        <v>387</v>
      </c>
      <c r="D356" s="346">
        <v>2022</v>
      </c>
      <c r="E356" s="59"/>
      <c r="F356" s="59"/>
      <c r="G356" s="6">
        <f t="shared" si="46"/>
        <v>0</v>
      </c>
      <c r="H356" s="6">
        <f t="shared" si="48"/>
        <v>0</v>
      </c>
    </row>
    <row r="357" spans="1:10" ht="13">
      <c r="A357" s="2">
        <f t="shared" si="47"/>
        <v>218</v>
      </c>
      <c r="C357" s="266" t="s">
        <v>388</v>
      </c>
      <c r="D357" s="346">
        <v>2022</v>
      </c>
      <c r="E357" s="59"/>
      <c r="F357" s="59"/>
      <c r="G357" s="6">
        <f t="shared" si="46"/>
        <v>0</v>
      </c>
      <c r="H357" s="6">
        <f t="shared" si="48"/>
        <v>0</v>
      </c>
    </row>
    <row r="358" spans="1:10" ht="13">
      <c r="A358" s="2">
        <f t="shared" si="47"/>
        <v>219</v>
      </c>
      <c r="C358" s="266" t="s">
        <v>389</v>
      </c>
      <c r="D358" s="346">
        <v>2022</v>
      </c>
      <c r="E358" s="59"/>
      <c r="F358" s="59"/>
      <c r="G358" s="6">
        <f t="shared" si="46"/>
        <v>0</v>
      </c>
      <c r="H358" s="6">
        <f t="shared" si="48"/>
        <v>0</v>
      </c>
    </row>
    <row r="359" spans="1:10" ht="13">
      <c r="A359" s="2">
        <f t="shared" si="47"/>
        <v>220</v>
      </c>
      <c r="C359" s="266" t="s">
        <v>970</v>
      </c>
      <c r="D359" s="346">
        <v>2022</v>
      </c>
      <c r="E359" s="59"/>
      <c r="F359" s="59"/>
      <c r="G359" s="6">
        <f t="shared" si="46"/>
        <v>0</v>
      </c>
      <c r="H359" s="6">
        <f t="shared" si="48"/>
        <v>0</v>
      </c>
    </row>
    <row r="360" spans="1:10" ht="13">
      <c r="A360" s="2">
        <f t="shared" si="47"/>
        <v>221</v>
      </c>
      <c r="C360" s="266" t="s">
        <v>391</v>
      </c>
      <c r="D360" s="346">
        <v>2022</v>
      </c>
      <c r="E360" s="59"/>
      <c r="F360" s="59"/>
      <c r="G360" s="6">
        <f t="shared" si="46"/>
        <v>0</v>
      </c>
      <c r="H360" s="6">
        <f t="shared" si="48"/>
        <v>0</v>
      </c>
    </row>
    <row r="361" spans="1:10" ht="13">
      <c r="A361" s="2">
        <f t="shared" si="47"/>
        <v>222</v>
      </c>
      <c r="C361" s="266" t="s">
        <v>379</v>
      </c>
      <c r="D361" s="346">
        <v>2022</v>
      </c>
      <c r="E361" s="59"/>
      <c r="F361" s="59"/>
      <c r="G361" s="6">
        <f t="shared" si="46"/>
        <v>0</v>
      </c>
      <c r="H361" s="6">
        <f t="shared" si="48"/>
        <v>0</v>
      </c>
    </row>
    <row r="362" spans="1:10" ht="13">
      <c r="A362" s="2"/>
      <c r="C362" s="266"/>
      <c r="D362" s="17"/>
      <c r="E362" s="6"/>
      <c r="F362" s="6"/>
      <c r="G362" s="6"/>
      <c r="H362" s="6"/>
    </row>
    <row r="363" spans="1:10" ht="13">
      <c r="B363" s="1"/>
      <c r="C363" s="1" t="s">
        <v>1222</v>
      </c>
      <c r="D363" s="245"/>
      <c r="E363" s="6"/>
    </row>
    <row r="364" spans="1:10" ht="13">
      <c r="B364" s="1"/>
    </row>
    <row r="365" spans="1:10" ht="13">
      <c r="C365" s="201" t="s">
        <v>1223</v>
      </c>
      <c r="D365" s="54"/>
      <c r="E365" s="54"/>
      <c r="F365" s="54"/>
      <c r="G365" s="109" t="s">
        <v>1224</v>
      </c>
      <c r="H365" s="54"/>
      <c r="I365" s="54"/>
      <c r="J365" s="54"/>
    </row>
    <row r="366" spans="1:10" ht="13">
      <c r="A366" s="2">
        <f>A342+1</f>
        <v>210</v>
      </c>
      <c r="C366" s="278" t="s">
        <v>1225</v>
      </c>
      <c r="D366" s="54"/>
      <c r="E366" s="202"/>
      <c r="F366" s="526" t="s">
        <v>1226</v>
      </c>
      <c r="G366" s="254" t="s">
        <v>1227</v>
      </c>
      <c r="H366" s="54"/>
      <c r="I366" s="54"/>
      <c r="J366" s="54"/>
    </row>
    <row r="367" spans="1:10" ht="13">
      <c r="A367" s="2">
        <f>A366+1</f>
        <v>211</v>
      </c>
      <c r="C367" s="199" t="s">
        <v>1228</v>
      </c>
      <c r="D367" s="54"/>
      <c r="E367" s="203"/>
      <c r="F367" s="527">
        <v>7.4999999999999997E-3</v>
      </c>
      <c r="G367" s="254" t="s">
        <v>1229</v>
      </c>
      <c r="H367" s="54"/>
      <c r="I367" s="54"/>
      <c r="J367" s="54"/>
    </row>
    <row r="368" spans="1:10" ht="13">
      <c r="A368" s="2">
        <f>A367+1</f>
        <v>212</v>
      </c>
      <c r="C368" s="199" t="s">
        <v>1230</v>
      </c>
      <c r="D368" s="54"/>
      <c r="E368" s="202"/>
      <c r="F368" s="526" t="s">
        <v>938</v>
      </c>
      <c r="G368" s="83" t="s">
        <v>1231</v>
      </c>
      <c r="H368" s="54"/>
      <c r="I368" s="54"/>
      <c r="J368" s="54"/>
    </row>
    <row r="369" spans="1:10">
      <c r="C369" s="54"/>
      <c r="D369" s="54"/>
      <c r="E369" s="202"/>
      <c r="F369" s="54"/>
      <c r="G369" s="54"/>
      <c r="H369" s="54"/>
      <c r="I369" s="54"/>
      <c r="J369" s="54"/>
    </row>
    <row r="370" spans="1:10" ht="13">
      <c r="C370" s="201" t="s">
        <v>1232</v>
      </c>
      <c r="D370" s="54"/>
      <c r="E370" s="54"/>
      <c r="F370" s="54"/>
      <c r="G370" s="109" t="s">
        <v>1224</v>
      </c>
      <c r="H370" s="54"/>
      <c r="I370" s="54"/>
      <c r="J370" s="54"/>
    </row>
    <row r="371" spans="1:10" ht="13">
      <c r="A371" s="2">
        <f>A368+1</f>
        <v>213</v>
      </c>
      <c r="C371" s="278" t="s">
        <v>1225</v>
      </c>
      <c r="D371" s="54"/>
      <c r="E371" s="202"/>
      <c r="F371" s="526" t="s">
        <v>1226</v>
      </c>
      <c r="G371" s="254" t="s">
        <v>1227</v>
      </c>
      <c r="H371" s="54"/>
      <c r="I371" s="54"/>
      <c r="J371" s="54"/>
    </row>
    <row r="372" spans="1:10" ht="13">
      <c r="A372" s="2">
        <f>A371+1</f>
        <v>214</v>
      </c>
      <c r="C372" s="199" t="s">
        <v>1228</v>
      </c>
      <c r="D372" s="54"/>
      <c r="E372" s="203"/>
      <c r="F372" s="527">
        <v>1.2500000000000001E-2</v>
      </c>
      <c r="G372" s="254" t="s">
        <v>1229</v>
      </c>
      <c r="H372" s="54"/>
      <c r="I372" s="54"/>
      <c r="J372" s="54"/>
    </row>
    <row r="373" spans="1:10" ht="13">
      <c r="A373" s="2">
        <f>A372+1</f>
        <v>215</v>
      </c>
      <c r="C373" s="199" t="s">
        <v>1230</v>
      </c>
      <c r="D373" s="54"/>
      <c r="E373" s="202"/>
      <c r="F373" s="526" t="s">
        <v>1226</v>
      </c>
      <c r="G373" s="254" t="s">
        <v>1233</v>
      </c>
      <c r="H373" s="54"/>
      <c r="I373" s="54"/>
      <c r="J373" s="54"/>
    </row>
    <row r="374" spans="1:10">
      <c r="C374" s="199"/>
      <c r="D374" s="54"/>
      <c r="E374" s="202"/>
      <c r="F374" s="526"/>
      <c r="G374" s="54"/>
      <c r="H374" s="54"/>
      <c r="I374" s="54"/>
      <c r="J374" s="54"/>
    </row>
    <row r="375" spans="1:10" ht="13">
      <c r="C375" s="201" t="s">
        <v>1234</v>
      </c>
      <c r="D375" s="54"/>
      <c r="E375" s="254"/>
      <c r="F375" s="279"/>
      <c r="G375" s="109" t="s">
        <v>1224</v>
      </c>
      <c r="H375" s="54"/>
      <c r="I375" s="54"/>
      <c r="J375" s="54"/>
    </row>
    <row r="376" spans="1:10" ht="13">
      <c r="A376" s="2">
        <f>A373+1</f>
        <v>216</v>
      </c>
      <c r="C376" s="278" t="s">
        <v>1225</v>
      </c>
      <c r="D376" s="54"/>
      <c r="E376" s="202"/>
      <c r="F376" s="526" t="s">
        <v>1226</v>
      </c>
      <c r="G376" s="254" t="s">
        <v>1227</v>
      </c>
      <c r="H376" s="54"/>
      <c r="I376" s="54"/>
      <c r="J376" s="54"/>
    </row>
    <row r="377" spans="1:10" ht="13">
      <c r="A377" s="2">
        <f>A376+1</f>
        <v>217</v>
      </c>
      <c r="C377" s="199" t="s">
        <v>1228</v>
      </c>
      <c r="D377" s="54"/>
      <c r="E377" s="203"/>
      <c r="F377" s="527">
        <v>0.01</v>
      </c>
      <c r="G377" s="254" t="s">
        <v>1235</v>
      </c>
      <c r="H377" s="54"/>
      <c r="I377" s="54"/>
      <c r="J377" s="54"/>
    </row>
    <row r="378" spans="1:10" ht="13">
      <c r="A378" s="2">
        <f>A377+1</f>
        <v>218</v>
      </c>
      <c r="C378" s="199"/>
      <c r="D378" s="54"/>
      <c r="E378" s="203"/>
      <c r="F378" s="527"/>
      <c r="G378" s="254" t="s">
        <v>1236</v>
      </c>
      <c r="H378" s="54"/>
      <c r="I378" s="54"/>
      <c r="J378" s="54"/>
    </row>
    <row r="379" spans="1:10" ht="13">
      <c r="A379" s="2">
        <f>A378+1</f>
        <v>219</v>
      </c>
      <c r="C379" s="199" t="s">
        <v>1230</v>
      </c>
      <c r="D379" s="54"/>
      <c r="E379" s="202"/>
      <c r="F379" s="526" t="s">
        <v>1226</v>
      </c>
      <c r="G379" s="254" t="s">
        <v>1233</v>
      </c>
      <c r="H379" s="54"/>
      <c r="I379" s="54"/>
      <c r="J379" s="54"/>
    </row>
    <row r="380" spans="1:10">
      <c r="C380" s="199"/>
      <c r="D380" s="54"/>
      <c r="E380" s="202"/>
      <c r="F380" s="526"/>
      <c r="G380" s="54"/>
      <c r="H380" s="54"/>
      <c r="I380" s="54"/>
      <c r="J380" s="54"/>
    </row>
    <row r="381" spans="1:10" ht="13">
      <c r="C381" s="201" t="s">
        <v>1237</v>
      </c>
      <c r="D381" s="54"/>
      <c r="E381" s="254"/>
      <c r="F381" s="279"/>
      <c r="G381" s="109" t="s">
        <v>1224</v>
      </c>
      <c r="H381" s="54"/>
      <c r="I381" s="54"/>
      <c r="J381" s="54"/>
    </row>
    <row r="382" spans="1:10" ht="13">
      <c r="A382" s="2">
        <f>A379+1</f>
        <v>220</v>
      </c>
      <c r="C382" s="278" t="s">
        <v>1225</v>
      </c>
      <c r="D382" s="54"/>
      <c r="E382" s="202"/>
      <c r="F382" s="526" t="s">
        <v>938</v>
      </c>
      <c r="G382" s="254" t="s">
        <v>1238</v>
      </c>
      <c r="H382" s="54"/>
      <c r="I382" s="54"/>
      <c r="J382" s="54"/>
    </row>
    <row r="383" spans="1:10" ht="13">
      <c r="A383" s="2">
        <f>A382+1</f>
        <v>221</v>
      </c>
      <c r="C383" s="278"/>
      <c r="D383" s="54"/>
      <c r="E383" s="202"/>
      <c r="F383" s="526"/>
      <c r="G383" s="54" t="s">
        <v>1239</v>
      </c>
      <c r="H383" s="54"/>
      <c r="I383" s="54"/>
      <c r="J383" s="54"/>
    </row>
    <row r="384" spans="1:10" ht="13">
      <c r="A384" s="2">
        <f>A383+1</f>
        <v>222</v>
      </c>
      <c r="C384" s="199" t="s">
        <v>1228</v>
      </c>
      <c r="D384" s="54"/>
      <c r="E384" s="203"/>
      <c r="F384" s="527">
        <v>0</v>
      </c>
      <c r="G384" s="254" t="s">
        <v>1240</v>
      </c>
      <c r="H384" s="54"/>
      <c r="I384" s="54"/>
      <c r="J384" s="54"/>
    </row>
    <row r="385" spans="1:10" ht="13">
      <c r="A385" s="2">
        <f>A384+1</f>
        <v>223</v>
      </c>
      <c r="C385" s="199"/>
      <c r="D385" s="54"/>
      <c r="E385" s="203"/>
      <c r="F385" s="527"/>
      <c r="G385" s="254" t="s">
        <v>1241</v>
      </c>
      <c r="H385" s="54"/>
      <c r="I385" s="54"/>
      <c r="J385" s="54"/>
    </row>
    <row r="386" spans="1:10" ht="13">
      <c r="A386" s="2">
        <f>A385+1</f>
        <v>224</v>
      </c>
      <c r="C386" s="199" t="s">
        <v>1230</v>
      </c>
      <c r="D386" s="54"/>
      <c r="E386" s="202"/>
      <c r="F386" s="526" t="s">
        <v>1226</v>
      </c>
      <c r="G386" s="254" t="s">
        <v>1233</v>
      </c>
      <c r="H386" s="54"/>
      <c r="I386" s="54"/>
      <c r="J386" s="54"/>
    </row>
    <row r="387" spans="1:10">
      <c r="C387" s="199"/>
      <c r="D387" s="54"/>
      <c r="E387" s="202"/>
      <c r="F387" s="526"/>
      <c r="G387" s="54"/>
      <c r="H387" s="54"/>
      <c r="I387" s="54"/>
      <c r="J387" s="54"/>
    </row>
    <row r="388" spans="1:10" ht="13">
      <c r="C388" s="201" t="s">
        <v>1242</v>
      </c>
      <c r="D388" s="54"/>
      <c r="E388" s="254"/>
      <c r="F388" s="279"/>
      <c r="G388" s="109" t="s">
        <v>1224</v>
      </c>
      <c r="H388" s="54"/>
      <c r="I388" s="54"/>
      <c r="J388" s="54"/>
    </row>
    <row r="389" spans="1:10" ht="13">
      <c r="A389" s="2">
        <f>A386+1</f>
        <v>225</v>
      </c>
      <c r="C389" s="278" t="s">
        <v>1225</v>
      </c>
      <c r="D389" s="54"/>
      <c r="E389" s="202"/>
      <c r="F389" s="526" t="s">
        <v>1226</v>
      </c>
      <c r="G389" s="280" t="s">
        <v>1243</v>
      </c>
      <c r="H389" s="54"/>
      <c r="I389" s="54"/>
      <c r="J389" s="54"/>
    </row>
    <row r="390" spans="1:10" ht="13">
      <c r="A390" s="2">
        <f>A389+1</f>
        <v>226</v>
      </c>
      <c r="C390" s="199" t="s">
        <v>1228</v>
      </c>
      <c r="D390" s="54"/>
      <c r="E390" s="203"/>
      <c r="F390" s="527">
        <v>0</v>
      </c>
      <c r="G390" s="281" t="s">
        <v>380</v>
      </c>
      <c r="H390" s="54"/>
      <c r="I390" s="54"/>
      <c r="J390" s="54"/>
    </row>
    <row r="391" spans="1:10" ht="13">
      <c r="A391" s="2">
        <f>A390+1</f>
        <v>227</v>
      </c>
      <c r="C391" s="199" t="s">
        <v>1230</v>
      </c>
      <c r="D391" s="54"/>
      <c r="E391" s="202"/>
      <c r="F391" s="526" t="s">
        <v>1226</v>
      </c>
      <c r="G391" s="280" t="s">
        <v>1243</v>
      </c>
      <c r="H391" s="54"/>
      <c r="I391" s="54"/>
      <c r="J391" s="54"/>
    </row>
    <row r="392" spans="1:10">
      <c r="C392" s="54"/>
      <c r="D392" s="54"/>
      <c r="E392" s="54"/>
      <c r="F392" s="526"/>
      <c r="G392" s="54"/>
      <c r="H392" s="54"/>
      <c r="I392" s="54"/>
      <c r="J392" s="54"/>
    </row>
    <row r="393" spans="1:10" ht="13">
      <c r="C393" s="201" t="s">
        <v>1244</v>
      </c>
      <c r="D393" s="54"/>
      <c r="E393" s="254"/>
      <c r="F393" s="279"/>
      <c r="G393" s="109" t="s">
        <v>1224</v>
      </c>
      <c r="H393" s="54"/>
      <c r="I393" s="54"/>
      <c r="J393" s="54"/>
    </row>
    <row r="394" spans="1:10" ht="13">
      <c r="A394" s="2">
        <f>A391+1</f>
        <v>228</v>
      </c>
      <c r="C394" s="278" t="s">
        <v>1225</v>
      </c>
      <c r="D394" s="54"/>
      <c r="E394" s="202"/>
      <c r="F394" s="526" t="s">
        <v>1226</v>
      </c>
      <c r="G394" s="280" t="s">
        <v>1243</v>
      </c>
      <c r="H394" s="54"/>
      <c r="I394" s="254"/>
      <c r="J394" s="254"/>
    </row>
    <row r="395" spans="1:10" ht="13">
      <c r="A395" s="2">
        <f>A394+1</f>
        <v>229</v>
      </c>
      <c r="C395" s="199" t="s">
        <v>1228</v>
      </c>
      <c r="D395" s="54"/>
      <c r="E395" s="203"/>
      <c r="F395" s="527">
        <v>0</v>
      </c>
      <c r="G395" s="281" t="s">
        <v>380</v>
      </c>
      <c r="H395" s="54"/>
      <c r="I395" s="254"/>
      <c r="J395" s="254"/>
    </row>
    <row r="396" spans="1:10" ht="13">
      <c r="A396" s="2">
        <f>A395+1</f>
        <v>230</v>
      </c>
      <c r="C396" s="199" t="s">
        <v>1230</v>
      </c>
      <c r="D396" s="54"/>
      <c r="E396" s="202"/>
      <c r="F396" s="526" t="s">
        <v>1226</v>
      </c>
      <c r="G396" s="280" t="s">
        <v>1243</v>
      </c>
      <c r="H396" s="54"/>
      <c r="I396" s="254"/>
      <c r="J396" s="254"/>
    </row>
    <row r="397" spans="1:10">
      <c r="C397" s="199"/>
      <c r="D397" s="54"/>
      <c r="E397" s="203"/>
      <c r="F397" s="527"/>
      <c r="G397" s="254"/>
      <c r="H397" s="54"/>
      <c r="I397" s="254"/>
      <c r="J397" s="254"/>
    </row>
    <row r="398" spans="1:10" ht="13">
      <c r="C398" s="201" t="s">
        <v>1245</v>
      </c>
      <c r="D398" s="54"/>
      <c r="E398" s="254"/>
      <c r="F398" s="279"/>
      <c r="G398" s="109" t="s">
        <v>1224</v>
      </c>
      <c r="H398" s="54"/>
      <c r="I398" s="254"/>
      <c r="J398" s="254"/>
    </row>
    <row r="399" spans="1:10" ht="13">
      <c r="A399" s="2">
        <f>A396+1</f>
        <v>231</v>
      </c>
      <c r="C399" s="278" t="s">
        <v>1225</v>
      </c>
      <c r="D399" s="54"/>
      <c r="E399" s="202"/>
      <c r="F399" s="526" t="s">
        <v>1226</v>
      </c>
      <c r="G399" s="254" t="s">
        <v>1246</v>
      </c>
      <c r="H399" s="54"/>
      <c r="I399" s="254"/>
      <c r="J399" s="254"/>
    </row>
    <row r="400" spans="1:10" ht="13">
      <c r="A400" s="2">
        <f>A399+1</f>
        <v>232</v>
      </c>
      <c r="C400" s="199" t="s">
        <v>1228</v>
      </c>
      <c r="D400" s="54"/>
      <c r="E400" s="203"/>
      <c r="F400" s="527">
        <v>0</v>
      </c>
      <c r="G400" s="254" t="s">
        <v>1247</v>
      </c>
      <c r="H400" s="54"/>
      <c r="I400" s="254"/>
      <c r="J400" s="254"/>
    </row>
    <row r="401" spans="1:10" ht="13">
      <c r="A401" s="2">
        <f>A400+1</f>
        <v>233</v>
      </c>
      <c r="C401" s="199" t="s">
        <v>1230</v>
      </c>
      <c r="D401" s="54"/>
      <c r="E401" s="202"/>
      <c r="F401" s="526" t="s">
        <v>1226</v>
      </c>
      <c r="G401" s="254" t="s">
        <v>1248</v>
      </c>
      <c r="H401" s="54"/>
      <c r="I401" s="254"/>
      <c r="J401" s="254"/>
    </row>
    <row r="402" spans="1:10">
      <c r="C402" s="54"/>
      <c r="D402" s="54"/>
      <c r="E402" s="54"/>
      <c r="F402" s="526"/>
      <c r="G402" s="54"/>
      <c r="H402" s="54"/>
      <c r="I402" s="54"/>
      <c r="J402" s="54"/>
    </row>
    <row r="403" spans="1:10" ht="13">
      <c r="C403" s="201" t="s">
        <v>1249</v>
      </c>
      <c r="D403" s="54"/>
      <c r="E403" s="254"/>
      <c r="F403" s="279"/>
      <c r="G403" s="109" t="s">
        <v>1224</v>
      </c>
      <c r="H403" s="54"/>
      <c r="I403" s="54"/>
      <c r="J403" s="54"/>
    </row>
    <row r="404" spans="1:10" ht="13">
      <c r="A404" s="2">
        <f>A401+1</f>
        <v>234</v>
      </c>
      <c r="C404" s="278" t="s">
        <v>1225</v>
      </c>
      <c r="D404" s="54"/>
      <c r="E404" s="202"/>
      <c r="F404" s="526" t="s">
        <v>1226</v>
      </c>
      <c r="G404" s="280" t="s">
        <v>1243</v>
      </c>
      <c r="H404" s="54"/>
      <c r="I404" s="54"/>
      <c r="J404" s="54"/>
    </row>
    <row r="405" spans="1:10" ht="13">
      <c r="A405" s="2">
        <f>A404+1</f>
        <v>235</v>
      </c>
      <c r="C405" s="199" t="s">
        <v>1228</v>
      </c>
      <c r="D405" s="54"/>
      <c r="E405" s="203"/>
      <c r="F405" s="527">
        <v>0</v>
      </c>
      <c r="G405" s="281" t="s">
        <v>380</v>
      </c>
      <c r="H405" s="54"/>
      <c r="I405" s="54"/>
      <c r="J405" s="54"/>
    </row>
    <row r="406" spans="1:10" ht="13">
      <c r="A406" s="2">
        <f>A405+1</f>
        <v>236</v>
      </c>
      <c r="C406" s="199" t="s">
        <v>1230</v>
      </c>
      <c r="D406" s="54"/>
      <c r="E406" s="202"/>
      <c r="F406" s="526" t="s">
        <v>1226</v>
      </c>
      <c r="G406" s="280" t="s">
        <v>1243</v>
      </c>
      <c r="H406" s="54"/>
      <c r="I406" s="54"/>
      <c r="J406" s="54"/>
    </row>
    <row r="407" spans="1:10">
      <c r="C407" s="54"/>
      <c r="D407" s="54"/>
      <c r="E407" s="54"/>
      <c r="F407" s="526"/>
      <c r="G407" s="54"/>
      <c r="H407" s="54"/>
      <c r="I407" s="54"/>
      <c r="J407" s="54"/>
    </row>
    <row r="408" spans="1:10" ht="13">
      <c r="C408" s="201" t="s">
        <v>1250</v>
      </c>
      <c r="D408" s="54"/>
      <c r="E408" s="254"/>
      <c r="F408" s="279"/>
      <c r="G408" s="109" t="s">
        <v>1224</v>
      </c>
      <c r="H408" s="54"/>
      <c r="I408" s="54"/>
      <c r="J408" s="54"/>
    </row>
    <row r="409" spans="1:10" ht="13">
      <c r="A409" s="2">
        <f>A406+1</f>
        <v>237</v>
      </c>
      <c r="C409" s="278" t="s">
        <v>1225</v>
      </c>
      <c r="D409" s="54"/>
      <c r="E409" s="202"/>
      <c r="F409" s="526" t="s">
        <v>1226</v>
      </c>
      <c r="G409" s="280" t="s">
        <v>1243</v>
      </c>
      <c r="H409" s="54"/>
      <c r="I409" s="54"/>
      <c r="J409" s="54"/>
    </row>
    <row r="410" spans="1:10" ht="13">
      <c r="A410" s="2">
        <f>A409+1</f>
        <v>238</v>
      </c>
      <c r="C410" s="199" t="s">
        <v>1228</v>
      </c>
      <c r="D410" s="54"/>
      <c r="E410" s="203"/>
      <c r="F410" s="527">
        <v>0</v>
      </c>
      <c r="G410" s="281" t="s">
        <v>380</v>
      </c>
      <c r="H410" s="54"/>
      <c r="I410" s="54"/>
      <c r="J410" s="54"/>
    </row>
    <row r="411" spans="1:10" ht="13">
      <c r="A411" s="2">
        <f>A410+1</f>
        <v>239</v>
      </c>
      <c r="C411" s="199" t="s">
        <v>1230</v>
      </c>
      <c r="D411" s="54"/>
      <c r="E411" s="202"/>
      <c r="F411" s="526" t="s">
        <v>1226</v>
      </c>
      <c r="G411" s="280" t="s">
        <v>1243</v>
      </c>
      <c r="H411" s="54"/>
      <c r="I411" s="54"/>
      <c r="J411" s="54"/>
    </row>
    <row r="412" spans="1:10">
      <c r="C412" s="54"/>
      <c r="D412" s="54"/>
      <c r="E412" s="54"/>
      <c r="F412" s="526"/>
      <c r="G412" s="54"/>
      <c r="H412" s="54"/>
      <c r="I412" s="54"/>
      <c r="J412" s="54"/>
    </row>
    <row r="413" spans="1:10" ht="13">
      <c r="C413" s="617" t="s">
        <v>1251</v>
      </c>
      <c r="D413" s="54"/>
      <c r="E413" s="54"/>
      <c r="F413" s="54"/>
      <c r="G413" s="109" t="s">
        <v>1224</v>
      </c>
      <c r="H413" s="54"/>
      <c r="I413" s="54"/>
      <c r="J413" s="54"/>
    </row>
    <row r="414" spans="1:10" ht="13">
      <c r="A414" s="2">
        <f>A411+1</f>
        <v>240</v>
      </c>
      <c r="C414" s="278" t="s">
        <v>1225</v>
      </c>
      <c r="D414" s="54"/>
      <c r="E414" s="54"/>
      <c r="F414" s="254" t="s">
        <v>1226</v>
      </c>
      <c r="G414" s="254" t="s">
        <v>1252</v>
      </c>
      <c r="H414" s="54"/>
      <c r="I414" s="54"/>
      <c r="J414" s="54"/>
    </row>
    <row r="415" spans="1:10" ht="13">
      <c r="A415" s="2">
        <f>A414+1</f>
        <v>241</v>
      </c>
      <c r="C415" s="199" t="s">
        <v>1228</v>
      </c>
      <c r="D415" s="54"/>
      <c r="E415" s="54"/>
      <c r="F415" s="527">
        <v>0</v>
      </c>
      <c r="G415" s="281" t="s">
        <v>380</v>
      </c>
      <c r="H415" s="54"/>
      <c r="I415" s="54"/>
      <c r="J415" s="54"/>
    </row>
    <row r="416" spans="1:10" ht="13">
      <c r="A416" s="2">
        <f>A415+1</f>
        <v>242</v>
      </c>
      <c r="C416" s="199" t="s">
        <v>1230</v>
      </c>
      <c r="D416" s="54"/>
      <c r="E416" s="54"/>
      <c r="F416" s="254" t="s">
        <v>938</v>
      </c>
      <c r="G416" s="281" t="s">
        <v>380</v>
      </c>
      <c r="H416" s="54"/>
      <c r="I416" s="54"/>
      <c r="J416" s="54"/>
    </row>
    <row r="417" spans="1:10">
      <c r="C417" s="54"/>
      <c r="D417" s="54"/>
      <c r="E417" s="54"/>
      <c r="F417" s="54"/>
      <c r="G417" s="54"/>
      <c r="H417" s="54"/>
      <c r="I417" s="54"/>
      <c r="J417" s="54"/>
    </row>
    <row r="418" spans="1:10" ht="13">
      <c r="C418" s="617" t="s">
        <v>1253</v>
      </c>
      <c r="D418" s="54"/>
      <c r="E418" s="54"/>
      <c r="F418" s="54"/>
      <c r="G418" s="109" t="s">
        <v>1224</v>
      </c>
      <c r="H418" s="54"/>
      <c r="I418" s="54"/>
      <c r="J418" s="54"/>
    </row>
    <row r="419" spans="1:10" ht="13">
      <c r="A419" s="2">
        <f>A416+1</f>
        <v>243</v>
      </c>
      <c r="C419" s="278" t="s">
        <v>1225</v>
      </c>
      <c r="D419" s="54"/>
      <c r="E419" s="54"/>
      <c r="F419" s="254" t="s">
        <v>1226</v>
      </c>
      <c r="G419" s="254" t="s">
        <v>1252</v>
      </c>
      <c r="H419" s="54"/>
      <c r="I419" s="54"/>
      <c r="J419" s="54"/>
    </row>
    <row r="420" spans="1:10" ht="13">
      <c r="A420" s="2">
        <f>A419+1</f>
        <v>244</v>
      </c>
      <c r="C420" s="199" t="s">
        <v>1228</v>
      </c>
      <c r="D420" s="54"/>
      <c r="E420" s="54"/>
      <c r="F420" s="527">
        <v>0</v>
      </c>
      <c r="G420" s="281" t="s">
        <v>380</v>
      </c>
      <c r="H420" s="54"/>
      <c r="I420" s="54"/>
      <c r="J420" s="54"/>
    </row>
    <row r="421" spans="1:10" ht="13">
      <c r="A421" s="2">
        <f>A420+1</f>
        <v>245</v>
      </c>
      <c r="C421" s="199" t="s">
        <v>1230</v>
      </c>
      <c r="D421" s="54"/>
      <c r="E421" s="54"/>
      <c r="F421" s="254" t="s">
        <v>1226</v>
      </c>
      <c r="G421" s="254" t="s">
        <v>1254</v>
      </c>
      <c r="H421" s="54"/>
      <c r="I421" s="54"/>
      <c r="J421" s="54"/>
    </row>
    <row r="422" spans="1:10">
      <c r="C422" s="54"/>
      <c r="D422" s="54"/>
      <c r="E422" s="54"/>
      <c r="F422" s="54"/>
      <c r="G422" s="54"/>
      <c r="H422" s="54"/>
      <c r="I422" s="54"/>
      <c r="J422" s="54"/>
    </row>
    <row r="423" spans="1:10" ht="13">
      <c r="C423" s="617" t="s">
        <v>1255</v>
      </c>
      <c r="D423" s="54"/>
      <c r="E423" s="54"/>
      <c r="F423" s="54"/>
      <c r="G423" s="109" t="s">
        <v>1224</v>
      </c>
      <c r="H423" s="54"/>
      <c r="I423" s="54"/>
      <c r="J423" s="54"/>
    </row>
    <row r="424" spans="1:10" ht="13">
      <c r="A424" s="2">
        <f>A421+1</f>
        <v>246</v>
      </c>
      <c r="C424" s="278" t="s">
        <v>1225</v>
      </c>
      <c r="D424" s="54"/>
      <c r="E424" s="54"/>
      <c r="F424" s="254" t="s">
        <v>1226</v>
      </c>
      <c r="G424" s="254" t="s">
        <v>1252</v>
      </c>
      <c r="H424" s="54"/>
      <c r="I424" s="54"/>
      <c r="J424" s="54"/>
    </row>
    <row r="425" spans="1:10" ht="13">
      <c r="A425" s="2">
        <f>A424+1</f>
        <v>247</v>
      </c>
      <c r="C425" s="199" t="s">
        <v>1228</v>
      </c>
      <c r="D425" s="54"/>
      <c r="E425" s="54"/>
      <c r="F425" s="527">
        <v>0</v>
      </c>
      <c r="G425" s="281" t="s">
        <v>380</v>
      </c>
      <c r="H425" s="54"/>
      <c r="I425" s="54"/>
      <c r="J425" s="54"/>
    </row>
    <row r="426" spans="1:10" ht="13">
      <c r="A426" s="2">
        <f>A425+1</f>
        <v>248</v>
      </c>
      <c r="C426" s="199" t="s">
        <v>1230</v>
      </c>
      <c r="D426" s="54"/>
      <c r="E426" s="54"/>
      <c r="F426" s="254" t="s">
        <v>1226</v>
      </c>
      <c r="G426" s="254" t="s">
        <v>1254</v>
      </c>
      <c r="H426" s="54"/>
      <c r="I426" s="54"/>
      <c r="J426" s="54"/>
    </row>
    <row r="427" spans="1:10" ht="13">
      <c r="A427" s="2"/>
      <c r="C427" s="199"/>
      <c r="D427" s="54"/>
      <c r="E427" s="54"/>
      <c r="F427" s="254"/>
      <c r="G427" s="254"/>
      <c r="H427" s="54"/>
      <c r="I427" s="54"/>
      <c r="J427" s="54"/>
    </row>
    <row r="428" spans="1:10" ht="13">
      <c r="A428" s="2"/>
      <c r="C428" s="201" t="s">
        <v>1256</v>
      </c>
      <c r="D428" s="54"/>
      <c r="E428" s="54"/>
      <c r="F428" s="254"/>
      <c r="G428" s="109" t="s">
        <v>1224</v>
      </c>
      <c r="H428" s="54"/>
      <c r="I428" s="54"/>
      <c r="J428" s="54"/>
    </row>
    <row r="429" spans="1:10" ht="13">
      <c r="A429" s="2">
        <f>A426+1</f>
        <v>249</v>
      </c>
      <c r="C429" s="278" t="s">
        <v>1225</v>
      </c>
      <c r="D429" s="54"/>
      <c r="E429" s="54"/>
      <c r="F429" s="254" t="s">
        <v>1226</v>
      </c>
      <c r="G429" s="254" t="s">
        <v>1257</v>
      </c>
      <c r="H429" s="54"/>
      <c r="I429" s="54"/>
      <c r="J429" s="54"/>
    </row>
    <row r="430" spans="1:10" ht="13">
      <c r="A430" s="2">
        <f t="shared" ref="A430:A431" si="49">A429+1</f>
        <v>250</v>
      </c>
      <c r="C430" s="278" t="s">
        <v>1228</v>
      </c>
      <c r="D430" s="54"/>
      <c r="E430" s="54"/>
      <c r="F430" s="527">
        <v>0</v>
      </c>
      <c r="G430" s="254"/>
      <c r="H430" s="54"/>
      <c r="I430" s="54"/>
      <c r="J430" s="54"/>
    </row>
    <row r="431" spans="1:10" ht="13">
      <c r="A431" s="2">
        <f t="shared" si="49"/>
        <v>251</v>
      </c>
      <c r="C431" s="278" t="s">
        <v>1230</v>
      </c>
      <c r="D431" s="54"/>
      <c r="E431" s="54"/>
      <c r="F431" s="254" t="s">
        <v>1226</v>
      </c>
      <c r="G431" s="254" t="s">
        <v>1258</v>
      </c>
      <c r="H431" s="54"/>
      <c r="I431" s="54"/>
      <c r="J431" s="54"/>
    </row>
    <row r="432" spans="1:10" ht="13">
      <c r="A432" s="2"/>
      <c r="C432" s="278"/>
      <c r="D432" s="54"/>
      <c r="E432" s="54"/>
      <c r="F432" s="254"/>
      <c r="G432" s="254"/>
      <c r="H432" s="54"/>
      <c r="I432" s="54"/>
      <c r="J432" s="54"/>
    </row>
    <row r="433" spans="1:10" ht="13">
      <c r="A433" s="2"/>
      <c r="C433" s="201" t="s">
        <v>1259</v>
      </c>
      <c r="D433" s="54"/>
      <c r="E433" s="54"/>
      <c r="F433" s="254"/>
      <c r="G433" s="109" t="s">
        <v>1224</v>
      </c>
      <c r="H433" s="54"/>
      <c r="I433" s="54"/>
      <c r="J433" s="54"/>
    </row>
    <row r="434" spans="1:10" ht="13">
      <c r="A434" s="2">
        <f>A431+1</f>
        <v>252</v>
      </c>
      <c r="C434" s="278" t="s">
        <v>1225</v>
      </c>
      <c r="D434" s="54"/>
      <c r="E434" s="54"/>
      <c r="F434" s="254"/>
      <c r="G434" s="254"/>
      <c r="H434" s="54"/>
      <c r="I434" s="54"/>
      <c r="J434" s="54"/>
    </row>
    <row r="435" spans="1:10" ht="13">
      <c r="A435" s="2">
        <f t="shared" ref="A435:A436" si="50">A434+1</f>
        <v>253</v>
      </c>
      <c r="C435" s="278" t="s">
        <v>1228</v>
      </c>
      <c r="D435" s="54"/>
      <c r="E435" s="54"/>
      <c r="F435" s="254"/>
      <c r="G435" s="254"/>
      <c r="H435" s="54"/>
      <c r="I435" s="54"/>
      <c r="J435" s="54"/>
    </row>
    <row r="436" spans="1:10" ht="13">
      <c r="A436" s="2">
        <f t="shared" si="50"/>
        <v>254</v>
      </c>
      <c r="C436" s="278" t="s">
        <v>1230</v>
      </c>
      <c r="D436" s="54"/>
      <c r="E436" s="54"/>
      <c r="F436" s="254"/>
      <c r="G436" s="254"/>
      <c r="H436" s="54"/>
      <c r="I436" s="54"/>
      <c r="J436" s="54"/>
    </row>
    <row r="437" spans="1:10">
      <c r="C437" s="789" t="s">
        <v>822</v>
      </c>
    </row>
    <row r="438" spans="1:10" ht="13">
      <c r="B438" s="47" t="s">
        <v>433</v>
      </c>
    </row>
    <row r="439" spans="1:10">
      <c r="C439" s="247" t="s">
        <v>1260</v>
      </c>
    </row>
    <row r="440" spans="1:10">
      <c r="C440" t="s">
        <v>1261</v>
      </c>
    </row>
  </sheetData>
  <phoneticPr fontId="23" type="noConversion"/>
  <pageMargins left="0.75" right="0.75" top="1" bottom="1" header="0.5" footer="0.5"/>
  <pageSetup scale="64" orientation="portrait" cellComments="asDisplayed" r:id="rId1"/>
  <headerFooter alignWithMargins="0">
    <oddHeader>&amp;CSchedule 14
Incentive Plant
&amp;RTO2024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1262</v>
      </c>
      <c r="B1" s="1"/>
    </row>
    <row r="2" spans="1:9" ht="13">
      <c r="A2" s="1"/>
      <c r="B2" s="1"/>
      <c r="G2" s="278" t="s">
        <v>1070</v>
      </c>
      <c r="H2" s="278"/>
    </row>
    <row r="3" spans="1:9" ht="13">
      <c r="A3" s="1"/>
      <c r="B3" s="247" t="s">
        <v>1263</v>
      </c>
    </row>
    <row r="4" spans="1:9" ht="13">
      <c r="A4" s="1"/>
      <c r="B4" s="246" t="s">
        <v>1264</v>
      </c>
    </row>
    <row r="5" spans="1:9" ht="13">
      <c r="A5" s="1"/>
      <c r="B5" s="246" t="s">
        <v>1265</v>
      </c>
    </row>
    <row r="7" spans="1:9" ht="13.5" customHeight="1">
      <c r="B7" s="1" t="s">
        <v>1266</v>
      </c>
    </row>
    <row r="8" spans="1:9" ht="13">
      <c r="A8" s="1"/>
      <c r="B8" s="1"/>
    </row>
    <row r="9" spans="1:9" ht="13">
      <c r="A9" s="1"/>
      <c r="B9" s="1"/>
      <c r="C9" s="247" t="s">
        <v>1267</v>
      </c>
    </row>
    <row r="10" spans="1:9" ht="13">
      <c r="A10" s="1"/>
      <c r="B10" s="1"/>
      <c r="C10" s="247" t="s">
        <v>1268</v>
      </c>
    </row>
    <row r="11" spans="1:9" ht="13">
      <c r="A11" s="1"/>
      <c r="B11" s="1"/>
      <c r="C11" s="247"/>
    </row>
    <row r="12" spans="1:9" ht="13">
      <c r="A12" s="1"/>
      <c r="B12" s="1"/>
      <c r="C12" s="247" t="s">
        <v>1269</v>
      </c>
    </row>
    <row r="13" spans="1:9" ht="13">
      <c r="A13" s="1"/>
      <c r="B13" s="1"/>
    </row>
    <row r="14" spans="1:9" ht="13">
      <c r="A14" s="30" t="s">
        <v>273</v>
      </c>
      <c r="B14" s="1"/>
      <c r="C14" s="247" t="s">
        <v>278</v>
      </c>
      <c r="G14" s="62" t="s">
        <v>102</v>
      </c>
      <c r="I14" s="3" t="s">
        <v>651</v>
      </c>
    </row>
    <row r="15" spans="1:9" ht="13">
      <c r="A15" s="2">
        <v>1</v>
      </c>
      <c r="B15" s="1"/>
      <c r="C15" s="246" t="s">
        <v>1270</v>
      </c>
      <c r="G15" s="7">
        <f>'1-BaseTRR'!K82</f>
        <v>0.47499999999999998</v>
      </c>
      <c r="I15" s="247" t="str">
        <f>"1-BaseTRR, L "&amp;'1-BaseTRR'!A82&amp;""</f>
        <v>1-BaseTRR, L 47</v>
      </c>
    </row>
    <row r="16" spans="1:9" ht="13">
      <c r="A16" s="2">
        <v>2</v>
      </c>
      <c r="B16" s="1"/>
      <c r="C16" s="246" t="s">
        <v>192</v>
      </c>
      <c r="G16" s="7">
        <f>'1-BaseTRR'!K104</f>
        <v>0.27983599999999997</v>
      </c>
      <c r="I16" s="247" t="str">
        <f>"1-BaseTRR, L "&amp;'1-BaseTRR'!A104&amp;""</f>
        <v>1-BaseTRR, L 59</v>
      </c>
    </row>
    <row r="17" spans="1:9" ht="13">
      <c r="A17" s="2">
        <v>3</v>
      </c>
      <c r="B17" s="1"/>
      <c r="F17" s="245" t="s">
        <v>1271</v>
      </c>
      <c r="G17" s="6">
        <f>G15*(1/(1-G16))* 10000</f>
        <v>6595.7198638087975</v>
      </c>
      <c r="I17" s="247" t="s">
        <v>1272</v>
      </c>
    </row>
    <row r="19" spans="1:9" ht="13">
      <c r="B19" s="1" t="s">
        <v>1273</v>
      </c>
    </row>
    <row r="20" spans="1:9" ht="13">
      <c r="A20" s="1"/>
      <c r="B20" s="1"/>
      <c r="C20" s="247" t="s">
        <v>1274</v>
      </c>
    </row>
    <row r="21" spans="1:9" ht="13">
      <c r="A21" s="1"/>
      <c r="B21" s="1"/>
      <c r="C21" s="247" t="s">
        <v>1275</v>
      </c>
    </row>
    <row r="22" spans="1:9" ht="13">
      <c r="A22" s="1"/>
      <c r="B22" s="1"/>
    </row>
    <row r="23" spans="1:9" ht="13">
      <c r="A23" s="1"/>
      <c r="B23" s="1"/>
      <c r="F23" s="2" t="s">
        <v>1276</v>
      </c>
    </row>
    <row r="24" spans="1:9" ht="13">
      <c r="A24" s="30" t="s">
        <v>273</v>
      </c>
      <c r="B24" s="30"/>
      <c r="E24" s="3" t="s">
        <v>1277</v>
      </c>
      <c r="F24" s="3" t="s">
        <v>1278</v>
      </c>
      <c r="G24" s="3" t="s">
        <v>651</v>
      </c>
    </row>
    <row r="25" spans="1:9" ht="13">
      <c r="A25" s="2">
        <f>A17+1</f>
        <v>4</v>
      </c>
      <c r="B25" s="2"/>
      <c r="C25" t="s">
        <v>1176</v>
      </c>
      <c r="E25" s="26">
        <f>'14-IncentivePlant'!F367</f>
        <v>7.4999999999999997E-3</v>
      </c>
      <c r="F25" s="55">
        <f>E25/0.01</f>
        <v>0.75</v>
      </c>
      <c r="G25" s="246" t="str">
        <f>"14-IncentivePlant, L "&amp;'14-IncentivePlant'!A367&amp;""</f>
        <v>14-IncentivePlant, L 211</v>
      </c>
    </row>
    <row r="26" spans="1:9" ht="13">
      <c r="A26" s="2">
        <f>A25+1</f>
        <v>5</v>
      </c>
      <c r="B26" s="2"/>
      <c r="C26" t="s">
        <v>1177</v>
      </c>
      <c r="E26" s="26">
        <f>'14-IncentivePlant'!F372</f>
        <v>1.2500000000000001E-2</v>
      </c>
      <c r="F26" s="55">
        <f>E26/0.01</f>
        <v>1.25</v>
      </c>
      <c r="G26" s="246" t="str">
        <f>"14-IncentivePlant, L "&amp;'14-IncentivePlant'!A372&amp;""</f>
        <v>14-IncentivePlant, L 214</v>
      </c>
    </row>
    <row r="27" spans="1:9" ht="13">
      <c r="A27" s="2">
        <f>A26+1</f>
        <v>6</v>
      </c>
      <c r="B27" s="2"/>
      <c r="C27" s="247" t="s">
        <v>1279</v>
      </c>
      <c r="E27" s="26">
        <f>'14-IncentivePlant'!F377</f>
        <v>0.01</v>
      </c>
      <c r="F27" s="55">
        <f>E27/0.01</f>
        <v>1</v>
      </c>
      <c r="G27" s="246" t="str">
        <f>"14-IncentivePlant, L "&amp;'14-IncentivePlant'!A377&amp;""</f>
        <v>14-IncentivePlant, L 217</v>
      </c>
    </row>
    <row r="28" spans="1:9" ht="13">
      <c r="A28" s="2">
        <f>A27+1</f>
        <v>7</v>
      </c>
      <c r="B28" s="2"/>
      <c r="C28" s="254"/>
      <c r="D28" s="54"/>
      <c r="E28" s="26"/>
      <c r="F28" s="55"/>
    </row>
    <row r="29" spans="1:9" ht="13">
      <c r="A29" s="2">
        <f>A28+1</f>
        <v>8</v>
      </c>
      <c r="B29" s="2"/>
      <c r="C29" s="262" t="s">
        <v>822</v>
      </c>
      <c r="E29" s="26"/>
      <c r="F29" s="55"/>
    </row>
    <row r="31" spans="1:9" ht="13">
      <c r="B31" s="1" t="s">
        <v>1280</v>
      </c>
    </row>
    <row r="32" spans="1:9" ht="13">
      <c r="A32" s="1"/>
      <c r="B32" s="1"/>
      <c r="C32" s="247" t="s">
        <v>1281</v>
      </c>
    </row>
    <row r="33" spans="1:9" ht="13">
      <c r="A33" s="1"/>
      <c r="B33" s="1"/>
      <c r="C33" s="247" t="s">
        <v>1282</v>
      </c>
    </row>
    <row r="34" spans="1:9" ht="13">
      <c r="A34" s="1"/>
      <c r="B34" s="1"/>
      <c r="C34" s="247" t="s">
        <v>1283</v>
      </c>
    </row>
    <row r="35" spans="1:9" ht="13">
      <c r="E35" s="2"/>
      <c r="G35" s="2"/>
    </row>
    <row r="36" spans="1:9" ht="13">
      <c r="E36" s="2" t="s">
        <v>859</v>
      </c>
      <c r="G36" s="2" t="s">
        <v>859</v>
      </c>
    </row>
    <row r="37" spans="1:9" ht="13">
      <c r="E37" s="2" t="s">
        <v>1159</v>
      </c>
      <c r="F37" s="2" t="s">
        <v>1276</v>
      </c>
      <c r="G37" s="2" t="s">
        <v>1159</v>
      </c>
    </row>
    <row r="38" spans="1:9" ht="13">
      <c r="A38" s="30" t="s">
        <v>273</v>
      </c>
      <c r="B38" s="30"/>
      <c r="E38" s="3" t="s">
        <v>123</v>
      </c>
      <c r="F38" s="3" t="s">
        <v>1278</v>
      </c>
      <c r="G38" s="3" t="s">
        <v>1284</v>
      </c>
      <c r="H38" s="3" t="s">
        <v>651</v>
      </c>
    </row>
    <row r="39" spans="1:9" ht="13">
      <c r="A39" s="2">
        <f>A29+1</f>
        <v>9</v>
      </c>
      <c r="B39" s="2"/>
      <c r="C39" t="s">
        <v>1176</v>
      </c>
      <c r="E39" s="6">
        <f>'14-IncentivePlant'!E47</f>
        <v>126536797.56451166</v>
      </c>
      <c r="F39" s="55">
        <f>F25</f>
        <v>0.75</v>
      </c>
      <c r="G39" s="6">
        <f>(E39/1000000)*(F39*$G$17)</f>
        <v>625950.95189925167</v>
      </c>
      <c r="H39" s="246" t="str">
        <f>"14-IncentivePlant, L "&amp;'14-IncentivePlant'!A47&amp;", Col. 1"</f>
        <v>14-IncentivePlant, L 14, Col. 1</v>
      </c>
    </row>
    <row r="40" spans="1:9" ht="13">
      <c r="A40" s="2">
        <f>A39+1</f>
        <v>10</v>
      </c>
      <c r="B40" s="2"/>
      <c r="C40" t="s">
        <v>1177</v>
      </c>
      <c r="E40" s="6">
        <f>'14-IncentivePlant'!E48</f>
        <v>2364487527.5030637</v>
      </c>
      <c r="F40" s="55">
        <f>F26</f>
        <v>1.25</v>
      </c>
      <c r="G40" s="6">
        <f>(E40/1000000)*(F40*$G$17)</f>
        <v>19494371.691100135</v>
      </c>
      <c r="H40" s="246" t="str">
        <f>"14-IncentivePlant, L "&amp;'14-IncentivePlant'!A48&amp;", Col. 1"</f>
        <v>14-IncentivePlant, L 15, Col. 1</v>
      </c>
    </row>
    <row r="41" spans="1:9" ht="13">
      <c r="A41" s="2">
        <f>A40+1</f>
        <v>11</v>
      </c>
      <c r="B41" s="2"/>
      <c r="C41" s="247" t="s">
        <v>1279</v>
      </c>
      <c r="E41" s="6">
        <f>'14-IncentivePlant'!E49</f>
        <v>590256236.84700966</v>
      </c>
      <c r="F41" s="55">
        <f>F27</f>
        <v>1</v>
      </c>
      <c r="G41" s="6">
        <f>(E41/1000000)*(F41*$G$17)</f>
        <v>3893164.7861088519</v>
      </c>
      <c r="H41" s="246" t="str">
        <f>"14-IncentivePlant, L "&amp;'14-IncentivePlant'!A49&amp;", Col. 1"</f>
        <v>14-IncentivePlant, L 16, Col. 1</v>
      </c>
    </row>
    <row r="42" spans="1:9" ht="13">
      <c r="A42" s="2">
        <f>A41+1</f>
        <v>12</v>
      </c>
      <c r="B42" s="2"/>
      <c r="C42" s="254"/>
      <c r="D42" s="54"/>
    </row>
    <row r="43" spans="1:9" ht="13">
      <c r="A43" s="2">
        <f>A42+1</f>
        <v>13</v>
      </c>
      <c r="B43" s="2"/>
      <c r="C43" s="262" t="s">
        <v>822</v>
      </c>
    </row>
    <row r="44" spans="1:9" ht="13">
      <c r="A44" s="2">
        <f>A43+1</f>
        <v>14</v>
      </c>
      <c r="F44" s="25" t="s">
        <v>1285</v>
      </c>
      <c r="G44" s="6">
        <f>SUM(G39:G42)</f>
        <v>24013487.42910824</v>
      </c>
      <c r="H44" s="246" t="s">
        <v>1286</v>
      </c>
    </row>
    <row r="45" spans="1:9">
      <c r="H45" s="246" t="s">
        <v>1287</v>
      </c>
      <c r="I45" s="6"/>
    </row>
    <row r="46" spans="1:9" ht="13">
      <c r="B46" s="1" t="s">
        <v>1288</v>
      </c>
    </row>
    <row r="47" spans="1:9" ht="13">
      <c r="A47" s="1"/>
      <c r="B47" s="1"/>
      <c r="C47" s="247" t="s">
        <v>1289</v>
      </c>
    </row>
    <row r="48" spans="1:9" ht="13">
      <c r="A48" s="1"/>
      <c r="B48" s="1"/>
      <c r="C48" s="247" t="s">
        <v>1290</v>
      </c>
    </row>
    <row r="49" spans="1:9" ht="13">
      <c r="A49" s="1"/>
      <c r="B49" s="1"/>
      <c r="C49" s="247" t="s">
        <v>1291</v>
      </c>
    </row>
    <row r="51" spans="1:9" ht="13">
      <c r="E51" s="2" t="s">
        <v>1292</v>
      </c>
      <c r="G51" s="2" t="s">
        <v>1292</v>
      </c>
    </row>
    <row r="52" spans="1:9" ht="13">
      <c r="E52" s="2" t="s">
        <v>1159</v>
      </c>
      <c r="F52" s="2" t="s">
        <v>1276</v>
      </c>
      <c r="G52" s="2" t="s">
        <v>1159</v>
      </c>
    </row>
    <row r="53" spans="1:9" ht="13">
      <c r="A53" s="30" t="s">
        <v>273</v>
      </c>
      <c r="B53" s="30"/>
      <c r="E53" s="3" t="s">
        <v>1208</v>
      </c>
      <c r="F53" s="3" t="s">
        <v>1278</v>
      </c>
      <c r="G53" s="3" t="s">
        <v>1284</v>
      </c>
      <c r="H53" s="3" t="s">
        <v>651</v>
      </c>
    </row>
    <row r="54" spans="1:9" ht="13">
      <c r="A54" s="2">
        <f>A44+1</f>
        <v>15</v>
      </c>
      <c r="B54" s="2"/>
      <c r="C54" t="s">
        <v>1176</v>
      </c>
      <c r="E54" s="6">
        <f>'14-IncentivePlant'!E61</f>
        <v>128906322.08523718</v>
      </c>
      <c r="F54" s="55">
        <f>F25</f>
        <v>0.75</v>
      </c>
      <c r="G54" s="6">
        <f>(E54/1000000)*(F54*$G$17)</f>
        <v>637672.49186110019</v>
      </c>
      <c r="H54" s="246" t="str">
        <f>"14-IncentivePlant, L "&amp;'14-IncentivePlant'!A61&amp;", Col. 1"</f>
        <v>14-IncentivePlant, L 20, Col. 1</v>
      </c>
    </row>
    <row r="55" spans="1:9" ht="13">
      <c r="A55" s="2">
        <f>A54+1</f>
        <v>16</v>
      </c>
      <c r="B55" s="2"/>
      <c r="C55" t="s">
        <v>1177</v>
      </c>
      <c r="E55" s="6">
        <f>'14-IncentivePlant'!E62</f>
        <v>2402627325.4961095</v>
      </c>
      <c r="F55" s="55">
        <f>F26</f>
        <v>1.25</v>
      </c>
      <c r="G55" s="6">
        <f>(E55/1000000)*(F55*$G$17)</f>
        <v>19808820.970130619</v>
      </c>
      <c r="H55" s="246" t="str">
        <f>"14-IncentivePlant, L "&amp;'14-IncentivePlant'!A62&amp;", Col. 1"</f>
        <v>14-IncentivePlant, L 21, Col. 1</v>
      </c>
    </row>
    <row r="56" spans="1:9" ht="13">
      <c r="A56" s="2">
        <f>A55+1</f>
        <v>17</v>
      </c>
      <c r="B56" s="2"/>
      <c r="C56" s="247" t="s">
        <v>1279</v>
      </c>
      <c r="E56" s="6">
        <f>'14-IncentivePlant'!E63</f>
        <v>600120675.68269801</v>
      </c>
      <c r="F56" s="55">
        <f>F27</f>
        <v>1</v>
      </c>
      <c r="G56" s="6">
        <f>(E56/1000000)*(F56*$G$17)</f>
        <v>3958227.8612827281</v>
      </c>
      <c r="H56" s="246" t="str">
        <f>"14-IncentivePlant, L "&amp;'14-IncentivePlant'!A63&amp;", Col. 1"</f>
        <v>14-IncentivePlant, L 22, Col. 1</v>
      </c>
    </row>
    <row r="57" spans="1:9" ht="13">
      <c r="A57" s="2">
        <f>A56+1</f>
        <v>18</v>
      </c>
      <c r="B57" s="2"/>
      <c r="C57" s="254"/>
      <c r="D57" s="54"/>
    </row>
    <row r="58" spans="1:9" ht="13">
      <c r="A58" s="2">
        <f>A57+1</f>
        <v>19</v>
      </c>
      <c r="B58" s="2"/>
      <c r="C58" s="262" t="s">
        <v>822</v>
      </c>
    </row>
    <row r="59" spans="1:9" ht="13">
      <c r="A59" s="2">
        <f>A58+1</f>
        <v>20</v>
      </c>
      <c r="F59" s="245" t="s">
        <v>1293</v>
      </c>
      <c r="G59" s="6">
        <f>SUM(G54:G57)</f>
        <v>24404721.323274449</v>
      </c>
      <c r="H59" s="246" t="s">
        <v>1286</v>
      </c>
    </row>
    <row r="60" spans="1:9">
      <c r="H60" s="246" t="s">
        <v>1287</v>
      </c>
      <c r="I60" s="6"/>
    </row>
    <row r="61" spans="1:9" ht="13">
      <c r="B61" s="1" t="s">
        <v>1294</v>
      </c>
    </row>
    <row r="63" spans="1:9" ht="13">
      <c r="C63" s="1" t="s">
        <v>1295</v>
      </c>
    </row>
    <row r="65" spans="1:7" ht="13">
      <c r="E65" s="2" t="s">
        <v>473</v>
      </c>
    </row>
    <row r="66" spans="1:7" ht="13">
      <c r="C66" s="2" t="s">
        <v>1159</v>
      </c>
      <c r="E66" s="2" t="s">
        <v>1173</v>
      </c>
    </row>
    <row r="67" spans="1:7" ht="13">
      <c r="A67" s="30" t="s">
        <v>273</v>
      </c>
      <c r="C67" s="3" t="s">
        <v>1074</v>
      </c>
      <c r="E67" s="3" t="s">
        <v>1175</v>
      </c>
      <c r="F67" s="3" t="s">
        <v>651</v>
      </c>
    </row>
    <row r="68" spans="1:7" ht="13">
      <c r="A68" s="2">
        <f>A59+1</f>
        <v>21</v>
      </c>
      <c r="C68" t="s">
        <v>1176</v>
      </c>
      <c r="E68" s="6">
        <f>'14-IncentivePlant'!G61</f>
        <v>128906322.08523718</v>
      </c>
      <c r="F68" s="246" t="str">
        <f>"14-IncentivePlant, L "&amp;'14-IncentivePlant'!A61&amp;", Col. 3"</f>
        <v>14-IncentivePlant, L 20, Col. 3</v>
      </c>
    </row>
    <row r="69" spans="1:7" ht="13">
      <c r="A69" s="2">
        <f t="shared" ref="A69:A71" si="0">A68+1</f>
        <v>22</v>
      </c>
      <c r="C69" t="s">
        <v>1177</v>
      </c>
      <c r="E69" s="6">
        <f>'14-IncentivePlant'!G62</f>
        <v>2402246299.9799557</v>
      </c>
      <c r="F69" s="246" t="str">
        <f>"14-IncentivePlant, L "&amp;'14-IncentivePlant'!A62&amp;", Col. 3"</f>
        <v>14-IncentivePlant, L 21, Col. 3</v>
      </c>
    </row>
    <row r="70" spans="1:7" ht="13">
      <c r="A70" s="2">
        <f t="shared" si="0"/>
        <v>23</v>
      </c>
      <c r="C70" s="247" t="s">
        <v>1279</v>
      </c>
      <c r="E70" s="6">
        <f>'14-IncentivePlant'!G63</f>
        <v>600120675.68269801</v>
      </c>
      <c r="F70" s="246" t="str">
        <f>"14-IncentivePlant, L "&amp;'14-IncentivePlant'!A63&amp;", Col. 3"</f>
        <v>14-IncentivePlant, L 22, Col. 3</v>
      </c>
    </row>
    <row r="71" spans="1:7" ht="13">
      <c r="A71" s="2">
        <f t="shared" si="0"/>
        <v>24</v>
      </c>
      <c r="C71" s="254"/>
      <c r="F71" s="246"/>
    </row>
    <row r="72" spans="1:7">
      <c r="C72" s="262" t="s">
        <v>822</v>
      </c>
    </row>
    <row r="73" spans="1:7">
      <c r="C73" s="262"/>
    </row>
    <row r="74" spans="1:7" ht="13">
      <c r="C74" s="1" t="s">
        <v>1296</v>
      </c>
    </row>
    <row r="75" spans="1:7" ht="13">
      <c r="C75" s="1"/>
    </row>
    <row r="76" spans="1:7" ht="13">
      <c r="E76" s="3" t="s">
        <v>336</v>
      </c>
      <c r="F76" s="3" t="s">
        <v>337</v>
      </c>
    </row>
    <row r="77" spans="1:7" ht="13">
      <c r="E77" s="3"/>
      <c r="F77" s="2" t="s">
        <v>1297</v>
      </c>
    </row>
    <row r="78" spans="1:7" ht="13">
      <c r="E78" s="2" t="s">
        <v>366</v>
      </c>
      <c r="F78" s="2" t="s">
        <v>366</v>
      </c>
    </row>
    <row r="79" spans="1:7" ht="13">
      <c r="C79" s="2" t="s">
        <v>1159</v>
      </c>
      <c r="E79" s="2" t="s">
        <v>1159</v>
      </c>
      <c r="F79" s="2" t="s">
        <v>1159</v>
      </c>
    </row>
    <row r="80" spans="1:7" ht="13">
      <c r="A80" s="30" t="s">
        <v>273</v>
      </c>
      <c r="C80" s="3" t="s">
        <v>1074</v>
      </c>
      <c r="E80" s="3" t="s">
        <v>1284</v>
      </c>
      <c r="F80" s="3" t="s">
        <v>1284</v>
      </c>
      <c r="G80" s="3" t="s">
        <v>651</v>
      </c>
    </row>
    <row r="81" spans="1:7" ht="13">
      <c r="A81" s="2">
        <f>A71+1</f>
        <v>25</v>
      </c>
      <c r="C81" t="s">
        <v>1176</v>
      </c>
      <c r="E81" s="6">
        <f>(E68/1000000)*(F54*$G$17)</f>
        <v>637672.49186110019</v>
      </c>
      <c r="F81" s="6">
        <f>E81*(1-$G$16)</f>
        <v>459228.77242865739</v>
      </c>
      <c r="G81" s="246" t="s">
        <v>576</v>
      </c>
    </row>
    <row r="82" spans="1:7" ht="13">
      <c r="A82" s="2">
        <f t="shared" ref="A82:A86" si="1">A81+1</f>
        <v>26</v>
      </c>
      <c r="C82" t="s">
        <v>1177</v>
      </c>
      <c r="E82" s="6">
        <f>(E69/1000000)*(F55*$G$17)</f>
        <v>19805679.548173729</v>
      </c>
      <c r="F82" s="6">
        <f>E82*(1-$G$16)</f>
        <v>14263337.406130986</v>
      </c>
      <c r="G82" s="246" t="s">
        <v>576</v>
      </c>
    </row>
    <row r="83" spans="1:7" ht="13">
      <c r="A83" s="2">
        <f t="shared" si="1"/>
        <v>27</v>
      </c>
      <c r="C83" s="247" t="s">
        <v>1279</v>
      </c>
      <c r="E83" s="6">
        <f>(E70/1000000)*(F56*$G$17)</f>
        <v>3958227.8612827281</v>
      </c>
      <c r="F83" s="6">
        <f>E83*(1-$G$16)</f>
        <v>2850573.2094928147</v>
      </c>
      <c r="G83" s="246" t="s">
        <v>576</v>
      </c>
    </row>
    <row r="84" spans="1:7" ht="13">
      <c r="A84" s="2">
        <f t="shared" si="1"/>
        <v>28</v>
      </c>
      <c r="C84" s="254"/>
      <c r="E84" s="6"/>
      <c r="F84" s="6"/>
      <c r="G84" s="246" t="s">
        <v>576</v>
      </c>
    </row>
    <row r="85" spans="1:7" ht="13">
      <c r="A85" s="2">
        <f t="shared" si="1"/>
        <v>29</v>
      </c>
      <c r="C85" s="262" t="s">
        <v>822</v>
      </c>
      <c r="E85" s="6"/>
      <c r="F85" s="6"/>
    </row>
    <row r="86" spans="1:7" ht="13">
      <c r="A86" s="2">
        <f t="shared" si="1"/>
        <v>30</v>
      </c>
      <c r="E86" s="245" t="s">
        <v>409</v>
      </c>
      <c r="F86" s="6">
        <f>SUM(F81:F85)</f>
        <v>17573139.38805246</v>
      </c>
    </row>
    <row r="88" spans="1:7" ht="13">
      <c r="C88" s="1" t="s">
        <v>1298</v>
      </c>
    </row>
    <row r="89" spans="1:7" ht="13">
      <c r="A89" s="30" t="s">
        <v>273</v>
      </c>
      <c r="F89" s="3" t="s">
        <v>79</v>
      </c>
      <c r="G89" s="3" t="s">
        <v>651</v>
      </c>
    </row>
    <row r="90" spans="1:7" ht="13">
      <c r="A90" s="2">
        <f>A86+1</f>
        <v>31</v>
      </c>
      <c r="E90" s="245" t="s">
        <v>1299</v>
      </c>
      <c r="F90" s="6">
        <f>'4-TUTRR'!J29</f>
        <v>7454673607.6925135</v>
      </c>
      <c r="G90" s="246" t="str">
        <f>"4-TUTRR, Line "&amp;'4-TUTRR'!A29&amp;""</f>
        <v>4-TUTRR, Line 18</v>
      </c>
    </row>
    <row r="91" spans="1:7" ht="13">
      <c r="A91" s="2">
        <f t="shared" ref="A91:A94" si="2">A90+1</f>
        <v>32</v>
      </c>
      <c r="E91" s="245" t="s">
        <v>1300</v>
      </c>
      <c r="F91" s="53">
        <f>'4-TUTRR'!J24</f>
        <v>346163360.99307692</v>
      </c>
      <c r="G91" s="246" t="str">
        <f>"4-TUTRR, Line "&amp;'4-TUTRR'!A24&amp;""</f>
        <v>4-TUTRR, Line 14</v>
      </c>
    </row>
    <row r="92" spans="1:7" ht="13">
      <c r="A92" s="2">
        <f t="shared" si="2"/>
        <v>33</v>
      </c>
      <c r="E92" s="245" t="s">
        <v>1301</v>
      </c>
      <c r="F92" s="6">
        <f>F90-F91</f>
        <v>7108510246.6994362</v>
      </c>
      <c r="G92" s="12" t="str">
        <f>"Line "&amp;A90&amp;" - Line "&amp;A91&amp;""</f>
        <v>Line 31 - Line 32</v>
      </c>
    </row>
    <row r="93" spans="1:7" ht="13">
      <c r="A93" s="2">
        <f t="shared" si="2"/>
        <v>34</v>
      </c>
      <c r="E93" s="245" t="s">
        <v>1302</v>
      </c>
      <c r="F93" s="7">
        <f>'1-BaseTRR'!K82</f>
        <v>0.47499999999999998</v>
      </c>
      <c r="G93" s="246" t="str">
        <f>"1-BaseTRR, Line "&amp;'1-BaseTRR'!A82&amp;""</f>
        <v>1-BaseTRR, Line 47</v>
      </c>
    </row>
    <row r="94" spans="1:7" ht="13">
      <c r="A94" s="2">
        <f t="shared" si="2"/>
        <v>35</v>
      </c>
      <c r="E94" s="245" t="s">
        <v>1303</v>
      </c>
      <c r="F94" s="6">
        <f>F92*F93</f>
        <v>3376542367.1822319</v>
      </c>
      <c r="G94" s="12" t="str">
        <f>"Line "&amp;A92&amp;" * Line "&amp;A93&amp;""</f>
        <v>Line 33 * Line 34</v>
      </c>
    </row>
    <row r="96" spans="1:7" ht="13">
      <c r="C96" s="1" t="s">
        <v>1304</v>
      </c>
    </row>
    <row r="97" spans="1:7" ht="13">
      <c r="A97" s="30" t="s">
        <v>273</v>
      </c>
    </row>
    <row r="98" spans="1:7" ht="13">
      <c r="A98" s="2">
        <f>A94+1</f>
        <v>36</v>
      </c>
      <c r="E98" s="245" t="s">
        <v>1305</v>
      </c>
      <c r="F98" s="26">
        <f>F86/F94</f>
        <v>5.204477680733937E-3</v>
      </c>
      <c r="G98" s="12" t="str">
        <f>"Line "&amp;A86&amp;" / Line "&amp;A94&amp;""</f>
        <v>Line 30 / Line 35</v>
      </c>
    </row>
    <row r="99" spans="1:7" ht="13">
      <c r="A99" s="2">
        <f t="shared" ref="A99:A101" si="3">A98+1</f>
        <v>37</v>
      </c>
      <c r="E99" s="245" t="s">
        <v>1306</v>
      </c>
    </row>
    <row r="100" spans="1:7" ht="13">
      <c r="A100" s="2">
        <f t="shared" si="3"/>
        <v>38</v>
      </c>
      <c r="E100" s="245" t="s">
        <v>1307</v>
      </c>
      <c r="F100" s="263">
        <f>'1-BaseTRR'!K87</f>
        <v>0.10299999999999999</v>
      </c>
      <c r="G100" s="246" t="str">
        <f>"1-BaseTRR, Line "&amp;'1-BaseTRR'!A87&amp;""</f>
        <v>1-BaseTRR, Line 50</v>
      </c>
    </row>
    <row r="101" spans="1:7" ht="13">
      <c r="A101" s="2">
        <f t="shared" si="3"/>
        <v>39</v>
      </c>
      <c r="E101" s="245" t="s">
        <v>1308</v>
      </c>
      <c r="F101" s="26">
        <f>F98+F100</f>
        <v>0.10820447768073393</v>
      </c>
      <c r="G101" s="12" t="str">
        <f>"Line "&amp;A98&amp;" + Line "&amp;A100&amp;""</f>
        <v>Line 36 + Line 38</v>
      </c>
    </row>
    <row r="103" spans="1:7" ht="13">
      <c r="B103" s="1" t="s">
        <v>433</v>
      </c>
    </row>
    <row r="104" spans="1:7">
      <c r="B104" s="247" t="s">
        <v>1309</v>
      </c>
    </row>
    <row r="105" spans="1:7">
      <c r="B105" s="247" t="s">
        <v>1310</v>
      </c>
    </row>
    <row r="107" spans="1:7" ht="13">
      <c r="B107" s="1" t="s">
        <v>228</v>
      </c>
    </row>
    <row r="108" spans="1:7">
      <c r="B108" s="247" t="str">
        <f>"1) Column 1: The True Up Incentive Adder for each Incentive Project equals the IREF on Line "&amp;A17&amp;","</f>
        <v>1) Column 1: The True Up Incentive Adder for each Incentive Project equals the IREF on Line 3,</v>
      </c>
    </row>
    <row r="109" spans="1:7">
      <c r="B109" s="247" t="str">
        <f>"times the applicable Multiplicative Factor on Lines "&amp;A54&amp;" to "&amp;A57&amp;", times the million $ of"</f>
        <v>times the applicable Multiplicative Factor on Lines 15 to 18, times the million $ of</v>
      </c>
    </row>
    <row r="110" spans="1:7">
      <c r="B110" s="247" t="str">
        <f>"TIP Net Plant In Service on Lines "&amp;A68&amp;" to "&amp;A71&amp;"."</f>
        <v>TIP Net Plant In Service on Lines 21 to 24.</v>
      </c>
    </row>
    <row r="111" spans="1:7">
      <c r="B111" s="247" t="s">
        <v>1311</v>
      </c>
    </row>
    <row r="112" spans="1:7">
      <c r="B112" s="247"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&amp;RTO2024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89" workbookViewId="0"/>
  </sheetViews>
  <sheetFormatPr defaultColWidth="9.453125" defaultRowHeight="12.5"/>
  <cols>
    <col min="1" max="1" width="4.54296875" style="319" customWidth="1"/>
    <col min="2" max="2" width="6" style="319" customWidth="1"/>
    <col min="3" max="3" width="15.54296875" style="319" customWidth="1"/>
    <col min="4" max="4" width="9.453125" style="319" customWidth="1"/>
    <col min="5" max="5" width="16" style="319" customWidth="1"/>
    <col min="6" max="6" width="14.54296875" style="319" customWidth="1"/>
    <col min="7" max="7" width="16" style="319" bestFit="1" customWidth="1"/>
    <col min="8" max="8" width="18.453125" style="319" customWidth="1"/>
    <col min="9" max="10" width="15.54296875" style="319" customWidth="1"/>
    <col min="11" max="11" width="16.54296875" style="319" customWidth="1"/>
    <col min="12" max="13" width="15.54296875" style="319" customWidth="1"/>
    <col min="14" max="14" width="17" style="319" customWidth="1"/>
    <col min="15" max="16" width="15.54296875" style="319" customWidth="1"/>
    <col min="17" max="17" width="2.54296875" style="319" customWidth="1"/>
    <col min="18" max="21" width="18.54296875" style="319" customWidth="1"/>
    <col min="22" max="22" width="15.54296875" style="319" customWidth="1"/>
    <col min="23" max="23" width="20.54296875" style="319" bestFit="1" customWidth="1"/>
    <col min="24" max="40" width="15.54296875" style="319" customWidth="1"/>
    <col min="41" max="16384" width="9.453125" style="319"/>
  </cols>
  <sheetData>
    <row r="1" spans="1:40" ht="13">
      <c r="A1" s="323" t="s">
        <v>1312</v>
      </c>
    </row>
    <row r="2" spans="1:40">
      <c r="F2" s="330" t="s">
        <v>1313</v>
      </c>
      <c r="G2" s="330"/>
    </row>
    <row r="3" spans="1:40">
      <c r="B3" s="319" t="s">
        <v>1314</v>
      </c>
    </row>
    <row r="4" spans="1:40">
      <c r="B4" s="319" t="s">
        <v>1315</v>
      </c>
    </row>
    <row r="5" spans="1:40">
      <c r="B5" s="319" t="s">
        <v>1316</v>
      </c>
    </row>
    <row r="7" spans="1:40" ht="13">
      <c r="B7" s="323" t="s">
        <v>1317</v>
      </c>
    </row>
    <row r="8" spans="1:40" ht="13">
      <c r="E8" s="351" t="s">
        <v>336</v>
      </c>
      <c r="F8" s="351" t="s">
        <v>337</v>
      </c>
      <c r="G8" s="351" t="s">
        <v>338</v>
      </c>
      <c r="H8" s="351" t="s">
        <v>339</v>
      </c>
      <c r="I8" s="351" t="s">
        <v>340</v>
      </c>
      <c r="J8" s="351" t="s">
        <v>341</v>
      </c>
      <c r="K8" s="351" t="s">
        <v>342</v>
      </c>
      <c r="L8" s="351" t="s">
        <v>343</v>
      </c>
      <c r="M8" s="351" t="s">
        <v>344</v>
      </c>
      <c r="N8" s="351" t="s">
        <v>589</v>
      </c>
      <c r="O8" s="351" t="s">
        <v>590</v>
      </c>
      <c r="P8" s="351" t="s">
        <v>591</v>
      </c>
      <c r="T8" s="351"/>
      <c r="U8" s="351"/>
      <c r="X8" s="344"/>
      <c r="Y8" s="344"/>
      <c r="Z8" s="344"/>
      <c r="AA8" s="344"/>
      <c r="AB8" s="344"/>
      <c r="AC8" s="344"/>
      <c r="AD8" s="344"/>
      <c r="AE8" s="344"/>
      <c r="AF8" s="344"/>
      <c r="AG8" s="344"/>
      <c r="AH8" s="344"/>
      <c r="AI8" s="344"/>
      <c r="AJ8" s="344"/>
      <c r="AK8" s="344"/>
      <c r="AL8" s="344"/>
      <c r="AM8" s="344"/>
      <c r="AN8" s="344"/>
    </row>
    <row r="9" spans="1:40">
      <c r="E9" s="352" t="s">
        <v>346</v>
      </c>
      <c r="F9" s="352" t="s">
        <v>346</v>
      </c>
      <c r="G9" s="352" t="s">
        <v>346</v>
      </c>
      <c r="H9" s="352" t="s">
        <v>346</v>
      </c>
      <c r="I9" s="352" t="s">
        <v>346</v>
      </c>
      <c r="J9" s="352" t="s">
        <v>346</v>
      </c>
      <c r="K9" s="352" t="s">
        <v>346</v>
      </c>
      <c r="L9" s="352" t="s">
        <v>346</v>
      </c>
      <c r="M9" s="352" t="s">
        <v>346</v>
      </c>
      <c r="N9" s="352" t="s">
        <v>346</v>
      </c>
      <c r="O9" s="352" t="s">
        <v>346</v>
      </c>
      <c r="P9" s="352" t="s">
        <v>346</v>
      </c>
      <c r="Q9" s="353"/>
    </row>
    <row r="10" spans="1:40" ht="13">
      <c r="C10" s="326" t="s">
        <v>983</v>
      </c>
      <c r="E10" s="326" t="s">
        <v>982</v>
      </c>
      <c r="F10" s="326"/>
      <c r="G10" s="326"/>
      <c r="H10" s="326"/>
      <c r="I10" s="326" t="s">
        <v>1318</v>
      </c>
      <c r="J10" s="326"/>
      <c r="K10" s="326"/>
      <c r="L10" s="326"/>
      <c r="M10" s="326"/>
      <c r="O10" s="326" t="s">
        <v>982</v>
      </c>
      <c r="P10" s="326" t="s">
        <v>1319</v>
      </c>
      <c r="T10" s="326"/>
      <c r="U10" s="326"/>
      <c r="X10" s="326"/>
      <c r="Y10" s="326"/>
      <c r="Z10" s="326"/>
      <c r="AA10" s="326"/>
      <c r="AB10" s="326"/>
      <c r="AC10" s="326"/>
      <c r="AD10" s="326"/>
      <c r="AE10" s="326"/>
      <c r="AF10" s="326"/>
      <c r="AG10" s="326"/>
      <c r="AH10" s="326"/>
      <c r="AI10" s="326"/>
      <c r="AJ10" s="326"/>
      <c r="AK10" s="326"/>
      <c r="AL10" s="326"/>
      <c r="AM10" s="326"/>
      <c r="AN10" s="326"/>
    </row>
    <row r="11" spans="1:40" ht="13">
      <c r="B11" s="323"/>
      <c r="C11" s="326" t="s">
        <v>619</v>
      </c>
      <c r="E11" s="326" t="s">
        <v>249</v>
      </c>
      <c r="F11" s="326" t="s">
        <v>986</v>
      </c>
      <c r="G11" s="326" t="s">
        <v>987</v>
      </c>
      <c r="H11" s="326" t="s">
        <v>1320</v>
      </c>
      <c r="I11" s="326" t="s">
        <v>1321</v>
      </c>
      <c r="J11" s="326"/>
      <c r="K11" s="326" t="s">
        <v>1157</v>
      </c>
      <c r="L11" s="326" t="s">
        <v>38</v>
      </c>
      <c r="M11" s="326" t="s">
        <v>1157</v>
      </c>
      <c r="O11" s="326" t="s">
        <v>1322</v>
      </c>
      <c r="P11" s="326" t="s">
        <v>1322</v>
      </c>
      <c r="T11" s="326"/>
      <c r="U11" s="326"/>
      <c r="X11" s="326"/>
      <c r="Y11" s="326"/>
      <c r="Z11" s="326"/>
      <c r="AA11" s="326"/>
      <c r="AB11" s="326"/>
      <c r="AC11" s="326"/>
      <c r="AD11" s="326"/>
      <c r="AE11" s="326"/>
      <c r="AF11" s="326"/>
      <c r="AG11" s="326"/>
      <c r="AH11" s="326"/>
      <c r="AI11" s="326"/>
      <c r="AJ11" s="326"/>
      <c r="AK11" s="326"/>
      <c r="AL11" s="326"/>
      <c r="AM11" s="326"/>
      <c r="AN11" s="326"/>
    </row>
    <row r="12" spans="1:40" ht="13">
      <c r="A12" s="354" t="s">
        <v>273</v>
      </c>
      <c r="C12" s="344" t="s">
        <v>371</v>
      </c>
      <c r="D12" s="344" t="s">
        <v>372</v>
      </c>
      <c r="E12" s="344" t="s">
        <v>992</v>
      </c>
      <c r="F12" s="344" t="s">
        <v>993</v>
      </c>
      <c r="G12" s="344" t="s">
        <v>994</v>
      </c>
      <c r="H12" s="344" t="s">
        <v>1323</v>
      </c>
      <c r="I12" s="344" t="s">
        <v>1324</v>
      </c>
      <c r="J12" s="344" t="s">
        <v>1318</v>
      </c>
      <c r="K12" s="344" t="s">
        <v>1325</v>
      </c>
      <c r="L12" s="344" t="s">
        <v>1326</v>
      </c>
      <c r="M12" s="344" t="s">
        <v>753</v>
      </c>
      <c r="N12" s="344" t="s">
        <v>1208</v>
      </c>
      <c r="O12" s="344" t="s">
        <v>1324</v>
      </c>
      <c r="P12" s="344" t="s">
        <v>1324</v>
      </c>
      <c r="T12" s="344"/>
      <c r="U12" s="344"/>
      <c r="V12" s="344"/>
      <c r="W12" s="344"/>
      <c r="X12" s="344"/>
      <c r="Y12" s="344"/>
      <c r="Z12" s="344"/>
      <c r="AA12" s="344"/>
      <c r="AB12" s="344"/>
      <c r="AC12" s="344"/>
      <c r="AD12" s="344"/>
      <c r="AE12" s="344"/>
      <c r="AF12" s="344"/>
      <c r="AG12" s="344"/>
      <c r="AH12" s="344"/>
      <c r="AI12" s="344"/>
      <c r="AJ12" s="344"/>
      <c r="AK12" s="344"/>
      <c r="AL12" s="344"/>
      <c r="AM12" s="344"/>
      <c r="AN12" s="344"/>
    </row>
    <row r="13" spans="1:40" ht="13">
      <c r="A13" s="326">
        <v>1</v>
      </c>
      <c r="C13" s="319" t="str">
        <f>C45</f>
        <v>January</v>
      </c>
      <c r="D13" s="495">
        <v>2023</v>
      </c>
      <c r="E13" s="321">
        <f t="shared" ref="E13:P13" si="0">E45+E76</f>
        <v>17746163.21408122</v>
      </c>
      <c r="F13" s="321">
        <f t="shared" si="0"/>
        <v>868094.67086667835</v>
      </c>
      <c r="G13" s="321">
        <f t="shared" si="0"/>
        <v>1265855.1407410908</v>
      </c>
      <c r="H13" s="321">
        <f t="shared" si="0"/>
        <v>1016576.7207164507</v>
      </c>
      <c r="I13" s="321">
        <f t="shared" si="0"/>
        <v>11690632.288239183</v>
      </c>
      <c r="J13" s="321">
        <f t="shared" si="0"/>
        <v>350718.96864717547</v>
      </c>
      <c r="K13" s="321">
        <f t="shared" si="0"/>
        <v>18346160.602753036</v>
      </c>
      <c r="L13" s="321">
        <f t="shared" si="0"/>
        <v>0</v>
      </c>
      <c r="M13" s="321">
        <f>M45+M76</f>
        <v>0</v>
      </c>
      <c r="N13" s="321">
        <f t="shared" ref="N13:N36" si="1">N45+N76</f>
        <v>18346160.602753036</v>
      </c>
      <c r="O13" s="321">
        <f t="shared" si="0"/>
        <v>1207179.4463332521</v>
      </c>
      <c r="P13" s="321">
        <f t="shared" si="0"/>
        <v>1227218.6251423841</v>
      </c>
      <c r="T13" s="321"/>
      <c r="U13" s="321"/>
      <c r="V13" s="355"/>
      <c r="W13" s="321"/>
      <c r="X13" s="356"/>
      <c r="Y13" s="256"/>
      <c r="Z13" s="321"/>
      <c r="AA13" s="321"/>
      <c r="AB13" s="321"/>
      <c r="AC13" s="321"/>
      <c r="AD13" s="321"/>
      <c r="AE13" s="321"/>
      <c r="AF13" s="321"/>
      <c r="AG13" s="321"/>
      <c r="AH13" s="321"/>
      <c r="AI13" s="321"/>
      <c r="AJ13" s="321"/>
      <c r="AK13" s="321"/>
      <c r="AL13" s="321"/>
      <c r="AM13" s="321"/>
      <c r="AN13" s="321"/>
    </row>
    <row r="14" spans="1:40" ht="13">
      <c r="A14" s="326">
        <f>A13+1</f>
        <v>2</v>
      </c>
      <c r="C14" s="319" t="str">
        <f t="shared" ref="C14:C29" si="2">C46</f>
        <v>February</v>
      </c>
      <c r="D14" s="495">
        <v>2023</v>
      </c>
      <c r="E14" s="321">
        <f t="shared" ref="E14" si="3">E46+E77</f>
        <v>15807358.096881218</v>
      </c>
      <c r="F14" s="321">
        <f t="shared" ref="F14:P14" si="4">F46+F77</f>
        <v>848244.67366667837</v>
      </c>
      <c r="G14" s="321">
        <f t="shared" si="4"/>
        <v>1121933.5067410904</v>
      </c>
      <c r="H14" s="321">
        <f t="shared" si="4"/>
        <v>1118577.6983964504</v>
      </c>
      <c r="I14" s="321">
        <f t="shared" si="4"/>
        <v>12863643.53155918</v>
      </c>
      <c r="J14" s="321">
        <f t="shared" si="4"/>
        <v>385909.30594677542</v>
      </c>
      <c r="K14" s="321">
        <f t="shared" si="4"/>
        <v>34542783.813925669</v>
      </c>
      <c r="L14" s="321">
        <f t="shared" si="4"/>
        <v>39273.685045697806</v>
      </c>
      <c r="M14" s="321">
        <f t="shared" si="4"/>
        <v>39273.685045697806</v>
      </c>
      <c r="N14" s="321">
        <f t="shared" si="1"/>
        <v>34503510.128879972</v>
      </c>
      <c r="O14" s="321">
        <f t="shared" si="4"/>
        <v>2414358.8926665043</v>
      </c>
      <c r="P14" s="321">
        <f t="shared" si="4"/>
        <v>2454437.2502847682</v>
      </c>
      <c r="T14" s="321"/>
      <c r="U14" s="321"/>
      <c r="V14" s="355"/>
      <c r="W14" s="321"/>
      <c r="X14" s="356"/>
      <c r="Y14" s="256"/>
      <c r="Z14" s="321"/>
      <c r="AA14" s="321"/>
      <c r="AB14" s="321"/>
      <c r="AC14" s="321"/>
      <c r="AD14" s="321"/>
      <c r="AE14" s="321"/>
      <c r="AF14" s="321"/>
      <c r="AG14" s="321"/>
      <c r="AH14" s="321"/>
      <c r="AI14" s="321"/>
      <c r="AJ14" s="321"/>
      <c r="AK14" s="321"/>
      <c r="AL14" s="321"/>
      <c r="AM14" s="321"/>
      <c r="AN14" s="321"/>
    </row>
    <row r="15" spans="1:40" ht="13">
      <c r="A15" s="326">
        <f t="shared" ref="A15:A37" si="5">A14+1</f>
        <v>3</v>
      </c>
      <c r="C15" s="319" t="str">
        <f t="shared" si="2"/>
        <v>March</v>
      </c>
      <c r="D15" s="495">
        <v>2023</v>
      </c>
      <c r="E15" s="321">
        <f t="shared" ref="E15" si="6">E47+E78</f>
        <v>15371745.096881226</v>
      </c>
      <c r="F15" s="321">
        <f t="shared" ref="F15:P15" si="7">F47+F78</f>
        <v>848244.67366667837</v>
      </c>
      <c r="G15" s="321">
        <f t="shared" si="7"/>
        <v>1089262.5317410911</v>
      </c>
      <c r="H15" s="321">
        <f t="shared" si="7"/>
        <v>1118577.6983964511</v>
      </c>
      <c r="I15" s="321">
        <f t="shared" si="7"/>
        <v>12863643.531559186</v>
      </c>
      <c r="J15" s="321">
        <f t="shared" si="7"/>
        <v>385909.3059467756</v>
      </c>
      <c r="K15" s="321">
        <f t="shared" si="7"/>
        <v>50271123.050098307</v>
      </c>
      <c r="L15" s="321">
        <f t="shared" si="7"/>
        <v>73945.848479390785</v>
      </c>
      <c r="M15" s="321">
        <f t="shared" si="7"/>
        <v>113219.5335250886</v>
      </c>
      <c r="N15" s="321">
        <f t="shared" si="1"/>
        <v>50157903.51657322</v>
      </c>
      <c r="O15" s="321">
        <f t="shared" si="7"/>
        <v>3621538.3389997566</v>
      </c>
      <c r="P15" s="321">
        <f t="shared" si="7"/>
        <v>3681655.875427153</v>
      </c>
      <c r="T15" s="321"/>
      <c r="U15" s="321"/>
      <c r="V15" s="355"/>
      <c r="W15" s="321"/>
      <c r="X15" s="356"/>
      <c r="Y15" s="256"/>
      <c r="Z15" s="321"/>
      <c r="AA15" s="321"/>
      <c r="AB15" s="321"/>
      <c r="AC15" s="321"/>
      <c r="AD15" s="321"/>
      <c r="AE15" s="321"/>
      <c r="AF15" s="321"/>
      <c r="AG15" s="321"/>
      <c r="AH15" s="321"/>
      <c r="AI15" s="321"/>
      <c r="AJ15" s="321"/>
      <c r="AK15" s="321"/>
      <c r="AL15" s="321"/>
      <c r="AM15" s="321"/>
      <c r="AN15" s="321"/>
    </row>
    <row r="16" spans="1:40" ht="13">
      <c r="A16" s="326">
        <f t="shared" si="5"/>
        <v>4</v>
      </c>
      <c r="C16" s="319" t="str">
        <f t="shared" si="2"/>
        <v>April</v>
      </c>
      <c r="D16" s="495">
        <v>2023</v>
      </c>
      <c r="E16" s="321">
        <f t="shared" ref="E16" si="8">E48+E79</f>
        <v>15865353.70688121</v>
      </c>
      <c r="F16" s="321">
        <f t="shared" ref="F16:P16" si="9">F48+F79</f>
        <v>972133.28366667847</v>
      </c>
      <c r="G16" s="321">
        <f t="shared" si="9"/>
        <v>1116991.5317410899</v>
      </c>
      <c r="H16" s="321">
        <f t="shared" si="9"/>
        <v>1167786.2103964498</v>
      </c>
      <c r="I16" s="321">
        <f t="shared" si="9"/>
        <v>13429541.419559173</v>
      </c>
      <c r="J16" s="321">
        <f t="shared" si="9"/>
        <v>402886.24258677516</v>
      </c>
      <c r="K16" s="321">
        <f t="shared" si="9"/>
        <v>66488568.320910931</v>
      </c>
      <c r="L16" s="321">
        <f t="shared" si="9"/>
        <v>107615.55490072462</v>
      </c>
      <c r="M16" s="321">
        <f t="shared" si="9"/>
        <v>220835.08842581318</v>
      </c>
      <c r="N16" s="321">
        <f t="shared" si="1"/>
        <v>66267733.232485123</v>
      </c>
      <c r="O16" s="321">
        <f t="shared" si="9"/>
        <v>4828717.7853330085</v>
      </c>
      <c r="P16" s="321">
        <f t="shared" si="9"/>
        <v>4908874.5005695364</v>
      </c>
      <c r="T16" s="321"/>
      <c r="U16" s="321"/>
      <c r="V16" s="355"/>
      <c r="W16" s="321"/>
      <c r="X16" s="356"/>
      <c r="Y16" s="256"/>
      <c r="Z16" s="321"/>
      <c r="AA16" s="321"/>
      <c r="AB16" s="321"/>
      <c r="AC16" s="321"/>
      <c r="AD16" s="321"/>
      <c r="AE16" s="321"/>
      <c r="AF16" s="321"/>
      <c r="AG16" s="321"/>
      <c r="AH16" s="321"/>
      <c r="AI16" s="321"/>
      <c r="AJ16" s="321"/>
      <c r="AK16" s="321"/>
      <c r="AL16" s="321"/>
      <c r="AM16" s="321"/>
      <c r="AN16" s="321"/>
    </row>
    <row r="17" spans="1:40" ht="13">
      <c r="A17" s="326">
        <f t="shared" si="5"/>
        <v>5</v>
      </c>
      <c r="C17" s="319" t="str">
        <f t="shared" si="2"/>
        <v>May</v>
      </c>
      <c r="D17" s="495">
        <v>2023</v>
      </c>
      <c r="E17" s="321">
        <f t="shared" ref="E17" si="10">E49+E80</f>
        <v>25225313.426881209</v>
      </c>
      <c r="F17" s="321">
        <f t="shared" ref="F17:P17" si="11">F49+F80</f>
        <v>9552159.003666671</v>
      </c>
      <c r="G17" s="321">
        <f t="shared" si="11"/>
        <v>1175486.5817410904</v>
      </c>
      <c r="H17" s="321">
        <f t="shared" si="11"/>
        <v>1201145.2663964503</v>
      </c>
      <c r="I17" s="321">
        <f t="shared" si="11"/>
        <v>13813170.563559178</v>
      </c>
      <c r="J17" s="321">
        <f t="shared" si="11"/>
        <v>414395.11690677534</v>
      </c>
      <c r="K17" s="321">
        <f t="shared" si="11"/>
        <v>92102618.180043548</v>
      </c>
      <c r="L17" s="321">
        <f t="shared" si="11"/>
        <v>142332.29218450049</v>
      </c>
      <c r="M17" s="321">
        <f t="shared" si="11"/>
        <v>363167.38061031367</v>
      </c>
      <c r="N17" s="321">
        <f t="shared" si="1"/>
        <v>91739450.799433231</v>
      </c>
      <c r="O17" s="321">
        <f t="shared" si="11"/>
        <v>15699899.561666252</v>
      </c>
      <c r="P17" s="321">
        <f t="shared" si="11"/>
        <v>15960517.894389911</v>
      </c>
      <c r="T17" s="321"/>
      <c r="U17" s="321"/>
      <c r="V17" s="355"/>
      <c r="W17" s="321"/>
      <c r="X17" s="356"/>
      <c r="Y17" s="256"/>
      <c r="Z17" s="321"/>
      <c r="AA17" s="321"/>
      <c r="AB17" s="321"/>
      <c r="AC17" s="321"/>
      <c r="AD17" s="321"/>
      <c r="AE17" s="321"/>
      <c r="AF17" s="321"/>
      <c r="AG17" s="321"/>
      <c r="AH17" s="321"/>
      <c r="AI17" s="321"/>
      <c r="AJ17" s="321"/>
      <c r="AK17" s="321"/>
      <c r="AL17" s="321"/>
      <c r="AM17" s="321"/>
      <c r="AN17" s="321"/>
    </row>
    <row r="18" spans="1:40" ht="13">
      <c r="A18" s="326">
        <f t="shared" si="5"/>
        <v>6</v>
      </c>
      <c r="C18" s="319" t="str">
        <f t="shared" si="2"/>
        <v xml:space="preserve">June </v>
      </c>
      <c r="D18" s="495">
        <v>2023</v>
      </c>
      <c r="E18" s="321">
        <f t="shared" ref="E18" si="12">E50+E81</f>
        <v>155756850.56688121</v>
      </c>
      <c r="F18" s="321">
        <f t="shared" ref="F18:P18" si="13">F50+F81</f>
        <v>132049889.1436667</v>
      </c>
      <c r="G18" s="321">
        <f t="shared" si="13"/>
        <v>1778022.1067410884</v>
      </c>
      <c r="H18" s="321">
        <f t="shared" si="13"/>
        <v>1133118.4923964508</v>
      </c>
      <c r="I18" s="321">
        <f t="shared" si="13"/>
        <v>13030862.662559183</v>
      </c>
      <c r="J18" s="321">
        <f t="shared" si="13"/>
        <v>390925.87987677549</v>
      </c>
      <c r="K18" s="321">
        <f t="shared" si="13"/>
        <v>248895298.24114618</v>
      </c>
      <c r="L18" s="321">
        <f t="shared" si="13"/>
        <v>197164.37115155259</v>
      </c>
      <c r="M18" s="321">
        <f t="shared" si="13"/>
        <v>560331.75176186627</v>
      </c>
      <c r="N18" s="321">
        <f t="shared" si="1"/>
        <v>248334966.48938432</v>
      </c>
      <c r="O18" s="321">
        <f t="shared" si="13"/>
        <v>16907079.007999506</v>
      </c>
      <c r="P18" s="321">
        <f t="shared" si="13"/>
        <v>17187736.519532297</v>
      </c>
      <c r="T18" s="321"/>
      <c r="U18" s="321"/>
      <c r="V18" s="355"/>
      <c r="W18" s="321"/>
      <c r="X18" s="356"/>
      <c r="Y18" s="256"/>
      <c r="Z18" s="321"/>
      <c r="AA18" s="321"/>
      <c r="AB18" s="321"/>
      <c r="AC18" s="321"/>
      <c r="AD18" s="321"/>
      <c r="AE18" s="321"/>
      <c r="AF18" s="321"/>
      <c r="AG18" s="321"/>
      <c r="AH18" s="321"/>
      <c r="AI18" s="321"/>
      <c r="AJ18" s="321"/>
      <c r="AK18" s="321"/>
      <c r="AL18" s="321"/>
      <c r="AM18" s="321"/>
      <c r="AN18" s="321"/>
    </row>
    <row r="19" spans="1:40" ht="13">
      <c r="A19" s="326">
        <f t="shared" si="5"/>
        <v>7</v>
      </c>
      <c r="C19" s="319" t="str">
        <f t="shared" si="2"/>
        <v>July</v>
      </c>
      <c r="D19" s="495">
        <v>2023</v>
      </c>
      <c r="E19" s="321">
        <f t="shared" ref="E19" si="14">E51+E82</f>
        <v>25112180.156881213</v>
      </c>
      <c r="F19" s="321">
        <f t="shared" ref="F19:P19" si="15">F51+F82</f>
        <v>3466480.7336666798</v>
      </c>
      <c r="G19" s="321">
        <f t="shared" si="15"/>
        <v>1623427.4567410897</v>
      </c>
      <c r="H19" s="321">
        <f t="shared" si="15"/>
        <v>1546067.2723964497</v>
      </c>
      <c r="I19" s="321">
        <f t="shared" si="15"/>
        <v>17779773.632559173</v>
      </c>
      <c r="J19" s="321">
        <f t="shared" si="15"/>
        <v>533393.20897677517</v>
      </c>
      <c r="K19" s="321">
        <f t="shared" si="15"/>
        <v>274618231.79134881</v>
      </c>
      <c r="L19" s="321">
        <f t="shared" si="15"/>
        <v>532810.96596368786</v>
      </c>
      <c r="M19" s="321">
        <f t="shared" si="15"/>
        <v>1093142.717725554</v>
      </c>
      <c r="N19" s="321">
        <f t="shared" si="1"/>
        <v>273525089.07362324</v>
      </c>
      <c r="O19" s="321">
        <f t="shared" si="15"/>
        <v>20818134.324332763</v>
      </c>
      <c r="P19" s="321">
        <f t="shared" si="15"/>
        <v>21163715.354116686</v>
      </c>
      <c r="T19" s="321"/>
      <c r="U19" s="321"/>
      <c r="V19" s="355"/>
      <c r="W19" s="321"/>
      <c r="X19" s="356"/>
      <c r="Y19" s="256"/>
      <c r="Z19" s="321"/>
      <c r="AA19" s="321"/>
      <c r="AB19" s="321"/>
      <c r="AC19" s="321"/>
      <c r="AD19" s="321"/>
      <c r="AE19" s="321"/>
      <c r="AF19" s="321"/>
      <c r="AG19" s="321"/>
      <c r="AH19" s="321"/>
      <c r="AI19" s="321"/>
      <c r="AJ19" s="321"/>
      <c r="AK19" s="321"/>
      <c r="AL19" s="321"/>
      <c r="AM19" s="321"/>
      <c r="AN19" s="321"/>
    </row>
    <row r="20" spans="1:40" ht="13">
      <c r="A20" s="326">
        <f t="shared" si="5"/>
        <v>8</v>
      </c>
      <c r="C20" s="319" t="str">
        <f t="shared" si="2"/>
        <v>August</v>
      </c>
      <c r="D20" s="495">
        <v>2023</v>
      </c>
      <c r="E20" s="321">
        <f t="shared" ref="E20" si="16">E52+E83</f>
        <v>24789491.942901209</v>
      </c>
      <c r="F20" s="321">
        <f t="shared" ref="F20:P20" si="17">F52+F83</f>
        <v>9542036.9876866769</v>
      </c>
      <c r="G20" s="321">
        <f t="shared" si="17"/>
        <v>1143559.1216410899</v>
      </c>
      <c r="H20" s="321">
        <f t="shared" si="17"/>
        <v>1194523.1401484497</v>
      </c>
      <c r="I20" s="321">
        <f t="shared" si="17"/>
        <v>13737016.111707171</v>
      </c>
      <c r="J20" s="321">
        <f t="shared" si="17"/>
        <v>412110.48335121514</v>
      </c>
      <c r="K20" s="321">
        <f t="shared" si="17"/>
        <v>299768870.19909382</v>
      </c>
      <c r="L20" s="321">
        <f t="shared" si="17"/>
        <v>587876.13259863353</v>
      </c>
      <c r="M20" s="321">
        <f t="shared" si="17"/>
        <v>1681018.8503241877</v>
      </c>
      <c r="N20" s="321">
        <f t="shared" si="1"/>
        <v>298087851.34876966</v>
      </c>
      <c r="O20" s="321">
        <f t="shared" si="17"/>
        <v>22418131.080666013</v>
      </c>
      <c r="P20" s="321">
        <f t="shared" si="17"/>
        <v>22790272.056605071</v>
      </c>
      <c r="T20" s="321"/>
      <c r="U20" s="321"/>
      <c r="V20" s="355"/>
      <c r="W20" s="321"/>
      <c r="X20" s="356"/>
      <c r="Y20" s="256"/>
      <c r="Z20" s="321"/>
      <c r="AA20" s="321"/>
      <c r="AB20" s="321"/>
      <c r="AC20" s="321"/>
      <c r="AD20" s="321"/>
      <c r="AE20" s="321"/>
      <c r="AF20" s="321"/>
      <c r="AG20" s="321"/>
      <c r="AH20" s="321"/>
      <c r="AI20" s="321"/>
      <c r="AJ20" s="321"/>
      <c r="AK20" s="321"/>
      <c r="AL20" s="321"/>
      <c r="AM20" s="321"/>
      <c r="AN20" s="321"/>
    </row>
    <row r="21" spans="1:40" ht="13">
      <c r="A21" s="326">
        <f t="shared" si="5"/>
        <v>9</v>
      </c>
      <c r="C21" s="319" t="str">
        <f t="shared" si="2"/>
        <v>September</v>
      </c>
      <c r="D21" s="495">
        <v>2023</v>
      </c>
      <c r="E21" s="321">
        <f t="shared" ref="E21" si="18">E53+E84</f>
        <v>20803191.976881206</v>
      </c>
      <c r="F21" s="321">
        <f t="shared" ref="F21:P21" si="19">F53+F84</f>
        <v>4238829.5536666736</v>
      </c>
      <c r="G21" s="321">
        <f t="shared" si="19"/>
        <v>1242327.1817410898</v>
      </c>
      <c r="H21" s="321">
        <f t="shared" si="19"/>
        <v>1245990.9123964498</v>
      </c>
      <c r="I21" s="321">
        <f t="shared" si="19"/>
        <v>14328895.492559172</v>
      </c>
      <c r="J21" s="321">
        <f t="shared" si="19"/>
        <v>429866.86477677512</v>
      </c>
      <c r="K21" s="321">
        <f t="shared" si="19"/>
        <v>320998265.31009644</v>
      </c>
      <c r="L21" s="321">
        <f t="shared" si="19"/>
        <v>641716.1851803048</v>
      </c>
      <c r="M21" s="321">
        <f t="shared" si="19"/>
        <v>2322735.0355044925</v>
      </c>
      <c r="N21" s="321">
        <f t="shared" si="1"/>
        <v>318675530.27459192</v>
      </c>
      <c r="O21" s="321">
        <f t="shared" si="19"/>
        <v>23625310.526999265</v>
      </c>
      <c r="P21" s="321">
        <f t="shared" si="19"/>
        <v>24017490.681747451</v>
      </c>
      <c r="T21" s="321"/>
      <c r="U21" s="321"/>
      <c r="V21" s="355"/>
      <c r="W21" s="321"/>
      <c r="X21" s="356"/>
      <c r="Y21" s="256"/>
      <c r="Z21" s="321"/>
      <c r="AA21" s="321"/>
      <c r="AB21" s="321"/>
      <c r="AC21" s="321"/>
      <c r="AD21" s="321"/>
      <c r="AE21" s="321"/>
      <c r="AF21" s="321"/>
      <c r="AG21" s="321"/>
      <c r="AH21" s="321"/>
      <c r="AI21" s="321"/>
      <c r="AJ21" s="321"/>
      <c r="AK21" s="321"/>
      <c r="AL21" s="321"/>
      <c r="AM21" s="321"/>
      <c r="AN21" s="321"/>
    </row>
    <row r="22" spans="1:40" ht="13">
      <c r="A22" s="326">
        <f t="shared" si="5"/>
        <v>10</v>
      </c>
      <c r="C22" s="319" t="str">
        <f t="shared" si="2"/>
        <v xml:space="preserve">October </v>
      </c>
      <c r="D22" s="495">
        <v>2023</v>
      </c>
      <c r="E22" s="321">
        <f t="shared" ref="E22" si="20">E54+E85</f>
        <v>15212386.193655435</v>
      </c>
      <c r="F22" s="321">
        <f t="shared" ref="F22:P22" si="21">F54+F85</f>
        <v>848244.67366667837</v>
      </c>
      <c r="G22" s="321">
        <f t="shared" si="21"/>
        <v>1077310.6139991567</v>
      </c>
      <c r="H22" s="321">
        <f t="shared" si="21"/>
        <v>1163777.3203964524</v>
      </c>
      <c r="I22" s="321">
        <f t="shared" si="21"/>
        <v>13383439.184559202</v>
      </c>
      <c r="J22" s="321">
        <f t="shared" si="21"/>
        <v>401503.17553677602</v>
      </c>
      <c r="K22" s="321">
        <f t="shared" si="21"/>
        <v>336525687.97289133</v>
      </c>
      <c r="L22" s="321">
        <f t="shared" si="21"/>
        <v>687162.01961691608</v>
      </c>
      <c r="M22" s="321">
        <f t="shared" si="21"/>
        <v>3009897.0551214088</v>
      </c>
      <c r="N22" s="321">
        <f t="shared" si="1"/>
        <v>333515790.91776991</v>
      </c>
      <c r="O22" s="321">
        <f t="shared" si="21"/>
        <v>24832489.973332517</v>
      </c>
      <c r="P22" s="321">
        <f t="shared" si="21"/>
        <v>25244709.306889839</v>
      </c>
      <c r="T22" s="321"/>
      <c r="U22" s="321"/>
      <c r="V22" s="355"/>
      <c r="W22" s="321"/>
      <c r="X22" s="356"/>
      <c r="Y22" s="256"/>
      <c r="Z22" s="321"/>
      <c r="AA22" s="321"/>
      <c r="AB22" s="321"/>
      <c r="AC22" s="321"/>
      <c r="AD22" s="321"/>
      <c r="AE22" s="321"/>
      <c r="AF22" s="321"/>
      <c r="AG22" s="321"/>
      <c r="AH22" s="321"/>
      <c r="AI22" s="321"/>
      <c r="AJ22" s="321"/>
      <c r="AK22" s="321"/>
      <c r="AL22" s="321"/>
      <c r="AM22" s="321"/>
      <c r="AN22" s="321"/>
    </row>
    <row r="23" spans="1:40" ht="13">
      <c r="A23" s="326">
        <f t="shared" si="5"/>
        <v>11</v>
      </c>
      <c r="C23" s="319" t="str">
        <f t="shared" si="2"/>
        <v>November</v>
      </c>
      <c r="D23" s="495">
        <v>2023</v>
      </c>
      <c r="E23" s="321">
        <f t="shared" ref="E23" si="22">E55+E86</f>
        <v>23349993.682855401</v>
      </c>
      <c r="F23" s="321">
        <f t="shared" ref="F23:P23" si="23">F55+F86</f>
        <v>4671836.16286668</v>
      </c>
      <c r="G23" s="321">
        <f t="shared" si="23"/>
        <v>1400861.8139991539</v>
      </c>
      <c r="H23" s="321">
        <f t="shared" si="23"/>
        <v>1435280.6963964493</v>
      </c>
      <c r="I23" s="321">
        <f t="shared" si="23"/>
        <v>16505728.008559166</v>
      </c>
      <c r="J23" s="321">
        <f t="shared" si="23"/>
        <v>495171.84025677497</v>
      </c>
      <c r="K23" s="321">
        <f t="shared" si="23"/>
        <v>360336434.61360621</v>
      </c>
      <c r="L23" s="321">
        <f t="shared" si="23"/>
        <v>720401.62328301102</v>
      </c>
      <c r="M23" s="321">
        <f t="shared" si="23"/>
        <v>3730298.6784044197</v>
      </c>
      <c r="N23" s="321">
        <f t="shared" si="1"/>
        <v>356606135.93520182</v>
      </c>
      <c r="O23" s="321">
        <f t="shared" si="23"/>
        <v>26039669.419665769</v>
      </c>
      <c r="P23" s="321">
        <f t="shared" si="23"/>
        <v>26471927.93203222</v>
      </c>
      <c r="T23" s="321"/>
      <c r="U23" s="321"/>
      <c r="V23" s="355"/>
      <c r="W23" s="321"/>
      <c r="X23" s="356"/>
      <c r="Y23" s="256"/>
      <c r="Z23" s="321"/>
      <c r="AA23" s="321"/>
      <c r="AB23" s="321"/>
      <c r="AC23" s="321"/>
      <c r="AD23" s="321"/>
      <c r="AE23" s="321"/>
      <c r="AF23" s="321"/>
      <c r="AG23" s="321"/>
      <c r="AH23" s="321"/>
      <c r="AI23" s="321"/>
      <c r="AJ23" s="321"/>
      <c r="AK23" s="321"/>
      <c r="AL23" s="321"/>
      <c r="AM23" s="321"/>
      <c r="AN23" s="321"/>
    </row>
    <row r="24" spans="1:40" ht="13">
      <c r="A24" s="326">
        <f t="shared" si="5"/>
        <v>12</v>
      </c>
      <c r="C24" s="319" t="str">
        <f t="shared" si="2"/>
        <v>December</v>
      </c>
      <c r="D24" s="495">
        <v>2023</v>
      </c>
      <c r="E24" s="321">
        <f t="shared" ref="E24" si="24">E56+E87</f>
        <v>173739042.34920466</v>
      </c>
      <c r="F24" s="321">
        <f t="shared" ref="F24:P24" si="25">F56+F87</f>
        <v>103053692.03553849</v>
      </c>
      <c r="G24" s="321">
        <f t="shared" si="25"/>
        <v>5301401.2735249624</v>
      </c>
      <c r="H24" s="321">
        <f t="shared" si="25"/>
        <v>3005465.0056204516</v>
      </c>
      <c r="I24" s="321">
        <f t="shared" si="25"/>
        <v>34562847.564635195</v>
      </c>
      <c r="J24" s="321">
        <f t="shared" si="25"/>
        <v>1036885.4269390558</v>
      </c>
      <c r="K24" s="321">
        <f t="shared" si="25"/>
        <v>537408298.65765452</v>
      </c>
      <c r="L24" s="321">
        <f t="shared" si="25"/>
        <v>771373.36524683191</v>
      </c>
      <c r="M24" s="321">
        <f t="shared" si="25"/>
        <v>4501672.0436512511</v>
      </c>
      <c r="N24" s="321">
        <f t="shared" si="1"/>
        <v>532906626.61400318</v>
      </c>
      <c r="O24" s="321">
        <f t="shared" si="25"/>
        <v>28561538.60759902</v>
      </c>
      <c r="P24" s="321">
        <f t="shared" si="25"/>
        <v>29035660.148485161</v>
      </c>
      <c r="T24" s="321"/>
      <c r="U24" s="321"/>
      <c r="V24" s="355"/>
      <c r="W24" s="321"/>
      <c r="X24" s="356"/>
      <c r="Y24" s="256"/>
      <c r="Z24" s="321"/>
      <c r="AA24" s="321"/>
      <c r="AB24" s="321"/>
      <c r="AC24" s="321"/>
      <c r="AD24" s="321"/>
      <c r="AE24" s="321"/>
      <c r="AF24" s="321"/>
      <c r="AG24" s="321"/>
      <c r="AH24" s="321"/>
      <c r="AI24" s="321"/>
      <c r="AJ24" s="321"/>
      <c r="AK24" s="321"/>
      <c r="AL24" s="321"/>
      <c r="AM24" s="321"/>
      <c r="AN24" s="321"/>
    </row>
    <row r="25" spans="1:40" ht="13">
      <c r="A25" s="326">
        <f t="shared" si="5"/>
        <v>13</v>
      </c>
      <c r="C25" s="319" t="str">
        <f t="shared" si="2"/>
        <v>January</v>
      </c>
      <c r="D25" s="495">
        <v>2024</v>
      </c>
      <c r="E25" s="321">
        <f t="shared" ref="E25" si="26">E57+E88</f>
        <v>16814080.344639897</v>
      </c>
      <c r="F25" s="321">
        <f t="shared" ref="F25:P25" si="27">F57+F88</f>
        <v>0</v>
      </c>
      <c r="G25" s="321">
        <f t="shared" si="27"/>
        <v>1261056.0258479922</v>
      </c>
      <c r="H25" s="321">
        <f t="shared" si="27"/>
        <v>1205812.9096390312</v>
      </c>
      <c r="I25" s="321">
        <f t="shared" si="27"/>
        <v>13866848.460848859</v>
      </c>
      <c r="J25" s="321">
        <f t="shared" si="27"/>
        <v>416005.45382546575</v>
      </c>
      <c r="K25" s="321">
        <f t="shared" si="27"/>
        <v>554693627.57232881</v>
      </c>
      <c r="L25" s="321">
        <f t="shared" si="27"/>
        <v>1150431.6744756857</v>
      </c>
      <c r="M25" s="321">
        <f t="shared" si="27"/>
        <v>5652103.7181269359</v>
      </c>
      <c r="N25" s="321">
        <f t="shared" si="1"/>
        <v>549041523.85420191</v>
      </c>
      <c r="O25" s="321">
        <f t="shared" si="27"/>
        <v>29848090.585522223</v>
      </c>
      <c r="P25" s="321">
        <f t="shared" si="27"/>
        <v>30343568.889241893</v>
      </c>
      <c r="T25" s="321"/>
      <c r="U25" s="321"/>
      <c r="V25" s="355"/>
      <c r="W25" s="321"/>
      <c r="X25" s="356"/>
      <c r="Y25" s="256"/>
      <c r="Z25" s="321"/>
      <c r="AA25" s="321"/>
      <c r="AB25" s="321"/>
      <c r="AC25" s="321"/>
      <c r="AD25" s="321"/>
      <c r="AE25" s="321"/>
      <c r="AF25" s="321"/>
      <c r="AG25" s="321"/>
      <c r="AH25" s="321"/>
      <c r="AI25" s="321"/>
      <c r="AJ25" s="321"/>
      <c r="AK25" s="321"/>
      <c r="AL25" s="321"/>
      <c r="AM25" s="321"/>
      <c r="AN25" s="321"/>
    </row>
    <row r="26" spans="1:40" ht="13">
      <c r="A26" s="326">
        <f t="shared" si="5"/>
        <v>14</v>
      </c>
      <c r="C26" s="319" t="str">
        <f t="shared" si="2"/>
        <v>February</v>
      </c>
      <c r="D26" s="495">
        <v>2024</v>
      </c>
      <c r="E26" s="321">
        <f t="shared" ref="E26" si="28">E58+E89</f>
        <v>24269486.611742914</v>
      </c>
      <c r="F26" s="321">
        <f t="shared" ref="F26:P26" si="29">F58+F89</f>
        <v>1338823.8171029997</v>
      </c>
      <c r="G26" s="321">
        <f t="shared" si="29"/>
        <v>1719799.7095979934</v>
      </c>
      <c r="H26" s="321">
        <f t="shared" si="29"/>
        <v>1323769.0003390326</v>
      </c>
      <c r="I26" s="321">
        <f t="shared" si="29"/>
        <v>15223343.503898874</v>
      </c>
      <c r="J26" s="321">
        <f t="shared" si="29"/>
        <v>456700.30511696619</v>
      </c>
      <c r="K26" s="321">
        <f t="shared" si="29"/>
        <v>579815845.1984477</v>
      </c>
      <c r="L26" s="321">
        <f t="shared" si="29"/>
        <v>1187434.4337126422</v>
      </c>
      <c r="M26" s="321">
        <f t="shared" si="29"/>
        <v>6839538.1518395785</v>
      </c>
      <c r="N26" s="321">
        <f t="shared" si="1"/>
        <v>572976307.04660809</v>
      </c>
      <c r="O26" s="321">
        <f t="shared" si="29"/>
        <v>31134642.563445423</v>
      </c>
      <c r="P26" s="321">
        <f t="shared" si="29"/>
        <v>31651477.629998617</v>
      </c>
      <c r="T26" s="321"/>
      <c r="U26" s="321"/>
      <c r="V26" s="355"/>
      <c r="W26" s="321"/>
      <c r="X26" s="356"/>
      <c r="Y26" s="256"/>
      <c r="Z26" s="321"/>
      <c r="AA26" s="321"/>
      <c r="AB26" s="321"/>
      <c r="AC26" s="321"/>
      <c r="AD26" s="321"/>
      <c r="AE26" s="321"/>
      <c r="AF26" s="321"/>
      <c r="AG26" s="321"/>
      <c r="AH26" s="321"/>
      <c r="AI26" s="321"/>
      <c r="AJ26" s="321"/>
      <c r="AK26" s="321"/>
      <c r="AL26" s="321"/>
      <c r="AM26" s="321"/>
      <c r="AN26" s="321"/>
    </row>
    <row r="27" spans="1:40" ht="13">
      <c r="A27" s="326">
        <f t="shared" si="5"/>
        <v>15</v>
      </c>
      <c r="C27" s="319" t="str">
        <f t="shared" si="2"/>
        <v>March</v>
      </c>
      <c r="D27" s="495">
        <v>2024</v>
      </c>
      <c r="E27" s="321">
        <f t="shared" ref="E27" si="30">E59+E90</f>
        <v>23084332.739639923</v>
      </c>
      <c r="F27" s="321">
        <f t="shared" ref="F27:P27" si="31">F59+F90</f>
        <v>5091553.8950000005</v>
      </c>
      <c r="G27" s="321">
        <f t="shared" si="31"/>
        <v>1349458.413347994</v>
      </c>
      <c r="H27" s="321">
        <f t="shared" si="31"/>
        <v>1285078.9806390333</v>
      </c>
      <c r="I27" s="321">
        <f t="shared" si="31"/>
        <v>14778408.277348883</v>
      </c>
      <c r="J27" s="321">
        <f t="shared" si="31"/>
        <v>443352.24832046649</v>
      </c>
      <c r="K27" s="321">
        <f t="shared" si="31"/>
        <v>603407909.61911702</v>
      </c>
      <c r="L27" s="321">
        <f t="shared" si="31"/>
        <v>1241213.6458356199</v>
      </c>
      <c r="M27" s="321">
        <f t="shared" si="31"/>
        <v>8080751.7976751979</v>
      </c>
      <c r="N27" s="321">
        <f t="shared" si="1"/>
        <v>595327157.82144189</v>
      </c>
      <c r="O27" s="321">
        <f t="shared" si="31"/>
        <v>33571804.416368626</v>
      </c>
      <c r="P27" s="321">
        <f t="shared" si="31"/>
        <v>34129096.369680345</v>
      </c>
      <c r="T27" s="321"/>
      <c r="U27" s="321"/>
      <c r="V27" s="355"/>
      <c r="W27" s="321"/>
      <c r="X27" s="356"/>
      <c r="Y27" s="256"/>
      <c r="Z27" s="321"/>
      <c r="AA27" s="321"/>
      <c r="AB27" s="321"/>
      <c r="AC27" s="321"/>
      <c r="AD27" s="321"/>
      <c r="AE27" s="321"/>
      <c r="AF27" s="321"/>
      <c r="AG27" s="321"/>
      <c r="AH27" s="321"/>
      <c r="AI27" s="321"/>
      <c r="AJ27" s="321"/>
      <c r="AK27" s="321"/>
      <c r="AL27" s="321"/>
      <c r="AM27" s="321"/>
      <c r="AN27" s="321"/>
    </row>
    <row r="28" spans="1:40" ht="13">
      <c r="A28" s="326">
        <f t="shared" si="5"/>
        <v>16</v>
      </c>
      <c r="C28" s="319" t="str">
        <f t="shared" si="2"/>
        <v>April</v>
      </c>
      <c r="D28" s="495">
        <v>2024</v>
      </c>
      <c r="E28" s="321">
        <f t="shared" ref="E28" si="32">E60+E91</f>
        <v>17412510.383839846</v>
      </c>
      <c r="F28" s="321">
        <f t="shared" ref="F28:P28" si="33">F60+F91</f>
        <v>546350.10999999952</v>
      </c>
      <c r="G28" s="321">
        <f t="shared" si="33"/>
        <v>1264962.0205379885</v>
      </c>
      <c r="H28" s="321">
        <f t="shared" si="33"/>
        <v>1351159.7835502268</v>
      </c>
      <c r="I28" s="321">
        <f t="shared" si="33"/>
        <v>15538337.510827607</v>
      </c>
      <c r="J28" s="321">
        <f t="shared" si="33"/>
        <v>466150.1253248282</v>
      </c>
      <c r="K28" s="321">
        <f t="shared" si="33"/>
        <v>621200372.36526942</v>
      </c>
      <c r="L28" s="321">
        <f t="shared" si="33"/>
        <v>1291717.2540672051</v>
      </c>
      <c r="M28" s="321">
        <f t="shared" si="33"/>
        <v>9372469.0517424047</v>
      </c>
      <c r="N28" s="321">
        <f t="shared" si="1"/>
        <v>611827903.31352711</v>
      </c>
      <c r="O28" s="321">
        <f t="shared" si="33"/>
        <v>34858356.394291833</v>
      </c>
      <c r="P28" s="321">
        <f t="shared" si="33"/>
        <v>35437005.11043708</v>
      </c>
      <c r="T28" s="321"/>
      <c r="U28" s="321"/>
      <c r="V28" s="355"/>
      <c r="W28" s="321"/>
      <c r="X28" s="356"/>
      <c r="Y28" s="256"/>
      <c r="Z28" s="321"/>
      <c r="AA28" s="321"/>
      <c r="AB28" s="321"/>
      <c r="AC28" s="321"/>
      <c r="AD28" s="321"/>
      <c r="AE28" s="321"/>
      <c r="AF28" s="321"/>
      <c r="AG28" s="321"/>
      <c r="AH28" s="321"/>
      <c r="AI28" s="321"/>
      <c r="AJ28" s="321"/>
      <c r="AK28" s="321"/>
      <c r="AL28" s="321"/>
      <c r="AM28" s="321"/>
      <c r="AN28" s="321"/>
    </row>
    <row r="29" spans="1:40" ht="13">
      <c r="A29" s="326">
        <f t="shared" si="5"/>
        <v>17</v>
      </c>
      <c r="C29" s="319" t="str">
        <f t="shared" si="2"/>
        <v>May</v>
      </c>
      <c r="D29" s="495">
        <v>2024</v>
      </c>
      <c r="E29" s="321">
        <f t="shared" ref="E29" si="34">E61+E92</f>
        <v>28849109.797807872</v>
      </c>
      <c r="F29" s="321">
        <f t="shared" ref="F29:P29" si="35">F61+F92</f>
        <v>1945458.453168001</v>
      </c>
      <c r="G29" s="321">
        <f t="shared" si="35"/>
        <v>2017773.8508479903</v>
      </c>
      <c r="H29" s="321">
        <f t="shared" si="35"/>
        <v>2062508.015639029</v>
      </c>
      <c r="I29" s="321">
        <f t="shared" si="35"/>
        <v>23718842.179848831</v>
      </c>
      <c r="J29" s="321">
        <f t="shared" si="35"/>
        <v>711565.26539546496</v>
      </c>
      <c r="K29" s="321">
        <f t="shared" si="35"/>
        <v>650716313.26368177</v>
      </c>
      <c r="L29" s="321">
        <f t="shared" si="35"/>
        <v>1329805.6363293142</v>
      </c>
      <c r="M29" s="321">
        <f t="shared" si="35"/>
        <v>10702274.688071718</v>
      </c>
      <c r="N29" s="321">
        <f t="shared" si="1"/>
        <v>640014038.57561004</v>
      </c>
      <c r="O29" s="321">
        <f t="shared" si="35"/>
        <v>36144908.37221504</v>
      </c>
      <c r="P29" s="321">
        <f t="shared" si="35"/>
        <v>36744913.851193808</v>
      </c>
      <c r="T29" s="321"/>
      <c r="U29" s="321"/>
      <c r="V29" s="355"/>
      <c r="W29" s="321"/>
      <c r="X29" s="356"/>
      <c r="Y29" s="256"/>
      <c r="Z29" s="321"/>
      <c r="AA29" s="321"/>
      <c r="AB29" s="321"/>
      <c r="AC29" s="321"/>
      <c r="AD29" s="321"/>
      <c r="AE29" s="321"/>
      <c r="AF29" s="321"/>
      <c r="AG29" s="321"/>
      <c r="AH29" s="321"/>
      <c r="AI29" s="321"/>
      <c r="AJ29" s="321"/>
      <c r="AK29" s="321"/>
      <c r="AL29" s="321"/>
      <c r="AM29" s="321"/>
      <c r="AN29" s="321"/>
    </row>
    <row r="30" spans="1:40" ht="13">
      <c r="A30" s="326">
        <f t="shared" si="5"/>
        <v>18</v>
      </c>
      <c r="C30" s="319" t="str">
        <f t="shared" ref="C30:C33" si="36">C62</f>
        <v xml:space="preserve">June </v>
      </c>
      <c r="D30" s="495">
        <v>2024</v>
      </c>
      <c r="E30" s="321">
        <f t="shared" ref="E30" si="37">E62+E93</f>
        <v>35219108.194639862</v>
      </c>
      <c r="F30" s="321">
        <f t="shared" ref="F30:P30" si="38">F62+F93</f>
        <v>2221059.9099999992</v>
      </c>
      <c r="G30" s="321">
        <f t="shared" si="38"/>
        <v>2474853.6213479894</v>
      </c>
      <c r="H30" s="321">
        <f t="shared" si="38"/>
        <v>2584992.1524790283</v>
      </c>
      <c r="I30" s="321">
        <f t="shared" si="38"/>
        <v>29727409.753508821</v>
      </c>
      <c r="J30" s="321">
        <f t="shared" si="38"/>
        <v>891822.29260526458</v>
      </c>
      <c r="K30" s="321">
        <f t="shared" si="38"/>
        <v>686717105.21979594</v>
      </c>
      <c r="L30" s="321">
        <f t="shared" si="38"/>
        <v>1392990.5060015945</v>
      </c>
      <c r="M30" s="321">
        <f t="shared" si="38"/>
        <v>12095265.194073312</v>
      </c>
      <c r="N30" s="321">
        <f t="shared" si="1"/>
        <v>674621840.0257225</v>
      </c>
      <c r="O30" s="321">
        <f t="shared" si="38"/>
        <v>37431460.350138247</v>
      </c>
      <c r="P30" s="321">
        <f t="shared" si="38"/>
        <v>38052822.591950543</v>
      </c>
      <c r="T30" s="321"/>
      <c r="U30" s="321"/>
      <c r="V30" s="355"/>
      <c r="W30" s="321"/>
      <c r="X30" s="356"/>
      <c r="Y30" s="256"/>
      <c r="Z30" s="321"/>
      <c r="AA30" s="321"/>
      <c r="AB30" s="321"/>
      <c r="AC30" s="321"/>
      <c r="AD30" s="321"/>
      <c r="AE30" s="321"/>
      <c r="AF30" s="321"/>
      <c r="AG30" s="321"/>
      <c r="AH30" s="321"/>
      <c r="AI30" s="321"/>
      <c r="AJ30" s="321"/>
      <c r="AK30" s="321"/>
      <c r="AL30" s="321"/>
      <c r="AM30" s="321"/>
      <c r="AN30" s="321"/>
    </row>
    <row r="31" spans="1:40" ht="13">
      <c r="A31" s="326">
        <f t="shared" si="5"/>
        <v>19</v>
      </c>
      <c r="C31" s="319" t="str">
        <f t="shared" si="36"/>
        <v>July</v>
      </c>
      <c r="D31" s="495">
        <v>2024</v>
      </c>
      <c r="E31" s="321">
        <f t="shared" ref="E31" si="39">E63+E94</f>
        <v>30303723.004639924</v>
      </c>
      <c r="F31" s="321">
        <f t="shared" ref="F31:P31" si="40">F63+F94</f>
        <v>1653642.6600000006</v>
      </c>
      <c r="G31" s="321">
        <f t="shared" si="40"/>
        <v>2148756.0258479943</v>
      </c>
      <c r="H31" s="321">
        <f t="shared" si="40"/>
        <v>2233168.9096390335</v>
      </c>
      <c r="I31" s="321">
        <f t="shared" si="40"/>
        <v>25681442.460848883</v>
      </c>
      <c r="J31" s="321">
        <f t="shared" si="40"/>
        <v>770443.2738254664</v>
      </c>
      <c r="K31" s="321">
        <f t="shared" si="40"/>
        <v>717706858.61447024</v>
      </c>
      <c r="L31" s="321">
        <f t="shared" si="40"/>
        <v>1470057.5172032707</v>
      </c>
      <c r="M31" s="321">
        <f t="shared" si="40"/>
        <v>13565322.711276583</v>
      </c>
      <c r="N31" s="321">
        <f t="shared" si="1"/>
        <v>704141535.90319371</v>
      </c>
      <c r="O31" s="321">
        <f t="shared" si="40"/>
        <v>38718012.328061447</v>
      </c>
      <c r="P31" s="321">
        <f t="shared" si="40"/>
        <v>39360731.332707264</v>
      </c>
      <c r="T31" s="321"/>
      <c r="U31" s="321"/>
      <c r="V31" s="355"/>
      <c r="W31" s="321"/>
      <c r="X31" s="356"/>
      <c r="Y31" s="256"/>
      <c r="Z31" s="321"/>
      <c r="AA31" s="321"/>
      <c r="AB31" s="321"/>
      <c r="AC31" s="321"/>
      <c r="AD31" s="321"/>
      <c r="AE31" s="321"/>
      <c r="AF31" s="321"/>
      <c r="AG31" s="321"/>
      <c r="AH31" s="321"/>
      <c r="AI31" s="321"/>
      <c r="AJ31" s="321"/>
      <c r="AK31" s="321"/>
      <c r="AL31" s="321"/>
      <c r="AM31" s="321"/>
      <c r="AN31" s="321"/>
    </row>
    <row r="32" spans="1:40" ht="13">
      <c r="A32" s="326">
        <f t="shared" si="5"/>
        <v>20</v>
      </c>
      <c r="C32" s="319" t="str">
        <f t="shared" si="36"/>
        <v>August</v>
      </c>
      <c r="D32" s="495">
        <v>2024</v>
      </c>
      <c r="E32" s="321">
        <f t="shared" ref="E32" si="41">E64+E95</f>
        <v>22013241.686639905</v>
      </c>
      <c r="F32" s="321">
        <f t="shared" ref="F32:P32" si="42">F64+F95</f>
        <v>308552.54200000007</v>
      </c>
      <c r="G32" s="321">
        <f t="shared" si="42"/>
        <v>1627851.6858479928</v>
      </c>
      <c r="H32" s="321">
        <f t="shared" si="42"/>
        <v>1686003.266439032</v>
      </c>
      <c r="I32" s="321">
        <f t="shared" si="42"/>
        <v>19389037.564048868</v>
      </c>
      <c r="J32" s="321">
        <f t="shared" si="42"/>
        <v>581671.12692146597</v>
      </c>
      <c r="K32" s="321">
        <f t="shared" si="42"/>
        <v>740243619.8474406</v>
      </c>
      <c r="L32" s="321">
        <f t="shared" si="42"/>
        <v>1536397.3820294647</v>
      </c>
      <c r="M32" s="321">
        <f t="shared" si="42"/>
        <v>15101720.09330605</v>
      </c>
      <c r="N32" s="321">
        <f t="shared" si="1"/>
        <v>725141899.75413465</v>
      </c>
      <c r="O32" s="321">
        <f t="shared" si="42"/>
        <v>40004564.305984654</v>
      </c>
      <c r="P32" s="321">
        <f t="shared" si="42"/>
        <v>40668640.073464006</v>
      </c>
      <c r="T32" s="321"/>
      <c r="U32" s="321"/>
      <c r="V32" s="355"/>
      <c r="W32" s="321"/>
      <c r="X32" s="356"/>
      <c r="Y32" s="256"/>
      <c r="Z32" s="321"/>
      <c r="AA32" s="321"/>
      <c r="AB32" s="321"/>
      <c r="AC32" s="321"/>
      <c r="AD32" s="321"/>
      <c r="AE32" s="321"/>
      <c r="AF32" s="321"/>
      <c r="AG32" s="321"/>
      <c r="AH32" s="321"/>
      <c r="AI32" s="321"/>
      <c r="AJ32" s="321"/>
      <c r="AK32" s="321"/>
      <c r="AL32" s="321"/>
      <c r="AM32" s="321"/>
      <c r="AN32" s="321"/>
    </row>
    <row r="33" spans="1:40" ht="13">
      <c r="A33" s="326">
        <f t="shared" si="5"/>
        <v>21</v>
      </c>
      <c r="C33" s="319" t="str">
        <f t="shared" si="36"/>
        <v>September</v>
      </c>
      <c r="D33" s="495">
        <v>2024</v>
      </c>
      <c r="E33" s="321">
        <f t="shared" ref="E33" si="43">E65+E96</f>
        <v>41490073.774639845</v>
      </c>
      <c r="F33" s="321">
        <f t="shared" ref="F33:P33" si="44">F65+F96</f>
        <v>11346926.43</v>
      </c>
      <c r="G33" s="321">
        <f t="shared" si="44"/>
        <v>2260736.0508479881</v>
      </c>
      <c r="H33" s="321">
        <f t="shared" si="44"/>
        <v>2411710.6716390266</v>
      </c>
      <c r="I33" s="321">
        <f t="shared" si="44"/>
        <v>27734672.723848809</v>
      </c>
      <c r="J33" s="321">
        <f t="shared" si="44"/>
        <v>832040.18171546422</v>
      </c>
      <c r="K33" s="321">
        <f t="shared" si="44"/>
        <v>782414759.18300486</v>
      </c>
      <c r="L33" s="321">
        <f t="shared" si="44"/>
        <v>1584641.8993308642</v>
      </c>
      <c r="M33" s="321">
        <f t="shared" si="44"/>
        <v>16686361.992636913</v>
      </c>
      <c r="N33" s="321">
        <f t="shared" si="1"/>
        <v>765728397.19036794</v>
      </c>
      <c r="O33" s="321">
        <f t="shared" si="44"/>
        <v>41291116.283907861</v>
      </c>
      <c r="P33" s="321">
        <f t="shared" si="44"/>
        <v>41976548.814220734</v>
      </c>
      <c r="T33" s="321"/>
      <c r="U33" s="321"/>
      <c r="V33" s="355"/>
      <c r="W33" s="321"/>
      <c r="X33" s="356"/>
      <c r="Y33" s="256"/>
      <c r="Z33" s="321"/>
      <c r="AA33" s="321"/>
      <c r="AB33" s="321"/>
      <c r="AC33" s="321"/>
      <c r="AD33" s="321"/>
      <c r="AE33" s="321"/>
      <c r="AF33" s="321"/>
      <c r="AG33" s="321"/>
      <c r="AH33" s="321"/>
      <c r="AI33" s="321"/>
      <c r="AJ33" s="321"/>
      <c r="AK33" s="321"/>
      <c r="AL33" s="321"/>
      <c r="AM33" s="321"/>
      <c r="AN33" s="321"/>
    </row>
    <row r="34" spans="1:40" ht="13">
      <c r="A34" s="326">
        <f t="shared" si="5"/>
        <v>22</v>
      </c>
      <c r="C34" s="319" t="str">
        <f t="shared" ref="C34" si="45">C66</f>
        <v>October</v>
      </c>
      <c r="D34" s="495">
        <v>2024</v>
      </c>
      <c r="E34" s="321">
        <f t="shared" ref="E34" si="46">E66+E97</f>
        <v>16361984.924639881</v>
      </c>
      <c r="F34" s="321">
        <f t="shared" ref="F34:P34" si="47">F66+F97</f>
        <v>3722.5799999999995</v>
      </c>
      <c r="G34" s="321">
        <f t="shared" si="47"/>
        <v>1226869.6758479909</v>
      </c>
      <c r="H34" s="321">
        <f t="shared" si="47"/>
        <v>1226210.5616390298</v>
      </c>
      <c r="I34" s="321">
        <f t="shared" si="47"/>
        <v>14101421.458848841</v>
      </c>
      <c r="J34" s="321">
        <f t="shared" si="47"/>
        <v>423042.64376546524</v>
      </c>
      <c r="K34" s="321">
        <f t="shared" si="47"/>
        <v>799200445.86561918</v>
      </c>
      <c r="L34" s="321">
        <f t="shared" si="47"/>
        <v>1674917.7930257367</v>
      </c>
      <c r="M34" s="321">
        <f t="shared" si="47"/>
        <v>18361279.785662651</v>
      </c>
      <c r="N34" s="321">
        <f t="shared" si="1"/>
        <v>780839166.07995653</v>
      </c>
      <c r="O34" s="321">
        <f t="shared" si="47"/>
        <v>42577668.261831068</v>
      </c>
      <c r="P34" s="321">
        <f t="shared" si="47"/>
        <v>43284457.554977462</v>
      </c>
      <c r="T34" s="321"/>
      <c r="U34" s="321"/>
      <c r="V34" s="355"/>
      <c r="W34" s="321"/>
      <c r="X34" s="356"/>
      <c r="Y34" s="256"/>
      <c r="Z34" s="321"/>
      <c r="AA34" s="321"/>
      <c r="AB34" s="321"/>
      <c r="AC34" s="321"/>
      <c r="AD34" s="321"/>
      <c r="AE34" s="321"/>
      <c r="AF34" s="321"/>
      <c r="AG34" s="321"/>
      <c r="AH34" s="321"/>
      <c r="AI34" s="321"/>
      <c r="AJ34" s="321"/>
      <c r="AK34" s="321"/>
      <c r="AL34" s="321"/>
      <c r="AM34" s="321"/>
      <c r="AN34" s="321"/>
    </row>
    <row r="35" spans="1:40" ht="13">
      <c r="A35" s="326">
        <f t="shared" si="5"/>
        <v>23</v>
      </c>
      <c r="C35" s="319" t="str">
        <f t="shared" ref="C35" si="48">C67</f>
        <v>November</v>
      </c>
      <c r="D35" s="495">
        <v>2024</v>
      </c>
      <c r="E35" s="321">
        <f t="shared" ref="E35" si="49">E67+E98</f>
        <v>21160601.214639902</v>
      </c>
      <c r="F35" s="321">
        <f t="shared" ref="F35:P35" si="50">F67+F98</f>
        <v>1587595.87</v>
      </c>
      <c r="G35" s="321">
        <f t="shared" si="50"/>
        <v>1467975.4008479926</v>
      </c>
      <c r="H35" s="321">
        <f t="shared" si="50"/>
        <v>1502678.4596390317</v>
      </c>
      <c r="I35" s="321">
        <f t="shared" si="50"/>
        <v>17280802.285848863</v>
      </c>
      <c r="J35" s="321">
        <f t="shared" si="50"/>
        <v>518424.06857546588</v>
      </c>
      <c r="K35" s="321">
        <f t="shared" si="50"/>
        <v>820844768.09004354</v>
      </c>
      <c r="L35" s="321">
        <f t="shared" si="50"/>
        <v>1710850.9665285256</v>
      </c>
      <c r="M35" s="321">
        <f t="shared" si="50"/>
        <v>20072130.752191179</v>
      </c>
      <c r="N35" s="321">
        <f t="shared" si="1"/>
        <v>800772637.33785224</v>
      </c>
      <c r="O35" s="321">
        <f t="shared" si="50"/>
        <v>43864220.239754274</v>
      </c>
      <c r="P35" s="321">
        <f t="shared" si="50"/>
        <v>44592366.295734204</v>
      </c>
      <c r="T35" s="321"/>
      <c r="U35" s="321"/>
      <c r="V35" s="355"/>
      <c r="W35" s="321"/>
      <c r="X35" s="356"/>
      <c r="Y35" s="256"/>
      <c r="Z35" s="321"/>
      <c r="AA35" s="321"/>
      <c r="AB35" s="321"/>
      <c r="AC35" s="321"/>
      <c r="AD35" s="321"/>
      <c r="AE35" s="321"/>
      <c r="AF35" s="321"/>
      <c r="AG35" s="321"/>
      <c r="AH35" s="321"/>
      <c r="AI35" s="321"/>
      <c r="AJ35" s="321"/>
      <c r="AK35" s="321"/>
      <c r="AL35" s="321"/>
      <c r="AM35" s="321"/>
      <c r="AN35" s="321"/>
    </row>
    <row r="36" spans="1:40" ht="13">
      <c r="A36" s="326">
        <f t="shared" si="5"/>
        <v>24</v>
      </c>
      <c r="C36" s="319" t="str">
        <f t="shared" ref="C36" si="51">C68</f>
        <v>December</v>
      </c>
      <c r="D36" s="495">
        <v>2024</v>
      </c>
      <c r="E36" s="321">
        <f t="shared" ref="E36" si="52">E68+E99</f>
        <v>64027461.614639878</v>
      </c>
      <c r="F36" s="321">
        <f t="shared" ref="F36:P36" si="53">F68+F99</f>
        <v>16418115.269999988</v>
      </c>
      <c r="G36" s="321">
        <f t="shared" si="53"/>
        <v>3570700.9758479916</v>
      </c>
      <c r="H36" s="321">
        <f t="shared" si="53"/>
        <v>3570370.7836390305</v>
      </c>
      <c r="I36" s="321">
        <f t="shared" si="53"/>
        <v>41059264.011848852</v>
      </c>
      <c r="J36" s="321">
        <f t="shared" si="53"/>
        <v>1231777.9203554655</v>
      </c>
      <c r="K36" s="357">
        <f t="shared" si="53"/>
        <v>886104337.81724775</v>
      </c>
      <c r="L36" s="321">
        <f t="shared" si="53"/>
        <v>1757185.0367721971</v>
      </c>
      <c r="M36" s="321">
        <f t="shared" si="53"/>
        <v>21829315.788963374</v>
      </c>
      <c r="N36" s="357">
        <f t="shared" si="1"/>
        <v>864275022.02828443</v>
      </c>
      <c r="O36" s="321">
        <f t="shared" si="53"/>
        <v>45150772.217677474</v>
      </c>
      <c r="P36" s="357">
        <f t="shared" si="53"/>
        <v>45900275.036490925</v>
      </c>
      <c r="T36" s="321"/>
      <c r="U36" s="321"/>
      <c r="V36" s="355"/>
      <c r="W36" s="321"/>
      <c r="X36" s="356"/>
      <c r="Y36" s="256"/>
      <c r="Z36" s="321"/>
      <c r="AA36" s="321"/>
      <c r="AB36" s="321"/>
      <c r="AC36" s="321"/>
      <c r="AD36" s="321"/>
      <c r="AE36" s="321"/>
      <c r="AF36" s="321"/>
      <c r="AG36" s="321"/>
      <c r="AH36" s="321"/>
      <c r="AI36" s="321"/>
      <c r="AJ36" s="321"/>
      <c r="AK36" s="321"/>
      <c r="AL36" s="321"/>
      <c r="AM36" s="321"/>
      <c r="AN36" s="321"/>
    </row>
    <row r="37" spans="1:40" s="323" customFormat="1" ht="13">
      <c r="A37" s="326">
        <f t="shared" si="5"/>
        <v>25</v>
      </c>
      <c r="D37" s="328" t="s">
        <v>997</v>
      </c>
      <c r="K37" s="371">
        <f>AVERAGE(K24:K36)</f>
        <v>690805712.40877867</v>
      </c>
      <c r="M37" s="371"/>
      <c r="N37" s="371">
        <f>AVERAGE(N24:N36)</f>
        <v>678278004.27268493</v>
      </c>
      <c r="O37" s="371"/>
      <c r="P37" s="371">
        <f>AVERAGE(P24:P36)</f>
        <v>37782889.515275545</v>
      </c>
      <c r="Q37" s="372"/>
    </row>
    <row r="38" spans="1:40" ht="13">
      <c r="A38" s="326"/>
      <c r="T38" s="321"/>
      <c r="U38" s="321"/>
      <c r="Z38" s="321"/>
    </row>
    <row r="39" spans="1:40" ht="13">
      <c r="A39" s="326"/>
      <c r="B39" s="323" t="s">
        <v>1327</v>
      </c>
      <c r="G39" s="326"/>
      <c r="K39" s="256"/>
      <c r="M39" s="256"/>
      <c r="N39" s="256"/>
      <c r="O39" s="256"/>
      <c r="P39" s="256"/>
    </row>
    <row r="40" spans="1:40" ht="13">
      <c r="A40" s="326"/>
      <c r="B40" s="323"/>
      <c r="E40" s="344" t="s">
        <v>336</v>
      </c>
      <c r="F40" s="344" t="s">
        <v>337</v>
      </c>
      <c r="G40" s="344" t="s">
        <v>338</v>
      </c>
      <c r="H40" s="344" t="s">
        <v>339</v>
      </c>
      <c r="I40" s="344" t="s">
        <v>340</v>
      </c>
      <c r="J40" s="344" t="s">
        <v>341</v>
      </c>
      <c r="K40" s="373" t="s">
        <v>342</v>
      </c>
      <c r="L40" s="344" t="s">
        <v>343</v>
      </c>
      <c r="M40" s="373" t="s">
        <v>344</v>
      </c>
      <c r="N40" s="373" t="s">
        <v>589</v>
      </c>
      <c r="O40" s="373" t="s">
        <v>590</v>
      </c>
      <c r="P40" s="373" t="s">
        <v>591</v>
      </c>
    </row>
    <row r="41" spans="1:40" ht="25.5">
      <c r="A41" s="326"/>
      <c r="B41" s="323"/>
      <c r="E41" s="650" t="s">
        <v>1328</v>
      </c>
      <c r="F41" s="650" t="s">
        <v>1329</v>
      </c>
      <c r="G41" s="650" t="s">
        <v>1330</v>
      </c>
      <c r="H41" s="651" t="s">
        <v>445</v>
      </c>
      <c r="I41" s="651" t="s">
        <v>445</v>
      </c>
      <c r="J41" s="353" t="s">
        <v>445</v>
      </c>
      <c r="K41" s="648" t="s">
        <v>1331</v>
      </c>
      <c r="L41" s="648" t="s">
        <v>1332</v>
      </c>
      <c r="M41" s="649" t="s">
        <v>1333</v>
      </c>
      <c r="N41" s="652" t="s">
        <v>1334</v>
      </c>
      <c r="O41" s="652"/>
      <c r="P41" s="649" t="s">
        <v>1335</v>
      </c>
    </row>
    <row r="42" spans="1:40" ht="13">
      <c r="A42" s="326"/>
      <c r="C42" s="326" t="str">
        <f>C10</f>
        <v>Forecast</v>
      </c>
      <c r="E42" s="326" t="str">
        <f>E10</f>
        <v>Unloaded</v>
      </c>
      <c r="F42" s="326"/>
      <c r="G42" s="326"/>
      <c r="I42" s="326" t="str">
        <f>I10</f>
        <v>AFUDC</v>
      </c>
      <c r="J42" s="326"/>
      <c r="K42" s="326"/>
      <c r="L42" s="326"/>
      <c r="M42" s="326"/>
      <c r="N42" s="326"/>
      <c r="O42" s="326" t="str">
        <f t="shared" ref="O42:P44" si="54">O10</f>
        <v>Unloaded</v>
      </c>
      <c r="P42" s="326" t="str">
        <f t="shared" si="54"/>
        <v>Loaded</v>
      </c>
    </row>
    <row r="43" spans="1:40" ht="13">
      <c r="A43" s="326"/>
      <c r="B43" s="323"/>
      <c r="C43" s="326" t="str">
        <f>C11</f>
        <v>Period</v>
      </c>
      <c r="E43" s="326" t="str">
        <f>E11</f>
        <v>Total</v>
      </c>
      <c r="F43" s="326" t="str">
        <f t="shared" ref="F43:H44" si="55">F11</f>
        <v>Prior Period</v>
      </c>
      <c r="G43" s="326" t="str">
        <f t="shared" si="55"/>
        <v>Over Heads</v>
      </c>
      <c r="H43" s="326" t="str">
        <f t="shared" si="55"/>
        <v xml:space="preserve">Cost of </v>
      </c>
      <c r="I43" s="326" t="str">
        <f>I11</f>
        <v>Eligible Plant</v>
      </c>
      <c r="J43" s="326"/>
      <c r="K43" s="326" t="str">
        <f>K11</f>
        <v>Incremental</v>
      </c>
      <c r="L43" s="326" t="str">
        <f>L11</f>
        <v>Depreciation</v>
      </c>
      <c r="M43" s="326"/>
      <c r="N43" s="326"/>
      <c r="O43" s="326" t="str">
        <f t="shared" si="54"/>
        <v>Low Voltage</v>
      </c>
      <c r="P43" s="326" t="str">
        <f t="shared" si="54"/>
        <v>Low Voltage</v>
      </c>
    </row>
    <row r="44" spans="1:40" ht="13">
      <c r="A44" s="354" t="s">
        <v>273</v>
      </c>
      <c r="C44" s="344" t="str">
        <f t="shared" ref="C44:D44" si="56">C12</f>
        <v>Month</v>
      </c>
      <c r="D44" s="344" t="str">
        <f t="shared" si="56"/>
        <v>Year</v>
      </c>
      <c r="E44" s="344" t="str">
        <f>E12</f>
        <v>Plant Adds</v>
      </c>
      <c r="F44" s="344" t="str">
        <f t="shared" si="55"/>
        <v>CWIP Closed</v>
      </c>
      <c r="G44" s="344" t="str">
        <f t="shared" si="55"/>
        <v>Closed to PIS</v>
      </c>
      <c r="H44" s="344" t="str">
        <f t="shared" si="55"/>
        <v>Removal</v>
      </c>
      <c r="I44" s="344" t="str">
        <f>I12</f>
        <v>Additions</v>
      </c>
      <c r="J44" s="344" t="str">
        <f>J12</f>
        <v>AFUDC</v>
      </c>
      <c r="K44" s="344" t="str">
        <f>K12</f>
        <v>Gross Plant</v>
      </c>
      <c r="L44" s="344" t="str">
        <f>L12</f>
        <v>Accrual</v>
      </c>
      <c r="M44" s="344" t="str">
        <f>M12</f>
        <v>Reserve</v>
      </c>
      <c r="N44" s="344" t="str">
        <f>N12</f>
        <v>Net Plant</v>
      </c>
      <c r="O44" s="344" t="str">
        <f t="shared" si="54"/>
        <v>Additions</v>
      </c>
      <c r="P44" s="344" t="str">
        <f t="shared" si="54"/>
        <v>Additions</v>
      </c>
      <c r="T44" s="344"/>
      <c r="U44" s="344"/>
      <c r="V44" s="344"/>
      <c r="W44" s="344"/>
      <c r="X44" s="344"/>
      <c r="Y44" s="344"/>
    </row>
    <row r="45" spans="1:40" ht="13">
      <c r="A45" s="326">
        <f>A37+1</f>
        <v>26</v>
      </c>
      <c r="C45" s="345" t="s">
        <v>381</v>
      </c>
      <c r="D45" s="495">
        <v>2023</v>
      </c>
      <c r="E45" s="360">
        <f>'10-CWIP'!G55</f>
        <v>5057408.9999999991</v>
      </c>
      <c r="F45" s="360">
        <f>'10-CWIP'!H55</f>
        <v>0</v>
      </c>
      <c r="G45" s="360">
        <f>'10-CWIP'!I55</f>
        <v>379305.67499999993</v>
      </c>
      <c r="H45" s="374">
        <v>0</v>
      </c>
      <c r="I45" s="321">
        <v>0</v>
      </c>
      <c r="J45" s="375">
        <v>0</v>
      </c>
      <c r="K45" s="321">
        <f>0+E45+G45</f>
        <v>5436714.6749999989</v>
      </c>
      <c r="L45" s="321">
        <v>0</v>
      </c>
      <c r="M45" s="321">
        <f>L45- H45</f>
        <v>0</v>
      </c>
      <c r="N45" s="321">
        <f>K45-M45</f>
        <v>5436714.6749999989</v>
      </c>
      <c r="O45" s="376">
        <v>0</v>
      </c>
      <c r="P45" s="375">
        <f t="shared" ref="P45:P68" si="57">O45*(1-$E$107)*(1+$E$103+$E$111)</f>
        <v>0</v>
      </c>
      <c r="S45" s="321"/>
      <c r="T45" s="359"/>
      <c r="U45" s="356"/>
      <c r="V45" s="256"/>
      <c r="W45" s="359"/>
      <c r="X45" s="356"/>
      <c r="Y45" s="256"/>
    </row>
    <row r="46" spans="1:40" ht="13">
      <c r="A46" s="326">
        <f t="shared" ref="A46:A99" si="58">A45+1</f>
        <v>27</v>
      </c>
      <c r="C46" s="345" t="s">
        <v>382</v>
      </c>
      <c r="D46" s="495">
        <v>2023</v>
      </c>
      <c r="E46" s="360">
        <f>'10-CWIP'!G56</f>
        <v>1952396.0000000002</v>
      </c>
      <c r="F46" s="360">
        <f>'10-CWIP'!H56</f>
        <v>0</v>
      </c>
      <c r="G46" s="360">
        <f>'10-CWIP'!I56</f>
        <v>146429.70000000001</v>
      </c>
      <c r="H46" s="374">
        <v>0</v>
      </c>
      <c r="I46" s="321">
        <v>0</v>
      </c>
      <c r="J46" s="375">
        <v>0</v>
      </c>
      <c r="K46" s="321">
        <f>K45+E46+G46</f>
        <v>7535540.3749999991</v>
      </c>
      <c r="L46" s="321">
        <f t="shared" ref="L46:L68" si="59">K45*$E$133/12</f>
        <v>11638.392601732286</v>
      </c>
      <c r="M46" s="321">
        <f>(M45+L46)-H46</f>
        <v>11638.392601732286</v>
      </c>
      <c r="N46" s="321">
        <f t="shared" ref="N46:N68" si="60">K46-M46</f>
        <v>7523901.9823982669</v>
      </c>
      <c r="O46" s="376">
        <v>0</v>
      </c>
      <c r="P46" s="375">
        <f t="shared" si="57"/>
        <v>0</v>
      </c>
      <c r="S46" s="321"/>
      <c r="T46" s="359"/>
      <c r="U46" s="356"/>
      <c r="V46" s="256"/>
      <c r="W46" s="359"/>
      <c r="X46" s="356"/>
      <c r="Y46" s="256"/>
    </row>
    <row r="47" spans="1:40" ht="13">
      <c r="A47" s="326">
        <f t="shared" si="58"/>
        <v>28</v>
      </c>
      <c r="C47" s="345" t="s">
        <v>383</v>
      </c>
      <c r="D47" s="495">
        <v>2023</v>
      </c>
      <c r="E47" s="360">
        <f>'10-CWIP'!G57</f>
        <v>1516783</v>
      </c>
      <c r="F47" s="360">
        <f>'10-CWIP'!H57</f>
        <v>0</v>
      </c>
      <c r="G47" s="360">
        <f>'10-CWIP'!I57</f>
        <v>113758.72500000001</v>
      </c>
      <c r="H47" s="374">
        <v>0</v>
      </c>
      <c r="I47" s="321">
        <v>0</v>
      </c>
      <c r="J47" s="375">
        <v>0</v>
      </c>
      <c r="K47" s="321">
        <f t="shared" ref="K47:K68" si="61">K46+E47+G47</f>
        <v>9166082.0999999996</v>
      </c>
      <c r="L47" s="321">
        <f t="shared" si="59"/>
        <v>16131.355532365684</v>
      </c>
      <c r="M47" s="321">
        <f>(M46+L47)-H47</f>
        <v>27769.748134097972</v>
      </c>
      <c r="N47" s="321">
        <f t="shared" si="60"/>
        <v>9138312.3518659025</v>
      </c>
      <c r="O47" s="376">
        <v>0</v>
      </c>
      <c r="P47" s="375">
        <f t="shared" si="57"/>
        <v>0</v>
      </c>
      <c r="S47" s="321"/>
      <c r="T47" s="359"/>
      <c r="U47" s="356"/>
      <c r="V47" s="256"/>
      <c r="W47" s="359"/>
      <c r="X47" s="356"/>
      <c r="Y47" s="256"/>
    </row>
    <row r="48" spans="1:40" ht="13">
      <c r="A48" s="326">
        <f t="shared" si="58"/>
        <v>29</v>
      </c>
      <c r="C48" s="345" t="s">
        <v>384</v>
      </c>
      <c r="D48" s="495">
        <v>2023</v>
      </c>
      <c r="E48" s="360">
        <f>'10-CWIP'!G58</f>
        <v>1314311</v>
      </c>
      <c r="F48" s="360">
        <f>'10-CWIP'!H58</f>
        <v>0</v>
      </c>
      <c r="G48" s="360">
        <f>'10-CWIP'!I58</f>
        <v>98573.324999999997</v>
      </c>
      <c r="H48" s="374">
        <v>0</v>
      </c>
      <c r="I48" s="321">
        <v>0</v>
      </c>
      <c r="J48" s="375">
        <v>0</v>
      </c>
      <c r="K48" s="321">
        <f t="shared" si="61"/>
        <v>10578966.424999999</v>
      </c>
      <c r="L48" s="321">
        <f t="shared" si="59"/>
        <v>19621.861450639906</v>
      </c>
      <c r="M48" s="321">
        <f t="shared" ref="M48:M67" si="62">(M47+L48)-H48</f>
        <v>47391.609584737875</v>
      </c>
      <c r="N48" s="321">
        <f t="shared" si="60"/>
        <v>10531574.815415261</v>
      </c>
      <c r="O48" s="376">
        <v>0</v>
      </c>
      <c r="P48" s="375">
        <f t="shared" si="57"/>
        <v>0</v>
      </c>
      <c r="S48" s="321"/>
      <c r="T48" s="359"/>
      <c r="U48" s="356"/>
      <c r="V48" s="256"/>
      <c r="W48" s="359"/>
      <c r="X48" s="356"/>
      <c r="Y48" s="256"/>
    </row>
    <row r="49" spans="1:25" ht="13">
      <c r="A49" s="326">
        <f t="shared" si="58"/>
        <v>30</v>
      </c>
      <c r="C49" s="345" t="s">
        <v>385</v>
      </c>
      <c r="D49" s="495">
        <v>2023</v>
      </c>
      <c r="E49" s="360">
        <f>'10-CWIP'!G59</f>
        <v>1706349</v>
      </c>
      <c r="F49" s="360">
        <f>'10-CWIP'!H59</f>
        <v>0</v>
      </c>
      <c r="G49" s="360">
        <f>'10-CWIP'!I59</f>
        <v>127976.175</v>
      </c>
      <c r="H49" s="374">
        <v>0</v>
      </c>
      <c r="I49" s="321">
        <v>0</v>
      </c>
      <c r="J49" s="375">
        <v>0</v>
      </c>
      <c r="K49" s="321">
        <f t="shared" si="61"/>
        <v>12413291.6</v>
      </c>
      <c r="L49" s="321">
        <f t="shared" si="59"/>
        <v>22646.427472248077</v>
      </c>
      <c r="M49" s="321">
        <f t="shared" si="62"/>
        <v>70038.037056985951</v>
      </c>
      <c r="N49" s="321">
        <f t="shared" si="60"/>
        <v>12343253.562943013</v>
      </c>
      <c r="O49" s="376">
        <v>0</v>
      </c>
      <c r="P49" s="375">
        <f t="shared" si="57"/>
        <v>0</v>
      </c>
      <c r="S49" s="321"/>
      <c r="T49" s="359"/>
      <c r="U49" s="356"/>
      <c r="V49" s="256"/>
      <c r="W49" s="359"/>
      <c r="X49" s="356"/>
      <c r="Y49" s="256"/>
    </row>
    <row r="50" spans="1:25" ht="13">
      <c r="A50" s="326">
        <f t="shared" si="58"/>
        <v>31</v>
      </c>
      <c r="C50" s="345" t="s">
        <v>386</v>
      </c>
      <c r="D50" s="495">
        <v>2023</v>
      </c>
      <c r="E50" s="360">
        <f>'10-CWIP'!G60</f>
        <v>141195738.41999999</v>
      </c>
      <c r="F50" s="360">
        <f>'10-CWIP'!H60</f>
        <v>130664573.42000002</v>
      </c>
      <c r="G50" s="360">
        <f>'10-CWIP'!I60</f>
        <v>789837.37499999779</v>
      </c>
      <c r="H50" s="374">
        <v>0</v>
      </c>
      <c r="I50" s="321">
        <v>0</v>
      </c>
      <c r="J50" s="375">
        <v>0</v>
      </c>
      <c r="K50" s="321">
        <f t="shared" si="61"/>
        <v>154398867.39499998</v>
      </c>
      <c r="L50" s="321">
        <f t="shared" si="59"/>
        <v>26573.173277772861</v>
      </c>
      <c r="M50" s="321">
        <f t="shared" si="62"/>
        <v>96611.210334758813</v>
      </c>
      <c r="N50" s="321">
        <f t="shared" si="60"/>
        <v>154302256.18466523</v>
      </c>
      <c r="O50" s="376">
        <v>0</v>
      </c>
      <c r="P50" s="375">
        <f t="shared" si="57"/>
        <v>0</v>
      </c>
      <c r="S50" s="321"/>
      <c r="T50" s="359"/>
      <c r="U50" s="356"/>
      <c r="V50" s="256"/>
      <c r="W50" s="359"/>
      <c r="X50" s="356"/>
      <c r="Y50" s="256"/>
    </row>
    <row r="51" spans="1:25" ht="13">
      <c r="A51" s="326">
        <f t="shared" si="58"/>
        <v>32</v>
      </c>
      <c r="C51" s="345" t="s">
        <v>387</v>
      </c>
      <c r="D51" s="495">
        <v>2023</v>
      </c>
      <c r="E51" s="360">
        <f>'10-CWIP'!G61</f>
        <v>3668172.9999999995</v>
      </c>
      <c r="F51" s="360">
        <f>'10-CWIP'!H61</f>
        <v>0</v>
      </c>
      <c r="G51" s="360">
        <f>'10-CWIP'!I61</f>
        <v>275112.97499999992</v>
      </c>
      <c r="H51" s="374">
        <v>0</v>
      </c>
      <c r="I51" s="321">
        <v>0</v>
      </c>
      <c r="J51" s="375">
        <v>0</v>
      </c>
      <c r="K51" s="321">
        <f t="shared" si="61"/>
        <v>158342153.36999997</v>
      </c>
      <c r="L51" s="321">
        <f t="shared" si="59"/>
        <v>330522.1523338104</v>
      </c>
      <c r="M51" s="321">
        <f t="shared" si="62"/>
        <v>427133.3626685692</v>
      </c>
      <c r="N51" s="321">
        <f t="shared" si="60"/>
        <v>157915020.0073314</v>
      </c>
      <c r="O51" s="376">
        <v>0</v>
      </c>
      <c r="P51" s="375">
        <f t="shared" si="57"/>
        <v>0</v>
      </c>
      <c r="S51" s="321"/>
      <c r="T51" s="359"/>
      <c r="U51" s="356"/>
      <c r="V51" s="256"/>
      <c r="W51" s="359"/>
      <c r="X51" s="356"/>
      <c r="Y51" s="256"/>
    </row>
    <row r="52" spans="1:25" ht="13">
      <c r="A52" s="326">
        <f t="shared" si="58"/>
        <v>33</v>
      </c>
      <c r="C52" s="345" t="s">
        <v>388</v>
      </c>
      <c r="D52" s="495">
        <v>2023</v>
      </c>
      <c r="E52" s="360">
        <f>'10-CWIP'!G62</f>
        <v>1357651</v>
      </c>
      <c r="F52" s="360">
        <f>'10-CWIP'!H62</f>
        <v>0</v>
      </c>
      <c r="G52" s="360">
        <f>'10-CWIP'!I62</f>
        <v>101823.82499999998</v>
      </c>
      <c r="H52" s="374">
        <v>0</v>
      </c>
      <c r="I52" s="321">
        <v>0</v>
      </c>
      <c r="J52" s="375">
        <v>0</v>
      </c>
      <c r="K52" s="321">
        <f t="shared" si="61"/>
        <v>159801628.19499996</v>
      </c>
      <c r="L52" s="321">
        <f t="shared" si="59"/>
        <v>338963.55731115636</v>
      </c>
      <c r="M52" s="321">
        <f t="shared" si="62"/>
        <v>766096.9199797255</v>
      </c>
      <c r="N52" s="321">
        <f t="shared" si="60"/>
        <v>159035531.27502024</v>
      </c>
      <c r="O52" s="376">
        <v>0</v>
      </c>
      <c r="P52" s="375">
        <f t="shared" si="57"/>
        <v>0</v>
      </c>
      <c r="S52" s="321"/>
      <c r="T52" s="359"/>
      <c r="U52" s="356"/>
      <c r="V52" s="256"/>
      <c r="W52" s="359"/>
      <c r="X52" s="356"/>
      <c r="Y52" s="256"/>
    </row>
    <row r="53" spans="1:25" ht="13">
      <c r="A53" s="326">
        <f t="shared" si="58"/>
        <v>34</v>
      </c>
      <c r="C53" s="345" t="s">
        <v>389</v>
      </c>
      <c r="D53" s="495">
        <v>2023</v>
      </c>
      <c r="E53" s="360">
        <f>'10-CWIP'!G63</f>
        <v>2076096</v>
      </c>
      <c r="F53" s="360">
        <f>'10-CWIP'!H63</f>
        <v>0</v>
      </c>
      <c r="G53" s="360">
        <f>'10-CWIP'!I63</f>
        <v>155707.19999999998</v>
      </c>
      <c r="H53" s="374">
        <v>0</v>
      </c>
      <c r="I53" s="321">
        <v>0</v>
      </c>
      <c r="J53" s="375">
        <v>0</v>
      </c>
      <c r="K53" s="321">
        <f t="shared" si="61"/>
        <v>162033431.39499995</v>
      </c>
      <c r="L53" s="321">
        <f t="shared" si="59"/>
        <v>342087.85976605653</v>
      </c>
      <c r="M53" s="321">
        <f t="shared" si="62"/>
        <v>1108184.779745782</v>
      </c>
      <c r="N53" s="321">
        <f t="shared" si="60"/>
        <v>160925246.61525416</v>
      </c>
      <c r="O53" s="376">
        <v>0</v>
      </c>
      <c r="P53" s="375">
        <f t="shared" si="57"/>
        <v>0</v>
      </c>
      <c r="S53" s="321"/>
      <c r="T53" s="359"/>
      <c r="U53" s="356"/>
      <c r="V53" s="256"/>
      <c r="W53" s="359"/>
      <c r="X53" s="356"/>
      <c r="Y53" s="256"/>
    </row>
    <row r="54" spans="1:25" ht="13">
      <c r="A54" s="326">
        <f t="shared" si="58"/>
        <v>35</v>
      </c>
      <c r="C54" s="345" t="s">
        <v>970</v>
      </c>
      <c r="D54" s="495">
        <v>2023</v>
      </c>
      <c r="E54" s="360">
        <f>'10-CWIP'!G64</f>
        <v>831847.09677419381</v>
      </c>
      <c r="F54" s="360">
        <f>'10-CWIP'!H64</f>
        <v>0</v>
      </c>
      <c r="G54" s="360">
        <f>'10-CWIP'!I64</f>
        <v>62388.532258064537</v>
      </c>
      <c r="H54" s="374">
        <v>0</v>
      </c>
      <c r="I54" s="321">
        <v>0</v>
      </c>
      <c r="J54" s="375">
        <v>0</v>
      </c>
      <c r="K54" s="321">
        <f t="shared" si="61"/>
        <v>162927667.02403221</v>
      </c>
      <c r="L54" s="321">
        <f t="shared" si="59"/>
        <v>346865.48805890093</v>
      </c>
      <c r="M54" s="321">
        <f t="shared" si="62"/>
        <v>1455050.267804683</v>
      </c>
      <c r="N54" s="321">
        <f t="shared" si="60"/>
        <v>161472616.75622752</v>
      </c>
      <c r="O54" s="376">
        <v>0</v>
      </c>
      <c r="P54" s="375">
        <f t="shared" si="57"/>
        <v>0</v>
      </c>
      <c r="S54" s="321"/>
      <c r="T54" s="359"/>
      <c r="U54" s="356"/>
      <c r="V54" s="256"/>
      <c r="W54" s="359"/>
      <c r="X54" s="356"/>
      <c r="Y54" s="256"/>
    </row>
    <row r="55" spans="1:25" ht="13">
      <c r="A55" s="326">
        <f t="shared" si="58"/>
        <v>36</v>
      </c>
      <c r="C55" s="345" t="s">
        <v>391</v>
      </c>
      <c r="D55" s="495">
        <v>2023</v>
      </c>
      <c r="E55" s="360">
        <f>'10-CWIP'!G65</f>
        <v>1988847.0967741939</v>
      </c>
      <c r="F55" s="360">
        <f>'10-CWIP'!H65</f>
        <v>0</v>
      </c>
      <c r="G55" s="360">
        <f>'10-CWIP'!I65</f>
        <v>149163.53225806454</v>
      </c>
      <c r="H55" s="374">
        <v>0</v>
      </c>
      <c r="I55" s="321">
        <v>0</v>
      </c>
      <c r="J55" s="375">
        <v>0</v>
      </c>
      <c r="K55" s="321">
        <f t="shared" si="61"/>
        <v>165065677.65306446</v>
      </c>
      <c r="L55" s="321">
        <f t="shared" si="59"/>
        <v>348779.78114788566</v>
      </c>
      <c r="M55" s="321">
        <f t="shared" si="62"/>
        <v>1803830.0489525686</v>
      </c>
      <c r="N55" s="321">
        <f t="shared" si="60"/>
        <v>163261847.60411188</v>
      </c>
      <c r="O55" s="376">
        <v>0</v>
      </c>
      <c r="P55" s="375">
        <f>O55*(1-$E$107)*(1+$E$103+$E$111)</f>
        <v>0</v>
      </c>
      <c r="S55" s="321"/>
      <c r="T55" s="359"/>
      <c r="U55" s="356"/>
      <c r="V55" s="256"/>
      <c r="W55" s="359"/>
      <c r="X55" s="356"/>
      <c r="Y55" s="256"/>
    </row>
    <row r="56" spans="1:25" ht="13">
      <c r="A56" s="326">
        <f t="shared" si="58"/>
        <v>37</v>
      </c>
      <c r="C56" s="345" t="s">
        <v>379</v>
      </c>
      <c r="D56" s="495">
        <v>2023</v>
      </c>
      <c r="E56" s="360">
        <f>'10-CWIP'!G66</f>
        <v>114345230.06645143</v>
      </c>
      <c r="F56" s="360">
        <f>'10-CWIP'!H66</f>
        <v>78607147.259999812</v>
      </c>
      <c r="G56" s="360">
        <f>'10-CWIP'!I66</f>
        <v>2680356.2104838714</v>
      </c>
      <c r="H56" s="374">
        <v>0</v>
      </c>
      <c r="I56" s="321">
        <v>0</v>
      </c>
      <c r="J56" s="375">
        <v>0</v>
      </c>
      <c r="K56" s="321">
        <f t="shared" si="61"/>
        <v>282091263.92999977</v>
      </c>
      <c r="L56" s="321">
        <f t="shared" si="59"/>
        <v>353356.62738220714</v>
      </c>
      <c r="M56" s="321">
        <f t="shared" si="62"/>
        <v>2157186.6763347755</v>
      </c>
      <c r="N56" s="321">
        <f t="shared" si="60"/>
        <v>279934077.25366497</v>
      </c>
      <c r="O56" s="376">
        <v>0</v>
      </c>
      <c r="P56" s="375">
        <f t="shared" si="57"/>
        <v>0</v>
      </c>
      <c r="S56" s="321"/>
      <c r="T56" s="359"/>
      <c r="U56" s="356"/>
      <c r="V56" s="256"/>
      <c r="W56" s="359"/>
      <c r="X56" s="356"/>
      <c r="Y56" s="256"/>
    </row>
    <row r="57" spans="1:25" ht="13">
      <c r="A57" s="326">
        <f t="shared" si="58"/>
        <v>38</v>
      </c>
      <c r="C57" s="345" t="s">
        <v>381</v>
      </c>
      <c r="D57" s="495">
        <v>2024</v>
      </c>
      <c r="E57" s="360">
        <f>'10-CWIP'!G67</f>
        <v>2793000</v>
      </c>
      <c r="F57" s="360">
        <f>'10-CWIP'!H67</f>
        <v>0</v>
      </c>
      <c r="G57" s="360">
        <f>'10-CWIP'!I67</f>
        <v>209475</v>
      </c>
      <c r="H57" s="374">
        <v>0</v>
      </c>
      <c r="I57" s="321">
        <v>0</v>
      </c>
      <c r="J57" s="375">
        <v>0</v>
      </c>
      <c r="K57" s="321">
        <f t="shared" si="61"/>
        <v>285093738.92999977</v>
      </c>
      <c r="L57" s="321">
        <f t="shared" si="59"/>
        <v>603873.6765482768</v>
      </c>
      <c r="M57" s="321">
        <f t="shared" si="62"/>
        <v>2761060.3528830521</v>
      </c>
      <c r="N57" s="321">
        <f t="shared" si="60"/>
        <v>282332678.57711673</v>
      </c>
      <c r="O57" s="376">
        <v>0</v>
      </c>
      <c r="P57" s="375">
        <f t="shared" si="57"/>
        <v>0</v>
      </c>
      <c r="S57" s="321"/>
      <c r="T57" s="359"/>
      <c r="U57" s="356"/>
      <c r="V57" s="256"/>
      <c r="W57" s="359"/>
      <c r="X57" s="356"/>
      <c r="Y57" s="256"/>
    </row>
    <row r="58" spans="1:25" ht="13">
      <c r="A58" s="326">
        <f t="shared" si="58"/>
        <v>39</v>
      </c>
      <c r="C58" s="345" t="s">
        <v>382</v>
      </c>
      <c r="D58" s="495">
        <v>2024</v>
      </c>
      <c r="E58" s="360">
        <f>'10-CWIP'!G68</f>
        <v>7538000</v>
      </c>
      <c r="F58" s="360">
        <f>'10-CWIP'!H68</f>
        <v>0</v>
      </c>
      <c r="G58" s="360">
        <f>'10-CWIP'!I68</f>
        <v>565350</v>
      </c>
      <c r="H58" s="374">
        <v>0</v>
      </c>
      <c r="I58" s="321">
        <v>0</v>
      </c>
      <c r="J58" s="375">
        <v>0</v>
      </c>
      <c r="K58" s="321">
        <f t="shared" si="61"/>
        <v>293197088.92999977</v>
      </c>
      <c r="L58" s="321">
        <f t="shared" si="59"/>
        <v>610301.08444363158</v>
      </c>
      <c r="M58" s="321">
        <f t="shared" si="62"/>
        <v>3371361.4373266837</v>
      </c>
      <c r="N58" s="321">
        <f t="shared" si="60"/>
        <v>289825727.4926731</v>
      </c>
      <c r="O58" s="376">
        <v>0</v>
      </c>
      <c r="P58" s="375">
        <f t="shared" si="57"/>
        <v>0</v>
      </c>
      <c r="S58" s="321"/>
      <c r="T58" s="359"/>
      <c r="U58" s="356"/>
      <c r="V58" s="256"/>
      <c r="W58" s="359"/>
      <c r="X58" s="356"/>
      <c r="Y58" s="256"/>
    </row>
    <row r="59" spans="1:25" ht="13">
      <c r="A59" s="326">
        <f t="shared" si="58"/>
        <v>40</v>
      </c>
      <c r="C59" s="345" t="s">
        <v>383</v>
      </c>
      <c r="D59" s="495">
        <v>2024</v>
      </c>
      <c r="E59" s="360">
        <f>'10-CWIP'!G69</f>
        <v>7445253.9199999999</v>
      </c>
      <c r="F59" s="360">
        <f>'10-CWIP'!H69</f>
        <v>4395253.92</v>
      </c>
      <c r="G59" s="360">
        <f>'10-CWIP'!I69</f>
        <v>228750</v>
      </c>
      <c r="H59" s="374">
        <v>0</v>
      </c>
      <c r="I59" s="321">
        <v>0</v>
      </c>
      <c r="J59" s="375">
        <v>0</v>
      </c>
      <c r="K59" s="321">
        <f t="shared" si="61"/>
        <v>300871092.84999979</v>
      </c>
      <c r="L59" s="321">
        <f t="shared" si="59"/>
        <v>627647.95186761452</v>
      </c>
      <c r="M59" s="321">
        <f t="shared" si="62"/>
        <v>3999009.3891942981</v>
      </c>
      <c r="N59" s="321">
        <f t="shared" si="60"/>
        <v>296872083.46080548</v>
      </c>
      <c r="O59" s="376">
        <v>0</v>
      </c>
      <c r="P59" s="375">
        <f t="shared" si="57"/>
        <v>0</v>
      </c>
      <c r="S59" s="321"/>
      <c r="T59" s="359"/>
      <c r="U59" s="356"/>
      <c r="V59" s="256"/>
      <c r="W59" s="359"/>
      <c r="X59" s="356"/>
      <c r="Y59" s="256"/>
    </row>
    <row r="60" spans="1:25" ht="13">
      <c r="A60" s="326">
        <f t="shared" si="58"/>
        <v>41</v>
      </c>
      <c r="C60" s="345" t="s">
        <v>384</v>
      </c>
      <c r="D60" s="495">
        <v>2024</v>
      </c>
      <c r="E60" s="360">
        <f>'10-CWIP'!G70</f>
        <v>1155000</v>
      </c>
      <c r="F60" s="360">
        <f>'10-CWIP'!H70</f>
        <v>0</v>
      </c>
      <c r="G60" s="360">
        <f>'10-CWIP'!I70</f>
        <v>86625</v>
      </c>
      <c r="H60" s="374">
        <v>0</v>
      </c>
      <c r="I60" s="321">
        <v>0</v>
      </c>
      <c r="J60" s="375">
        <v>0</v>
      </c>
      <c r="K60" s="321">
        <f t="shared" si="61"/>
        <v>302112717.84999979</v>
      </c>
      <c r="L60" s="321">
        <f t="shared" si="59"/>
        <v>644075.71675637842</v>
      </c>
      <c r="M60" s="321">
        <f t="shared" si="62"/>
        <v>4643085.1059506768</v>
      </c>
      <c r="N60" s="321">
        <f t="shared" si="60"/>
        <v>297469632.74404913</v>
      </c>
      <c r="O60" s="376">
        <v>0</v>
      </c>
      <c r="P60" s="375">
        <f t="shared" si="57"/>
        <v>0</v>
      </c>
      <c r="S60" s="321"/>
      <c r="T60" s="359"/>
      <c r="U60" s="356"/>
      <c r="V60" s="256"/>
      <c r="W60" s="359"/>
      <c r="X60" s="356"/>
      <c r="Y60" s="256"/>
    </row>
    <row r="61" spans="1:25" ht="13">
      <c r="A61" s="326">
        <f t="shared" si="58"/>
        <v>42</v>
      </c>
      <c r="C61" s="345" t="s">
        <v>385</v>
      </c>
      <c r="D61" s="495">
        <v>2024</v>
      </c>
      <c r="E61" s="360">
        <f>'10-CWIP'!G71</f>
        <v>2921000</v>
      </c>
      <c r="F61" s="360">
        <f>'10-CWIP'!H71</f>
        <v>0</v>
      </c>
      <c r="G61" s="360">
        <f>'10-CWIP'!I71</f>
        <v>219075</v>
      </c>
      <c r="H61" s="374">
        <v>0</v>
      </c>
      <c r="I61" s="321">
        <v>0</v>
      </c>
      <c r="J61" s="375">
        <v>0</v>
      </c>
      <c r="K61" s="321">
        <f t="shared" si="61"/>
        <v>305252792.84999979</v>
      </c>
      <c r="L61" s="321">
        <f t="shared" si="59"/>
        <v>646733.66738979588</v>
      </c>
      <c r="M61" s="321">
        <f t="shared" si="62"/>
        <v>5289818.773340473</v>
      </c>
      <c r="N61" s="321">
        <f t="shared" si="60"/>
        <v>299962974.07665932</v>
      </c>
      <c r="O61" s="376">
        <v>0</v>
      </c>
      <c r="P61" s="375">
        <f t="shared" si="57"/>
        <v>0</v>
      </c>
      <c r="S61" s="321"/>
      <c r="T61" s="359"/>
      <c r="U61" s="356"/>
      <c r="V61" s="256"/>
      <c r="W61" s="359"/>
      <c r="X61" s="356"/>
      <c r="Y61" s="256"/>
    </row>
    <row r="62" spans="1:25" ht="13">
      <c r="A62" s="326">
        <f t="shared" si="58"/>
        <v>43</v>
      </c>
      <c r="C62" s="345" t="s">
        <v>386</v>
      </c>
      <c r="D62" s="495">
        <v>2024</v>
      </c>
      <c r="E62" s="360">
        <f>'10-CWIP'!G72</f>
        <v>2940000</v>
      </c>
      <c r="F62" s="360">
        <f>'10-CWIP'!H72</f>
        <v>0</v>
      </c>
      <c r="G62" s="360">
        <f>'10-CWIP'!I72</f>
        <v>220500</v>
      </c>
      <c r="H62" s="374">
        <v>0</v>
      </c>
      <c r="I62" s="321">
        <v>0</v>
      </c>
      <c r="J62" s="375">
        <v>0</v>
      </c>
      <c r="K62" s="321">
        <f t="shared" si="61"/>
        <v>308413292.84999979</v>
      </c>
      <c r="L62" s="321">
        <f t="shared" si="59"/>
        <v>653455.6360479882</v>
      </c>
      <c r="M62" s="321">
        <f t="shared" si="62"/>
        <v>5943274.4093884612</v>
      </c>
      <c r="N62" s="321">
        <f t="shared" si="60"/>
        <v>302470018.4406113</v>
      </c>
      <c r="O62" s="376">
        <v>0</v>
      </c>
      <c r="P62" s="375">
        <f t="shared" si="57"/>
        <v>0</v>
      </c>
      <c r="S62" s="321"/>
      <c r="T62" s="359"/>
      <c r="U62" s="356"/>
      <c r="V62" s="256"/>
      <c r="W62" s="359"/>
      <c r="X62" s="356"/>
      <c r="Y62" s="256"/>
    </row>
    <row r="63" spans="1:25" ht="13">
      <c r="A63" s="326">
        <f t="shared" si="58"/>
        <v>44</v>
      </c>
      <c r="C63" s="345" t="s">
        <v>387</v>
      </c>
      <c r="D63" s="495">
        <v>2024</v>
      </c>
      <c r="E63" s="360">
        <f>'10-CWIP'!G73</f>
        <v>2683000</v>
      </c>
      <c r="F63" s="360">
        <f>'10-CWIP'!H73</f>
        <v>0</v>
      </c>
      <c r="G63" s="360">
        <f>'10-CWIP'!I73</f>
        <v>201225</v>
      </c>
      <c r="H63" s="374">
        <v>0</v>
      </c>
      <c r="I63" s="321">
        <v>0</v>
      </c>
      <c r="J63" s="375">
        <v>0</v>
      </c>
      <c r="K63" s="321">
        <f t="shared" si="61"/>
        <v>311297517.84999979</v>
      </c>
      <c r="L63" s="321">
        <f t="shared" si="59"/>
        <v>660221.32856941433</v>
      </c>
      <c r="M63" s="321">
        <f t="shared" si="62"/>
        <v>6603495.7379578752</v>
      </c>
      <c r="N63" s="321">
        <f t="shared" si="60"/>
        <v>304694022.11204189</v>
      </c>
      <c r="O63" s="376">
        <v>0</v>
      </c>
      <c r="P63" s="375">
        <f t="shared" si="57"/>
        <v>0</v>
      </c>
      <c r="S63" s="321"/>
      <c r="T63" s="359"/>
      <c r="U63" s="356"/>
      <c r="V63" s="256"/>
      <c r="W63" s="359"/>
      <c r="X63" s="356"/>
      <c r="Y63" s="256"/>
    </row>
    <row r="64" spans="1:25" ht="13">
      <c r="A64" s="326">
        <f t="shared" si="58"/>
        <v>45</v>
      </c>
      <c r="C64" s="345" t="s">
        <v>388</v>
      </c>
      <c r="D64" s="495">
        <v>2024</v>
      </c>
      <c r="E64" s="360">
        <f>'10-CWIP'!G74</f>
        <v>2100000</v>
      </c>
      <c r="F64" s="360">
        <f>'10-CWIP'!H74</f>
        <v>0</v>
      </c>
      <c r="G64" s="360">
        <f>'10-CWIP'!I74</f>
        <v>157500</v>
      </c>
      <c r="H64" s="374">
        <v>0</v>
      </c>
      <c r="I64" s="321">
        <v>0</v>
      </c>
      <c r="J64" s="375">
        <v>0</v>
      </c>
      <c r="K64" s="321">
        <f t="shared" si="61"/>
        <v>313555017.84999979</v>
      </c>
      <c r="L64" s="321">
        <f t="shared" si="59"/>
        <v>666395.5983092055</v>
      </c>
      <c r="M64" s="321">
        <f t="shared" si="62"/>
        <v>7269891.3362670811</v>
      </c>
      <c r="N64" s="321">
        <f t="shared" si="60"/>
        <v>306285126.51373273</v>
      </c>
      <c r="O64" s="376">
        <v>0</v>
      </c>
      <c r="P64" s="375">
        <f t="shared" si="57"/>
        <v>0</v>
      </c>
      <c r="S64" s="321"/>
      <c r="T64" s="359"/>
      <c r="U64" s="356"/>
      <c r="V64" s="256"/>
      <c r="W64" s="359"/>
      <c r="X64" s="356"/>
      <c r="Y64" s="256"/>
    </row>
    <row r="65" spans="1:25" ht="13">
      <c r="A65" s="326">
        <f t="shared" si="58"/>
        <v>46</v>
      </c>
      <c r="C65" s="345" t="s">
        <v>389</v>
      </c>
      <c r="D65" s="495">
        <v>2024</v>
      </c>
      <c r="E65" s="360">
        <f>'10-CWIP'!G75</f>
        <v>2100000</v>
      </c>
      <c r="F65" s="360">
        <f>'10-CWIP'!H75</f>
        <v>0</v>
      </c>
      <c r="G65" s="360">
        <f>'10-CWIP'!I75</f>
        <v>157500</v>
      </c>
      <c r="H65" s="374">
        <v>0</v>
      </c>
      <c r="I65" s="321">
        <v>0</v>
      </c>
      <c r="J65" s="375">
        <v>0</v>
      </c>
      <c r="K65" s="321">
        <f t="shared" si="61"/>
        <v>315812517.84999979</v>
      </c>
      <c r="L65" s="321">
        <f t="shared" si="59"/>
        <v>671228.23582450987</v>
      </c>
      <c r="M65" s="321">
        <f t="shared" si="62"/>
        <v>7941119.5720915906</v>
      </c>
      <c r="N65" s="321">
        <f t="shared" si="60"/>
        <v>307871398.27790821</v>
      </c>
      <c r="O65" s="376">
        <v>0</v>
      </c>
      <c r="P65" s="375">
        <f t="shared" si="57"/>
        <v>0</v>
      </c>
      <c r="S65" s="321"/>
      <c r="T65" s="359"/>
      <c r="U65" s="356"/>
      <c r="V65" s="256"/>
      <c r="W65" s="359"/>
      <c r="X65" s="356"/>
      <c r="Y65" s="256"/>
    </row>
    <row r="66" spans="1:25" ht="13">
      <c r="A66" s="326">
        <f t="shared" si="58"/>
        <v>47</v>
      </c>
      <c r="C66" s="345" t="s">
        <v>390</v>
      </c>
      <c r="D66" s="495">
        <v>2024</v>
      </c>
      <c r="E66" s="360">
        <f>'10-CWIP'!G76</f>
        <v>2100000</v>
      </c>
      <c r="F66" s="360">
        <f>'10-CWIP'!H76</f>
        <v>0</v>
      </c>
      <c r="G66" s="360">
        <f>'10-CWIP'!I76</f>
        <v>157500</v>
      </c>
      <c r="H66" s="374">
        <v>0</v>
      </c>
      <c r="I66" s="321">
        <v>0</v>
      </c>
      <c r="J66" s="375">
        <v>0</v>
      </c>
      <c r="K66" s="321">
        <f t="shared" si="61"/>
        <v>318070017.84999979</v>
      </c>
      <c r="L66" s="321">
        <f t="shared" si="59"/>
        <v>676060.87333981425</v>
      </c>
      <c r="M66" s="321">
        <f t="shared" si="62"/>
        <v>8617180.4454314057</v>
      </c>
      <c r="N66" s="321">
        <f t="shared" si="60"/>
        <v>309452837.40456837</v>
      </c>
      <c r="O66" s="376">
        <v>0</v>
      </c>
      <c r="P66" s="375">
        <f t="shared" si="57"/>
        <v>0</v>
      </c>
      <c r="S66" s="321"/>
      <c r="T66" s="359"/>
      <c r="U66" s="356"/>
      <c r="V66" s="256"/>
      <c r="W66" s="359"/>
      <c r="X66" s="356"/>
      <c r="Y66" s="256"/>
    </row>
    <row r="67" spans="1:25" ht="13">
      <c r="A67" s="326">
        <f t="shared" si="58"/>
        <v>48</v>
      </c>
      <c r="C67" s="345" t="s">
        <v>391</v>
      </c>
      <c r="D67" s="495">
        <v>2024</v>
      </c>
      <c r="E67" s="360">
        <f>'10-CWIP'!G77</f>
        <v>2100000</v>
      </c>
      <c r="F67" s="360">
        <f>'10-CWIP'!H77</f>
        <v>0</v>
      </c>
      <c r="G67" s="360">
        <f>'10-CWIP'!I77</f>
        <v>157500</v>
      </c>
      <c r="H67" s="374">
        <v>0</v>
      </c>
      <c r="I67" s="321">
        <v>0</v>
      </c>
      <c r="J67" s="375">
        <v>0</v>
      </c>
      <c r="K67" s="321">
        <f t="shared" si="61"/>
        <v>320327517.84999979</v>
      </c>
      <c r="L67" s="321">
        <f t="shared" si="59"/>
        <v>680893.51085511851</v>
      </c>
      <c r="M67" s="321">
        <f t="shared" si="62"/>
        <v>9298073.9562865235</v>
      </c>
      <c r="N67" s="321">
        <f t="shared" si="60"/>
        <v>311029443.89371324</v>
      </c>
      <c r="O67" s="376">
        <v>0</v>
      </c>
      <c r="P67" s="375">
        <f t="shared" si="57"/>
        <v>0</v>
      </c>
      <c r="S67" s="321"/>
      <c r="T67" s="359"/>
      <c r="U67" s="356"/>
      <c r="V67" s="256"/>
      <c r="W67" s="359"/>
      <c r="X67" s="356"/>
      <c r="Y67" s="256"/>
    </row>
    <row r="68" spans="1:25" ht="13">
      <c r="A68" s="326">
        <f t="shared" si="58"/>
        <v>49</v>
      </c>
      <c r="C68" s="345" t="s">
        <v>379</v>
      </c>
      <c r="D68" s="495">
        <v>2024</v>
      </c>
      <c r="E68" s="360">
        <f>'10-CWIP'!G78</f>
        <v>6093407</v>
      </c>
      <c r="F68" s="360">
        <f>'10-CWIP'!H78</f>
        <v>0</v>
      </c>
      <c r="G68" s="360">
        <f>'10-CWIP'!I78</f>
        <v>457005.52500000002</v>
      </c>
      <c r="H68" s="374">
        <v>0</v>
      </c>
      <c r="I68" s="321">
        <v>0</v>
      </c>
      <c r="J68" s="375">
        <v>0</v>
      </c>
      <c r="K68" s="321">
        <f t="shared" si="61"/>
        <v>326877930.37499976</v>
      </c>
      <c r="L68" s="321">
        <f t="shared" si="59"/>
        <v>685726.14837042289</v>
      </c>
      <c r="M68" s="321">
        <f>(M67+L68)-H68</f>
        <v>9983800.1046569459</v>
      </c>
      <c r="N68" s="321">
        <f t="shared" si="60"/>
        <v>316894130.27034283</v>
      </c>
      <c r="O68" s="376">
        <v>0</v>
      </c>
      <c r="P68" s="375">
        <f t="shared" si="57"/>
        <v>0</v>
      </c>
      <c r="S68" s="321"/>
      <c r="T68" s="359"/>
      <c r="U68" s="356"/>
      <c r="V68" s="256"/>
      <c r="W68" s="359"/>
      <c r="X68" s="356"/>
      <c r="Y68" s="256"/>
    </row>
    <row r="69" spans="1:25" ht="13">
      <c r="A69" s="326"/>
      <c r="D69" s="358"/>
      <c r="G69" s="321"/>
      <c r="N69" s="321"/>
    </row>
    <row r="70" spans="1:25" ht="13">
      <c r="A70" s="326"/>
      <c r="B70" s="323" t="s">
        <v>1336</v>
      </c>
      <c r="D70" s="358"/>
      <c r="F70" s="39" t="s">
        <v>195</v>
      </c>
      <c r="G70" s="254" t="s">
        <v>999</v>
      </c>
      <c r="H70" s="330"/>
      <c r="N70" s="321"/>
    </row>
    <row r="71" spans="1:25" ht="13">
      <c r="A71" s="326"/>
      <c r="E71" s="351" t="s">
        <v>336</v>
      </c>
      <c r="F71" s="351" t="s">
        <v>337</v>
      </c>
      <c r="G71" s="351" t="s">
        <v>338</v>
      </c>
      <c r="H71" s="351" t="s">
        <v>339</v>
      </c>
      <c r="I71" s="351" t="s">
        <v>340</v>
      </c>
      <c r="J71" s="351" t="s">
        <v>341</v>
      </c>
      <c r="K71" s="351" t="s">
        <v>342</v>
      </c>
      <c r="L71" s="351" t="s">
        <v>343</v>
      </c>
      <c r="M71" s="351" t="s">
        <v>344</v>
      </c>
      <c r="N71" s="351" t="s">
        <v>589</v>
      </c>
      <c r="O71" s="351" t="s">
        <v>590</v>
      </c>
      <c r="P71" s="351" t="s">
        <v>591</v>
      </c>
    </row>
    <row r="72" spans="1:25" ht="25.5">
      <c r="A72" s="326"/>
      <c r="E72" s="352"/>
      <c r="F72" s="352"/>
      <c r="G72" s="352" t="str">
        <f>"=(C"&amp;RIGHT(E71)&amp;"-C"&amp;RIGHT(F71)&amp;")*L"&amp;$A$103</f>
        <v>=(C1-C2)*L74</v>
      </c>
      <c r="H72" s="352" t="str">
        <f>"=(C"&amp;RIGHT(E71)&amp;"-C"&amp;RIGHT(F71)&amp;"+C"&amp;RIGHT(G71)&amp;")*L"&amp;$A$107</f>
        <v>=(C1-C2+C3)*L75</v>
      </c>
      <c r="I72" s="352" t="str">
        <f>"=C"&amp;RIGHT(E71)&amp;"-C"&amp;RIGHT(F71)&amp;"+C"&amp;RIGHT(G71)&amp;"-C"&amp;RIGHT(H71)</f>
        <v>=C1-C2+C3-C4</v>
      </c>
      <c r="J72" s="352" t="str">
        <f>"=C"&amp;RIGHT(I71)&amp;"*L"&amp;$A$111</f>
        <v>=C5*L76</v>
      </c>
      <c r="K72" s="648" t="s">
        <v>1337</v>
      </c>
      <c r="L72" s="648" t="s">
        <v>1332</v>
      </c>
      <c r="M72" s="649" t="s">
        <v>1333</v>
      </c>
      <c r="N72" s="352" t="str">
        <f>"=C"&amp;RIGHT(K71)&amp;"-C"&amp;RIGHT(M71)</f>
        <v>=C7-C9</v>
      </c>
      <c r="P72" s="649" t="s">
        <v>1335</v>
      </c>
    </row>
    <row r="73" spans="1:25" ht="13">
      <c r="A73" s="326"/>
      <c r="C73" s="326" t="str">
        <f>C10</f>
        <v>Forecast</v>
      </c>
      <c r="E73" s="326" t="str">
        <f>E10</f>
        <v>Unloaded</v>
      </c>
      <c r="F73" s="326"/>
      <c r="G73" s="326"/>
      <c r="H73" s="326"/>
      <c r="I73" s="326" t="str">
        <f>I10</f>
        <v>AFUDC</v>
      </c>
      <c r="J73" s="326"/>
      <c r="K73" s="326"/>
      <c r="L73" s="326"/>
      <c r="M73" s="326"/>
      <c r="O73" s="326" t="str">
        <f>O10</f>
        <v>Unloaded</v>
      </c>
      <c r="P73" s="326" t="str">
        <f>P10</f>
        <v>Loaded</v>
      </c>
    </row>
    <row r="74" spans="1:25" ht="13">
      <c r="A74" s="326"/>
      <c r="C74" s="326" t="str">
        <f>C11</f>
        <v>Period</v>
      </c>
      <c r="E74" s="326" t="str">
        <f>E11</f>
        <v>Total</v>
      </c>
      <c r="F74" s="326" t="str">
        <f t="shared" ref="F74:H75" si="63">F11</f>
        <v>Prior Period</v>
      </c>
      <c r="G74" s="326" t="str">
        <f t="shared" si="63"/>
        <v>Over Heads</v>
      </c>
      <c r="H74" s="326" t="str">
        <f t="shared" si="63"/>
        <v xml:space="preserve">Cost of </v>
      </c>
      <c r="I74" s="326" t="str">
        <f>I11</f>
        <v>Eligible Plant</v>
      </c>
      <c r="J74" s="326"/>
      <c r="K74" s="326" t="str">
        <f t="shared" ref="K74:M74" si="64">K11</f>
        <v>Incremental</v>
      </c>
      <c r="L74" s="326" t="str">
        <f t="shared" si="64"/>
        <v>Depreciation</v>
      </c>
      <c r="M74" s="326" t="str">
        <f t="shared" si="64"/>
        <v>Incremental</v>
      </c>
      <c r="O74" s="326" t="str">
        <f>O11</f>
        <v>Low Voltage</v>
      </c>
      <c r="P74" s="326" t="str">
        <f>P11</f>
        <v>Low Voltage</v>
      </c>
      <c r="Q74" s="326"/>
    </row>
    <row r="75" spans="1:25" ht="13">
      <c r="A75" s="354" t="s">
        <v>273</v>
      </c>
      <c r="C75" s="344" t="str">
        <f>C12</f>
        <v>Month</v>
      </c>
      <c r="D75" s="344" t="str">
        <f>D12</f>
        <v>Year</v>
      </c>
      <c r="E75" s="344" t="str">
        <f>E12</f>
        <v>Plant Adds</v>
      </c>
      <c r="F75" s="344" t="str">
        <f t="shared" si="63"/>
        <v>CWIP Closed</v>
      </c>
      <c r="G75" s="344" t="str">
        <f t="shared" si="63"/>
        <v>Closed to PIS</v>
      </c>
      <c r="H75" s="344" t="str">
        <f t="shared" si="63"/>
        <v>Removal</v>
      </c>
      <c r="I75" s="344" t="str">
        <f>I12</f>
        <v>Additions</v>
      </c>
      <c r="J75" s="344" t="str">
        <f t="shared" ref="J75:P75" si="65">J12</f>
        <v>AFUDC</v>
      </c>
      <c r="K75" s="344" t="str">
        <f t="shared" si="65"/>
        <v>Gross Plant</v>
      </c>
      <c r="L75" s="344" t="str">
        <f t="shared" si="65"/>
        <v>Accrual</v>
      </c>
      <c r="M75" s="344" t="str">
        <f t="shared" si="65"/>
        <v>Reserve</v>
      </c>
      <c r="N75" s="344" t="str">
        <f t="shared" si="65"/>
        <v>Net Plant</v>
      </c>
      <c r="O75" s="344" t="str">
        <f t="shared" si="65"/>
        <v>Additions</v>
      </c>
      <c r="P75" s="344" t="str">
        <f t="shared" si="65"/>
        <v>Additions</v>
      </c>
      <c r="Q75" s="344"/>
      <c r="S75" s="378"/>
      <c r="T75" s="344"/>
      <c r="U75" s="344"/>
      <c r="V75" s="344"/>
      <c r="W75" s="344"/>
      <c r="X75" s="344"/>
      <c r="Y75" s="344"/>
    </row>
    <row r="76" spans="1:25" ht="13">
      <c r="A76" s="326">
        <f>A68+1</f>
        <v>50</v>
      </c>
      <c r="C76" s="345" t="str">
        <f t="shared" ref="C76:C96" si="66">C45</f>
        <v>January</v>
      </c>
      <c r="D76" s="495">
        <v>2023</v>
      </c>
      <c r="E76" s="361">
        <v>12688754.21408122</v>
      </c>
      <c r="F76" s="361">
        <v>868094.67086667835</v>
      </c>
      <c r="G76" s="321">
        <f>(E76-F76)*$E$103</f>
        <v>886549.46574109071</v>
      </c>
      <c r="H76" s="321">
        <f>(E76-F76+G76)*$E$107</f>
        <v>1016576.7207164507</v>
      </c>
      <c r="I76" s="321">
        <f>E76-F76+G76-H76</f>
        <v>11690632.288239183</v>
      </c>
      <c r="J76" s="321">
        <f t="shared" ref="J76:J99" si="67">I76*$E$111</f>
        <v>350718.96864717547</v>
      </c>
      <c r="K76" s="321">
        <f>F76+I76+J76</f>
        <v>12909445.927753035</v>
      </c>
      <c r="L76" s="321">
        <v>0</v>
      </c>
      <c r="M76" s="321">
        <f>L76</f>
        <v>0</v>
      </c>
      <c r="N76" s="321">
        <f t="shared" ref="N76:N99" si="68">K76-M76</f>
        <v>12909445.927753035</v>
      </c>
      <c r="O76" s="376">
        <v>1207179.4463332521</v>
      </c>
      <c r="P76" s="321">
        <f t="shared" ref="P76:P96" si="69">O76*(1-$E$107)*(1+$E$103+$E$111)</f>
        <v>1227218.6251423841</v>
      </c>
      <c r="Q76" s="359"/>
      <c r="R76" s="356"/>
      <c r="S76" s="359"/>
      <c r="T76" s="359"/>
      <c r="U76" s="356"/>
      <c r="V76" s="256"/>
      <c r="W76" s="359"/>
      <c r="X76" s="356"/>
      <c r="Y76" s="256"/>
    </row>
    <row r="77" spans="1:25" ht="13">
      <c r="A77" s="326">
        <f t="shared" si="58"/>
        <v>51</v>
      </c>
      <c r="C77" s="345" t="str">
        <f t="shared" si="66"/>
        <v>February</v>
      </c>
      <c r="D77" s="495">
        <v>2023</v>
      </c>
      <c r="E77" s="361">
        <v>13854962.096881218</v>
      </c>
      <c r="F77" s="361">
        <v>848244.67366667837</v>
      </c>
      <c r="G77" s="321">
        <f t="shared" ref="G77:G99" si="70">(E77-F77)*$E$103</f>
        <v>975503.80674109049</v>
      </c>
      <c r="H77" s="321">
        <f t="shared" ref="H77:H99" si="71">(E77-F77+G77)*$E$107</f>
        <v>1118577.6983964504</v>
      </c>
      <c r="I77" s="321">
        <f t="shared" ref="I77:I99" si="72">E77-F77+G77-H77</f>
        <v>12863643.53155918</v>
      </c>
      <c r="J77" s="321">
        <f t="shared" si="67"/>
        <v>385909.30594677542</v>
      </c>
      <c r="K77" s="321">
        <f>K76+J77+I77+F77</f>
        <v>27007243.438925669</v>
      </c>
      <c r="L77" s="321">
        <f t="shared" ref="L77:L99" si="73">K76*$E$133/12</f>
        <v>27635.292443965518</v>
      </c>
      <c r="M77" s="321">
        <f>M76+L77</f>
        <v>27635.292443965518</v>
      </c>
      <c r="N77" s="321">
        <f t="shared" si="68"/>
        <v>26979608.146481704</v>
      </c>
      <c r="O77" s="376">
        <v>2414358.8926665043</v>
      </c>
      <c r="P77" s="321">
        <f t="shared" si="69"/>
        <v>2454437.2502847682</v>
      </c>
      <c r="Q77" s="359"/>
      <c r="R77" s="356"/>
      <c r="S77" s="359"/>
      <c r="T77" s="359"/>
      <c r="U77" s="356"/>
      <c r="V77" s="256"/>
      <c r="W77" s="359"/>
      <c r="X77" s="356"/>
      <c r="Y77" s="256"/>
    </row>
    <row r="78" spans="1:25" ht="13">
      <c r="A78" s="326">
        <f t="shared" si="58"/>
        <v>52</v>
      </c>
      <c r="C78" s="345" t="str">
        <f t="shared" si="66"/>
        <v>March</v>
      </c>
      <c r="D78" s="495">
        <v>2023</v>
      </c>
      <c r="E78" s="361">
        <v>13854962.096881226</v>
      </c>
      <c r="F78" s="361">
        <v>848244.67366667837</v>
      </c>
      <c r="G78" s="321">
        <f t="shared" si="70"/>
        <v>975503.80674109096</v>
      </c>
      <c r="H78" s="321">
        <f t="shared" si="71"/>
        <v>1118577.6983964511</v>
      </c>
      <c r="I78" s="321">
        <f t="shared" si="72"/>
        <v>12863643.531559186</v>
      </c>
      <c r="J78" s="321">
        <f t="shared" si="67"/>
        <v>385909.3059467756</v>
      </c>
      <c r="K78" s="321">
        <f t="shared" ref="K78:K99" si="74">K77+J78+I78+F78</f>
        <v>41105040.950098306</v>
      </c>
      <c r="L78" s="321">
        <f t="shared" si="73"/>
        <v>57814.492947025108</v>
      </c>
      <c r="M78" s="321">
        <f t="shared" ref="M78:M99" si="75">M77+L78</f>
        <v>85449.785390990626</v>
      </c>
      <c r="N78" s="321">
        <f t="shared" si="68"/>
        <v>41019591.164707318</v>
      </c>
      <c r="O78" s="376">
        <v>3621538.3389997566</v>
      </c>
      <c r="P78" s="321">
        <f t="shared" si="69"/>
        <v>3681655.875427153</v>
      </c>
      <c r="Q78" s="359"/>
      <c r="R78" s="356"/>
      <c r="S78" s="359"/>
      <c r="T78" s="359"/>
      <c r="U78" s="356"/>
      <c r="V78" s="256"/>
      <c r="W78" s="359"/>
      <c r="X78" s="356"/>
      <c r="Y78" s="256"/>
    </row>
    <row r="79" spans="1:25" ht="13">
      <c r="A79" s="326">
        <f t="shared" si="58"/>
        <v>53</v>
      </c>
      <c r="C79" s="345" t="str">
        <f t="shared" si="66"/>
        <v>April</v>
      </c>
      <c r="D79" s="495">
        <v>2023</v>
      </c>
      <c r="E79" s="361">
        <v>14551042.70688121</v>
      </c>
      <c r="F79" s="361">
        <v>972133.28366667847</v>
      </c>
      <c r="G79" s="321">
        <f t="shared" si="70"/>
        <v>1018418.2067410899</v>
      </c>
      <c r="H79" s="321">
        <f t="shared" si="71"/>
        <v>1167786.2103964498</v>
      </c>
      <c r="I79" s="321">
        <f t="shared" si="72"/>
        <v>13429541.419559173</v>
      </c>
      <c r="J79" s="321">
        <f t="shared" si="67"/>
        <v>402886.24258677516</v>
      </c>
      <c r="K79" s="321">
        <f t="shared" si="74"/>
        <v>55909601.895910934</v>
      </c>
      <c r="L79" s="321">
        <f t="shared" si="73"/>
        <v>87993.693450084713</v>
      </c>
      <c r="M79" s="321">
        <f t="shared" si="75"/>
        <v>173443.47884107532</v>
      </c>
      <c r="N79" s="321">
        <f t="shared" si="68"/>
        <v>55736158.41706986</v>
      </c>
      <c r="O79" s="376">
        <v>4828717.7853330085</v>
      </c>
      <c r="P79" s="321">
        <f t="shared" si="69"/>
        <v>4908874.5005695364</v>
      </c>
      <c r="Q79" s="359"/>
      <c r="R79" s="356"/>
      <c r="S79" s="359"/>
      <c r="T79" s="359"/>
      <c r="U79" s="356"/>
      <c r="V79" s="256"/>
      <c r="W79" s="359"/>
      <c r="X79" s="356"/>
      <c r="Y79" s="256"/>
    </row>
    <row r="80" spans="1:25" ht="13">
      <c r="A80" s="326">
        <f t="shared" si="58"/>
        <v>54</v>
      </c>
      <c r="C80" s="345" t="str">
        <f t="shared" si="66"/>
        <v>May</v>
      </c>
      <c r="D80" s="495">
        <v>2023</v>
      </c>
      <c r="E80" s="361">
        <v>23518964.426881209</v>
      </c>
      <c r="F80" s="361">
        <v>9552159.003666671</v>
      </c>
      <c r="G80" s="321">
        <f t="shared" si="70"/>
        <v>1047510.4067410904</v>
      </c>
      <c r="H80" s="321">
        <f t="shared" si="71"/>
        <v>1201145.2663964503</v>
      </c>
      <c r="I80" s="321">
        <f t="shared" si="72"/>
        <v>13813170.563559178</v>
      </c>
      <c r="J80" s="321">
        <f t="shared" si="67"/>
        <v>414395.11690677534</v>
      </c>
      <c r="K80" s="321">
        <f t="shared" si="74"/>
        <v>79689326.580043554</v>
      </c>
      <c r="L80" s="321">
        <f t="shared" si="73"/>
        <v>119685.86471225241</v>
      </c>
      <c r="M80" s="321">
        <f t="shared" si="75"/>
        <v>293129.34355332772</v>
      </c>
      <c r="N80" s="321">
        <f t="shared" si="68"/>
        <v>79396197.23649022</v>
      </c>
      <c r="O80" s="376">
        <v>15699899.561666252</v>
      </c>
      <c r="P80" s="321">
        <f t="shared" si="69"/>
        <v>15960517.894389911</v>
      </c>
      <c r="Q80" s="359"/>
      <c r="R80" s="356"/>
      <c r="S80" s="359"/>
      <c r="T80" s="359"/>
      <c r="U80" s="356"/>
      <c r="V80" s="256"/>
      <c r="W80" s="359"/>
      <c r="X80" s="356"/>
      <c r="Y80" s="256"/>
    </row>
    <row r="81" spans="1:25" ht="13">
      <c r="A81" s="326">
        <f t="shared" si="58"/>
        <v>55</v>
      </c>
      <c r="C81" s="345" t="str">
        <f t="shared" si="66"/>
        <v xml:space="preserve">June </v>
      </c>
      <c r="D81" s="495">
        <v>2023</v>
      </c>
      <c r="E81" s="361">
        <v>14561112.146881223</v>
      </c>
      <c r="F81" s="361">
        <v>1385315.7236666786</v>
      </c>
      <c r="G81" s="321">
        <f t="shared" si="70"/>
        <v>988184.73174109077</v>
      </c>
      <c r="H81" s="321">
        <f t="shared" si="71"/>
        <v>1133118.4923964508</v>
      </c>
      <c r="I81" s="321">
        <f t="shared" si="72"/>
        <v>13030862.662559183</v>
      </c>
      <c r="J81" s="321">
        <f t="shared" si="67"/>
        <v>390925.87987677549</v>
      </c>
      <c r="K81" s="321">
        <f t="shared" si="74"/>
        <v>94496430.846146196</v>
      </c>
      <c r="L81" s="321">
        <f t="shared" si="73"/>
        <v>170591.19787377975</v>
      </c>
      <c r="M81" s="321">
        <f t="shared" si="75"/>
        <v>463720.54142710747</v>
      </c>
      <c r="N81" s="321">
        <f t="shared" si="68"/>
        <v>94032710.30471909</v>
      </c>
      <c r="O81" s="376">
        <v>16907079.007999506</v>
      </c>
      <c r="P81" s="321">
        <f t="shared" si="69"/>
        <v>17187736.519532297</v>
      </c>
      <c r="Q81" s="359"/>
      <c r="R81" s="356"/>
      <c r="S81" s="359"/>
      <c r="T81" s="359"/>
      <c r="U81" s="356"/>
      <c r="V81" s="256"/>
      <c r="W81" s="359"/>
      <c r="X81" s="356"/>
      <c r="Y81" s="256"/>
    </row>
    <row r="82" spans="1:25" ht="13">
      <c r="A82" s="326">
        <f t="shared" si="58"/>
        <v>56</v>
      </c>
      <c r="C82" s="345" t="str">
        <f t="shared" si="66"/>
        <v>July</v>
      </c>
      <c r="D82" s="495">
        <v>2023</v>
      </c>
      <c r="E82" s="361">
        <v>21444007.156881213</v>
      </c>
      <c r="F82" s="361">
        <v>3466480.7336666798</v>
      </c>
      <c r="G82" s="321">
        <f t="shared" si="70"/>
        <v>1348314.4817410898</v>
      </c>
      <c r="H82" s="321">
        <f t="shared" si="71"/>
        <v>1546067.2723964497</v>
      </c>
      <c r="I82" s="321">
        <f t="shared" si="72"/>
        <v>17779773.632559173</v>
      </c>
      <c r="J82" s="321">
        <f t="shared" si="67"/>
        <v>533393.20897677517</v>
      </c>
      <c r="K82" s="321">
        <f t="shared" si="74"/>
        <v>116276078.42134883</v>
      </c>
      <c r="L82" s="321">
        <f t="shared" si="73"/>
        <v>202288.81362987743</v>
      </c>
      <c r="M82" s="321">
        <f t="shared" si="75"/>
        <v>666009.35505698493</v>
      </c>
      <c r="N82" s="321">
        <f t="shared" si="68"/>
        <v>115610069.06629184</v>
      </c>
      <c r="O82" s="376">
        <v>20818134.324332763</v>
      </c>
      <c r="P82" s="321">
        <f t="shared" si="69"/>
        <v>21163715.354116686</v>
      </c>
      <c r="Q82" s="359"/>
      <c r="R82" s="356"/>
      <c r="S82" s="359"/>
      <c r="T82" s="359"/>
      <c r="U82" s="356"/>
      <c r="V82" s="256"/>
      <c r="W82" s="359"/>
      <c r="X82" s="356"/>
      <c r="Y82" s="256"/>
    </row>
    <row r="83" spans="1:25" ht="13">
      <c r="A83" s="326">
        <f t="shared" si="58"/>
        <v>57</v>
      </c>
      <c r="C83" s="345" t="str">
        <f t="shared" si="66"/>
        <v>August</v>
      </c>
      <c r="D83" s="495">
        <v>2023</v>
      </c>
      <c r="E83" s="361">
        <v>23431840.942901209</v>
      </c>
      <c r="F83" s="361">
        <v>9542036.9876866769</v>
      </c>
      <c r="G83" s="321">
        <f t="shared" si="70"/>
        <v>1041735.2966410898</v>
      </c>
      <c r="H83" s="321">
        <f t="shared" si="71"/>
        <v>1194523.1401484497</v>
      </c>
      <c r="I83" s="321">
        <f t="shared" si="72"/>
        <v>13737016.111707171</v>
      </c>
      <c r="J83" s="321">
        <f t="shared" si="67"/>
        <v>412110.48335121514</v>
      </c>
      <c r="K83" s="321">
        <f t="shared" si="74"/>
        <v>139967242.00409389</v>
      </c>
      <c r="L83" s="321">
        <f t="shared" si="73"/>
        <v>248912.5752874772</v>
      </c>
      <c r="M83" s="321">
        <f t="shared" si="75"/>
        <v>914921.93034446216</v>
      </c>
      <c r="N83" s="321">
        <f t="shared" si="68"/>
        <v>139052320.07374942</v>
      </c>
      <c r="O83" s="376">
        <v>22418131.080666013</v>
      </c>
      <c r="P83" s="321">
        <f t="shared" si="69"/>
        <v>22790272.056605071</v>
      </c>
      <c r="Q83" s="359"/>
      <c r="R83" s="356"/>
      <c r="S83" s="359"/>
      <c r="T83" s="359"/>
      <c r="U83" s="356"/>
      <c r="V83" s="256"/>
      <c r="W83" s="359"/>
      <c r="X83" s="356"/>
      <c r="Y83" s="256"/>
    </row>
    <row r="84" spans="1:25" ht="13">
      <c r="A84" s="326">
        <f t="shared" si="58"/>
        <v>58</v>
      </c>
      <c r="C84" s="345" t="str">
        <f t="shared" si="66"/>
        <v>September</v>
      </c>
      <c r="D84" s="495">
        <v>2023</v>
      </c>
      <c r="E84" s="361">
        <v>18727095.976881206</v>
      </c>
      <c r="F84" s="361">
        <v>4238829.5536666736</v>
      </c>
      <c r="G84" s="321">
        <f t="shared" si="70"/>
        <v>1086619.9817410898</v>
      </c>
      <c r="H84" s="321">
        <f t="shared" si="71"/>
        <v>1245990.9123964498</v>
      </c>
      <c r="I84" s="321">
        <f t="shared" si="72"/>
        <v>14328895.492559172</v>
      </c>
      <c r="J84" s="321">
        <f t="shared" si="67"/>
        <v>429866.86477677512</v>
      </c>
      <c r="K84" s="321">
        <f t="shared" si="74"/>
        <v>158964833.91509649</v>
      </c>
      <c r="L84" s="321">
        <f t="shared" si="73"/>
        <v>299628.32541424833</v>
      </c>
      <c r="M84" s="321">
        <f t="shared" si="75"/>
        <v>1214550.2557587104</v>
      </c>
      <c r="N84" s="321">
        <f t="shared" si="68"/>
        <v>157750283.65933779</v>
      </c>
      <c r="O84" s="376">
        <v>23625310.526999265</v>
      </c>
      <c r="P84" s="321">
        <f t="shared" si="69"/>
        <v>24017490.681747451</v>
      </c>
      <c r="Q84" s="359"/>
      <c r="R84" s="356"/>
      <c r="S84" s="359"/>
      <c r="T84" s="359"/>
      <c r="U84" s="356"/>
      <c r="V84" s="256"/>
      <c r="W84" s="359"/>
      <c r="X84" s="356"/>
      <c r="Y84" s="256"/>
    </row>
    <row r="85" spans="1:25" ht="13">
      <c r="A85" s="326">
        <f t="shared" si="58"/>
        <v>59</v>
      </c>
      <c r="C85" s="345" t="str">
        <f t="shared" si="66"/>
        <v xml:space="preserve">October </v>
      </c>
      <c r="D85" s="495">
        <v>2023</v>
      </c>
      <c r="E85" s="361">
        <v>14380539.096881241</v>
      </c>
      <c r="F85" s="361">
        <v>848244.67366667837</v>
      </c>
      <c r="G85" s="321">
        <f t="shared" si="70"/>
        <v>1014922.0817410921</v>
      </c>
      <c r="H85" s="321">
        <f t="shared" si="71"/>
        <v>1163777.3203964524</v>
      </c>
      <c r="I85" s="321">
        <f t="shared" si="72"/>
        <v>13383439.184559202</v>
      </c>
      <c r="J85" s="321">
        <f t="shared" si="67"/>
        <v>401503.17553677602</v>
      </c>
      <c r="K85" s="321">
        <f t="shared" si="74"/>
        <v>173598020.94885916</v>
      </c>
      <c r="L85" s="321">
        <f t="shared" si="73"/>
        <v>340296.53155801509</v>
      </c>
      <c r="M85" s="321">
        <f t="shared" si="75"/>
        <v>1554846.7873167256</v>
      </c>
      <c r="N85" s="321">
        <f t="shared" si="68"/>
        <v>172043174.16154242</v>
      </c>
      <c r="O85" s="376">
        <v>24832489.973332517</v>
      </c>
      <c r="P85" s="321">
        <f t="shared" si="69"/>
        <v>25244709.306889839</v>
      </c>
      <c r="Q85" s="359"/>
      <c r="R85" s="356"/>
      <c r="S85" s="359"/>
      <c r="T85" s="359"/>
      <c r="U85" s="356"/>
      <c r="V85" s="256"/>
      <c r="W85" s="359"/>
      <c r="X85" s="356"/>
      <c r="Y85" s="256"/>
    </row>
    <row r="86" spans="1:25" ht="13">
      <c r="A86" s="326">
        <f t="shared" si="58"/>
        <v>60</v>
      </c>
      <c r="C86" s="345" t="str">
        <f t="shared" si="66"/>
        <v>November</v>
      </c>
      <c r="D86" s="495">
        <v>2023</v>
      </c>
      <c r="E86" s="361">
        <v>21361146.586081207</v>
      </c>
      <c r="F86" s="361">
        <v>4671836.16286668</v>
      </c>
      <c r="G86" s="321">
        <f t="shared" si="70"/>
        <v>1251698.2817410894</v>
      </c>
      <c r="H86" s="321">
        <f t="shared" si="71"/>
        <v>1435280.6963964493</v>
      </c>
      <c r="I86" s="321">
        <f t="shared" si="72"/>
        <v>16505728.008559166</v>
      </c>
      <c r="J86" s="321">
        <f t="shared" si="67"/>
        <v>495171.84025677497</v>
      </c>
      <c r="K86" s="321">
        <f t="shared" si="74"/>
        <v>195270756.96054178</v>
      </c>
      <c r="L86" s="321">
        <f t="shared" si="73"/>
        <v>371621.84213512536</v>
      </c>
      <c r="M86" s="321">
        <f t="shared" si="75"/>
        <v>1926468.6294518509</v>
      </c>
      <c r="N86" s="321">
        <f t="shared" si="68"/>
        <v>193344288.33108994</v>
      </c>
      <c r="O86" s="376">
        <v>26039669.419665769</v>
      </c>
      <c r="P86" s="321">
        <f t="shared" si="69"/>
        <v>26471927.93203222</v>
      </c>
      <c r="Q86" s="359"/>
      <c r="R86" s="356"/>
      <c r="S86" s="359"/>
      <c r="T86" s="359"/>
      <c r="U86" s="356"/>
      <c r="V86" s="256"/>
      <c r="W86" s="359"/>
      <c r="X86" s="356"/>
      <c r="Y86" s="256"/>
    </row>
    <row r="87" spans="1:25" ht="13">
      <c r="A87" s="326">
        <f t="shared" si="58"/>
        <v>61</v>
      </c>
      <c r="C87" s="345" t="str">
        <f t="shared" si="66"/>
        <v>December</v>
      </c>
      <c r="D87" s="495">
        <v>2023</v>
      </c>
      <c r="E87" s="361">
        <v>59393812.282753229</v>
      </c>
      <c r="F87" s="361">
        <v>24446544.775538675</v>
      </c>
      <c r="G87" s="321">
        <f t="shared" si="70"/>
        <v>2621045.0630410914</v>
      </c>
      <c r="H87" s="321">
        <f t="shared" si="71"/>
        <v>3005465.0056204516</v>
      </c>
      <c r="I87" s="321">
        <f t="shared" si="72"/>
        <v>34562847.564635195</v>
      </c>
      <c r="J87" s="321">
        <f t="shared" si="67"/>
        <v>1036885.4269390558</v>
      </c>
      <c r="K87" s="321">
        <f t="shared" si="74"/>
        <v>255317034.72765473</v>
      </c>
      <c r="L87" s="321">
        <f t="shared" si="73"/>
        <v>418016.73786462471</v>
      </c>
      <c r="M87" s="321">
        <f t="shared" si="75"/>
        <v>2344485.3673164756</v>
      </c>
      <c r="N87" s="321">
        <f t="shared" si="68"/>
        <v>252972549.36033824</v>
      </c>
      <c r="O87" s="376">
        <v>28561538.60759902</v>
      </c>
      <c r="P87" s="321">
        <f t="shared" si="69"/>
        <v>29035660.148485161</v>
      </c>
      <c r="Q87" s="359"/>
      <c r="R87" s="356"/>
      <c r="S87" s="359"/>
      <c r="T87" s="359"/>
      <c r="U87" s="356"/>
      <c r="V87" s="256"/>
      <c r="W87" s="359"/>
      <c r="X87" s="356"/>
      <c r="Y87" s="256"/>
    </row>
    <row r="88" spans="1:25" ht="13">
      <c r="A88" s="326">
        <f t="shared" si="58"/>
        <v>62</v>
      </c>
      <c r="C88" s="345" t="str">
        <f t="shared" si="66"/>
        <v>January</v>
      </c>
      <c r="D88" s="495">
        <v>2024</v>
      </c>
      <c r="E88" s="361">
        <v>14021080.344639897</v>
      </c>
      <c r="F88" s="361">
        <v>0</v>
      </c>
      <c r="G88" s="321">
        <f t="shared" si="70"/>
        <v>1051581.0258479922</v>
      </c>
      <c r="H88" s="321">
        <f t="shared" si="71"/>
        <v>1205812.9096390312</v>
      </c>
      <c r="I88" s="321">
        <f t="shared" si="72"/>
        <v>13866848.460848859</v>
      </c>
      <c r="J88" s="321">
        <f t="shared" si="67"/>
        <v>416005.45382546575</v>
      </c>
      <c r="K88" s="321">
        <f t="shared" si="74"/>
        <v>269599888.64232904</v>
      </c>
      <c r="L88" s="321">
        <f t="shared" si="73"/>
        <v>546557.99792740878</v>
      </c>
      <c r="M88" s="321">
        <f t="shared" si="75"/>
        <v>2891043.3652438843</v>
      </c>
      <c r="N88" s="321">
        <f t="shared" si="68"/>
        <v>266708845.27708516</v>
      </c>
      <c r="O88" s="376">
        <v>29848090.585522223</v>
      </c>
      <c r="P88" s="321">
        <f t="shared" si="69"/>
        <v>30343568.889241893</v>
      </c>
      <c r="Q88" s="359"/>
      <c r="R88" s="356"/>
      <c r="S88" s="359"/>
      <c r="T88" s="359"/>
      <c r="U88" s="356"/>
      <c r="V88" s="256"/>
      <c r="W88" s="359"/>
      <c r="X88" s="356"/>
      <c r="Y88" s="256"/>
    </row>
    <row r="89" spans="1:25" ht="13">
      <c r="A89" s="326">
        <f t="shared" si="58"/>
        <v>63</v>
      </c>
      <c r="C89" s="345" t="str">
        <f t="shared" si="66"/>
        <v>February</v>
      </c>
      <c r="D89" s="495">
        <v>2024</v>
      </c>
      <c r="E89" s="361">
        <v>16731486.611742914</v>
      </c>
      <c r="F89" s="361">
        <v>1338823.8171029997</v>
      </c>
      <c r="G89" s="321">
        <f t="shared" si="70"/>
        <v>1154449.7095979934</v>
      </c>
      <c r="H89" s="321">
        <f t="shared" si="71"/>
        <v>1323769.0003390326</v>
      </c>
      <c r="I89" s="321">
        <f t="shared" si="72"/>
        <v>15223343.503898874</v>
      </c>
      <c r="J89" s="321">
        <f t="shared" si="67"/>
        <v>456700.30511696619</v>
      </c>
      <c r="K89" s="321">
        <f t="shared" si="74"/>
        <v>286618756.26844788</v>
      </c>
      <c r="L89" s="321">
        <f t="shared" si="73"/>
        <v>577133.34926901071</v>
      </c>
      <c r="M89" s="321">
        <f t="shared" si="75"/>
        <v>3468176.7145128949</v>
      </c>
      <c r="N89" s="321">
        <f t="shared" si="68"/>
        <v>283150579.55393499</v>
      </c>
      <c r="O89" s="376">
        <v>31134642.563445423</v>
      </c>
      <c r="P89" s="321">
        <f t="shared" si="69"/>
        <v>31651477.629998617</v>
      </c>
      <c r="Q89" s="359"/>
      <c r="R89" s="356"/>
      <c r="S89" s="359"/>
      <c r="T89" s="359"/>
      <c r="U89" s="356"/>
      <c r="V89" s="256"/>
      <c r="W89" s="359"/>
      <c r="X89" s="356"/>
      <c r="Y89" s="256"/>
    </row>
    <row r="90" spans="1:25" ht="13">
      <c r="A90" s="326">
        <f t="shared" si="58"/>
        <v>64</v>
      </c>
      <c r="C90" s="345" t="str">
        <f t="shared" si="66"/>
        <v>March</v>
      </c>
      <c r="D90" s="495">
        <v>2024</v>
      </c>
      <c r="E90" s="361">
        <v>15639078.819639921</v>
      </c>
      <c r="F90" s="361">
        <v>696299.97500000044</v>
      </c>
      <c r="G90" s="321">
        <f t="shared" si="70"/>
        <v>1120708.413347994</v>
      </c>
      <c r="H90" s="321">
        <f t="shared" si="71"/>
        <v>1285078.9806390333</v>
      </c>
      <c r="I90" s="321">
        <f t="shared" si="72"/>
        <v>14778408.277348883</v>
      </c>
      <c r="J90" s="321">
        <f t="shared" si="67"/>
        <v>443352.24832046649</v>
      </c>
      <c r="K90" s="321">
        <f t="shared" si="74"/>
        <v>302536816.76911724</v>
      </c>
      <c r="L90" s="321">
        <f t="shared" si="73"/>
        <v>613565.69396800536</v>
      </c>
      <c r="M90" s="321">
        <f t="shared" si="75"/>
        <v>4081742.4084809003</v>
      </c>
      <c r="N90" s="321">
        <f t="shared" si="68"/>
        <v>298455074.36063635</v>
      </c>
      <c r="O90" s="376">
        <v>33571804.416368626</v>
      </c>
      <c r="P90" s="321">
        <f t="shared" si="69"/>
        <v>34129096.369680345</v>
      </c>
      <c r="Q90" s="359"/>
      <c r="R90" s="356"/>
      <c r="S90" s="359"/>
      <c r="T90" s="359"/>
      <c r="U90" s="356"/>
      <c r="V90" s="256"/>
      <c r="W90" s="359"/>
      <c r="X90" s="356"/>
      <c r="Y90" s="256"/>
    </row>
    <row r="91" spans="1:25" ht="13">
      <c r="A91" s="326">
        <f t="shared" si="58"/>
        <v>65</v>
      </c>
      <c r="C91" s="345" t="str">
        <f t="shared" si="66"/>
        <v>April</v>
      </c>
      <c r="D91" s="495">
        <v>2024</v>
      </c>
      <c r="E91" s="361">
        <v>16257510.383839846</v>
      </c>
      <c r="F91" s="361">
        <v>546350.10999999952</v>
      </c>
      <c r="G91" s="321">
        <f t="shared" si="70"/>
        <v>1178337.0205379885</v>
      </c>
      <c r="H91" s="321">
        <f t="shared" si="71"/>
        <v>1351159.7835502268</v>
      </c>
      <c r="I91" s="321">
        <f t="shared" si="72"/>
        <v>15538337.510827607</v>
      </c>
      <c r="J91" s="321">
        <f t="shared" si="67"/>
        <v>466150.1253248282</v>
      </c>
      <c r="K91" s="321">
        <f t="shared" si="74"/>
        <v>319087654.5152697</v>
      </c>
      <c r="L91" s="321">
        <f t="shared" si="73"/>
        <v>647641.53731082671</v>
      </c>
      <c r="M91" s="321">
        <f t="shared" si="75"/>
        <v>4729383.9457917269</v>
      </c>
      <c r="N91" s="321">
        <f t="shared" si="68"/>
        <v>314358270.56947798</v>
      </c>
      <c r="O91" s="376">
        <v>34858356.394291833</v>
      </c>
      <c r="P91" s="321">
        <f t="shared" si="69"/>
        <v>35437005.11043708</v>
      </c>
      <c r="Q91" s="359"/>
      <c r="R91" s="356"/>
      <c r="S91" s="359"/>
      <c r="T91" s="359"/>
      <c r="U91" s="356"/>
      <c r="V91" s="256"/>
      <c r="W91" s="359"/>
      <c r="X91" s="356"/>
      <c r="Y91" s="256"/>
    </row>
    <row r="92" spans="1:25" ht="13">
      <c r="A92" s="326">
        <f t="shared" si="58"/>
        <v>66</v>
      </c>
      <c r="C92" s="345" t="str">
        <f t="shared" si="66"/>
        <v>May</v>
      </c>
      <c r="D92" s="495">
        <v>2024</v>
      </c>
      <c r="E92" s="361">
        <v>25928109.797807872</v>
      </c>
      <c r="F92" s="361">
        <v>1945458.453168001</v>
      </c>
      <c r="G92" s="321">
        <f t="shared" si="70"/>
        <v>1798698.8508479903</v>
      </c>
      <c r="H92" s="321">
        <f t="shared" si="71"/>
        <v>2062508.015639029</v>
      </c>
      <c r="I92" s="321">
        <f t="shared" si="72"/>
        <v>23718842.179848831</v>
      </c>
      <c r="J92" s="321">
        <f t="shared" si="67"/>
        <v>711565.26539546496</v>
      </c>
      <c r="K92" s="321">
        <f t="shared" si="74"/>
        <v>345463520.41368198</v>
      </c>
      <c r="L92" s="321">
        <f t="shared" si="73"/>
        <v>683071.96893951832</v>
      </c>
      <c r="M92" s="321">
        <f t="shared" si="75"/>
        <v>5412455.9147312455</v>
      </c>
      <c r="N92" s="321">
        <f t="shared" si="68"/>
        <v>340051064.49895072</v>
      </c>
      <c r="O92" s="376">
        <v>36144908.37221504</v>
      </c>
      <c r="P92" s="321">
        <f t="shared" si="69"/>
        <v>36744913.851193808</v>
      </c>
      <c r="Q92" s="359"/>
      <c r="R92" s="356"/>
      <c r="S92" s="359"/>
      <c r="T92" s="359"/>
      <c r="U92" s="356"/>
      <c r="V92" s="256"/>
      <c r="W92" s="359"/>
      <c r="X92" s="356"/>
      <c r="Y92" s="256"/>
    </row>
    <row r="93" spans="1:25" ht="13">
      <c r="A93" s="326">
        <f t="shared" si="58"/>
        <v>67</v>
      </c>
      <c r="C93" s="345" t="str">
        <f t="shared" si="66"/>
        <v xml:space="preserve">June </v>
      </c>
      <c r="D93" s="495">
        <v>2024</v>
      </c>
      <c r="E93" s="361">
        <v>32279108.194639862</v>
      </c>
      <c r="F93" s="361">
        <v>2221059.9099999992</v>
      </c>
      <c r="G93" s="321">
        <f t="shared" si="70"/>
        <v>2254353.6213479894</v>
      </c>
      <c r="H93" s="321">
        <f t="shared" si="71"/>
        <v>2584992.1524790283</v>
      </c>
      <c r="I93" s="321">
        <f t="shared" si="72"/>
        <v>29727409.753508821</v>
      </c>
      <c r="J93" s="321">
        <f t="shared" si="67"/>
        <v>891822.29260526458</v>
      </c>
      <c r="K93" s="321">
        <f t="shared" si="74"/>
        <v>378303812.3697961</v>
      </c>
      <c r="L93" s="321">
        <f t="shared" si="73"/>
        <v>739534.86995360628</v>
      </c>
      <c r="M93" s="321">
        <f t="shared" si="75"/>
        <v>6151990.7846848518</v>
      </c>
      <c r="N93" s="321">
        <f t="shared" si="68"/>
        <v>372151821.58511126</v>
      </c>
      <c r="O93" s="376">
        <v>37431460.350138247</v>
      </c>
      <c r="P93" s="321">
        <f t="shared" si="69"/>
        <v>38052822.591950543</v>
      </c>
      <c r="Q93" s="359"/>
      <c r="R93" s="356"/>
      <c r="S93" s="359"/>
      <c r="T93" s="359"/>
      <c r="U93" s="356"/>
      <c r="V93" s="256"/>
      <c r="W93" s="359"/>
      <c r="X93" s="356"/>
      <c r="Y93" s="256"/>
    </row>
    <row r="94" spans="1:25" ht="13">
      <c r="A94" s="326">
        <f t="shared" si="58"/>
        <v>68</v>
      </c>
      <c r="C94" s="345" t="str">
        <f t="shared" si="66"/>
        <v>July</v>
      </c>
      <c r="D94" s="495">
        <v>2024</v>
      </c>
      <c r="E94" s="361">
        <v>27620723.004639924</v>
      </c>
      <c r="F94" s="361">
        <v>1653642.6600000006</v>
      </c>
      <c r="G94" s="321">
        <f t="shared" si="70"/>
        <v>1947531.0258479943</v>
      </c>
      <c r="H94" s="321">
        <f t="shared" si="71"/>
        <v>2233168.9096390335</v>
      </c>
      <c r="I94" s="321">
        <f t="shared" si="72"/>
        <v>25681442.460848883</v>
      </c>
      <c r="J94" s="321">
        <f t="shared" si="67"/>
        <v>770443.2738254664</v>
      </c>
      <c r="K94" s="321">
        <f t="shared" si="74"/>
        <v>406409340.76447046</v>
      </c>
      <c r="L94" s="321">
        <f t="shared" si="73"/>
        <v>809836.18863385636</v>
      </c>
      <c r="M94" s="321">
        <f t="shared" si="75"/>
        <v>6961826.9733187081</v>
      </c>
      <c r="N94" s="321">
        <f t="shared" si="68"/>
        <v>399447513.79115176</v>
      </c>
      <c r="O94" s="376">
        <v>38718012.328061447</v>
      </c>
      <c r="P94" s="321">
        <f t="shared" si="69"/>
        <v>39360731.332707264</v>
      </c>
      <c r="Q94" s="359"/>
      <c r="R94" s="356"/>
      <c r="S94" s="359"/>
      <c r="T94" s="359"/>
      <c r="U94" s="356"/>
      <c r="V94" s="256"/>
      <c r="W94" s="359"/>
      <c r="X94" s="356"/>
      <c r="Y94" s="256"/>
    </row>
    <row r="95" spans="1:25" ht="13">
      <c r="A95" s="326">
        <f t="shared" si="58"/>
        <v>69</v>
      </c>
      <c r="C95" s="345" t="str">
        <f t="shared" si="66"/>
        <v>August</v>
      </c>
      <c r="D95" s="495">
        <v>2024</v>
      </c>
      <c r="E95" s="361">
        <v>19913241.686639905</v>
      </c>
      <c r="F95" s="361">
        <v>308552.54200000007</v>
      </c>
      <c r="G95" s="321">
        <f t="shared" si="70"/>
        <v>1470351.6858479928</v>
      </c>
      <c r="H95" s="321">
        <f t="shared" si="71"/>
        <v>1686003.266439032</v>
      </c>
      <c r="I95" s="321">
        <f t="shared" si="72"/>
        <v>19389037.564048868</v>
      </c>
      <c r="J95" s="321">
        <f t="shared" si="67"/>
        <v>581671.12692146597</v>
      </c>
      <c r="K95" s="321">
        <f t="shared" si="74"/>
        <v>426688601.99744081</v>
      </c>
      <c r="L95" s="321">
        <f t="shared" si="73"/>
        <v>870001.78372025921</v>
      </c>
      <c r="M95" s="321">
        <f t="shared" si="75"/>
        <v>7831828.7570389677</v>
      </c>
      <c r="N95" s="321">
        <f t="shared" si="68"/>
        <v>418856773.24040186</v>
      </c>
      <c r="O95" s="376">
        <v>40004564.305984654</v>
      </c>
      <c r="P95" s="321">
        <f t="shared" si="69"/>
        <v>40668640.073464006</v>
      </c>
      <c r="Q95" s="359"/>
      <c r="R95" s="356"/>
      <c r="S95" s="359"/>
      <c r="T95" s="359"/>
      <c r="U95" s="356"/>
      <c r="V95" s="256"/>
      <c r="W95" s="359"/>
      <c r="X95" s="356"/>
      <c r="Y95" s="256"/>
    </row>
    <row r="96" spans="1:25" ht="13">
      <c r="A96" s="326">
        <f t="shared" si="58"/>
        <v>70</v>
      </c>
      <c r="C96" s="345" t="str">
        <f t="shared" si="66"/>
        <v>September</v>
      </c>
      <c r="D96" s="495">
        <v>2024</v>
      </c>
      <c r="E96" s="361">
        <v>39390073.774639845</v>
      </c>
      <c r="F96" s="361">
        <v>11346926.43</v>
      </c>
      <c r="G96" s="321">
        <f t="shared" si="70"/>
        <v>2103236.0508479881</v>
      </c>
      <c r="H96" s="321">
        <f t="shared" si="71"/>
        <v>2411710.6716390266</v>
      </c>
      <c r="I96" s="321">
        <f t="shared" si="72"/>
        <v>27734672.723848809</v>
      </c>
      <c r="J96" s="321">
        <f t="shared" si="67"/>
        <v>832040.18171546422</v>
      </c>
      <c r="K96" s="321">
        <f t="shared" si="74"/>
        <v>466602241.33300513</v>
      </c>
      <c r="L96" s="321">
        <f t="shared" si="73"/>
        <v>913413.66350635432</v>
      </c>
      <c r="M96" s="321">
        <f t="shared" si="75"/>
        <v>8745242.4205453228</v>
      </c>
      <c r="N96" s="321">
        <f t="shared" si="68"/>
        <v>457856998.91245979</v>
      </c>
      <c r="O96" s="376">
        <v>41291116.283907861</v>
      </c>
      <c r="P96" s="321">
        <f t="shared" si="69"/>
        <v>41976548.814220734</v>
      </c>
      <c r="Q96" s="359"/>
      <c r="R96" s="356"/>
      <c r="S96" s="359"/>
      <c r="T96" s="359"/>
      <c r="U96" s="356"/>
      <c r="V96" s="256"/>
      <c r="W96" s="359"/>
      <c r="X96" s="356"/>
      <c r="Y96" s="256"/>
    </row>
    <row r="97" spans="1:25" ht="13">
      <c r="A97" s="326">
        <f t="shared" si="58"/>
        <v>71</v>
      </c>
      <c r="C97" s="345" t="str">
        <f t="shared" ref="C97:C99" si="76">C66</f>
        <v>October</v>
      </c>
      <c r="D97" s="495">
        <v>2024</v>
      </c>
      <c r="E97" s="361">
        <v>14261984.924639881</v>
      </c>
      <c r="F97" s="361">
        <v>3722.5799999999995</v>
      </c>
      <c r="G97" s="321">
        <f t="shared" si="70"/>
        <v>1069369.6758479909</v>
      </c>
      <c r="H97" s="321">
        <f t="shared" si="71"/>
        <v>1226210.5616390298</v>
      </c>
      <c r="I97" s="321">
        <f t="shared" si="72"/>
        <v>14101421.458848841</v>
      </c>
      <c r="J97" s="321">
        <f t="shared" si="67"/>
        <v>423042.64376546524</v>
      </c>
      <c r="K97" s="321">
        <f t="shared" si="74"/>
        <v>481130428.0156194</v>
      </c>
      <c r="L97" s="321">
        <f t="shared" si="73"/>
        <v>998856.91968592256</v>
      </c>
      <c r="M97" s="321">
        <f t="shared" si="75"/>
        <v>9744099.3402312454</v>
      </c>
      <c r="N97" s="321">
        <f t="shared" si="68"/>
        <v>471386328.67538816</v>
      </c>
      <c r="O97" s="376">
        <v>42577668.261831068</v>
      </c>
      <c r="P97" s="321">
        <f t="shared" ref="P97:P99" si="77">O97*(1-$E$107)*(1+$E$103+$E$111)</f>
        <v>43284457.554977462</v>
      </c>
      <c r="Q97" s="359"/>
      <c r="R97" s="356"/>
      <c r="S97" s="359"/>
      <c r="T97" s="359"/>
      <c r="U97" s="356"/>
      <c r="V97" s="256"/>
      <c r="W97" s="359"/>
      <c r="X97" s="356"/>
      <c r="Y97" s="256"/>
    </row>
    <row r="98" spans="1:25" ht="13">
      <c r="A98" s="326">
        <f t="shared" si="58"/>
        <v>72</v>
      </c>
      <c r="C98" s="345" t="str">
        <f t="shared" si="76"/>
        <v>November</v>
      </c>
      <c r="D98" s="495">
        <v>2024</v>
      </c>
      <c r="E98" s="361">
        <v>19060601.214639902</v>
      </c>
      <c r="F98" s="361">
        <v>1587595.87</v>
      </c>
      <c r="G98" s="321">
        <f t="shared" si="70"/>
        <v>1310475.4008479926</v>
      </c>
      <c r="H98" s="321">
        <f t="shared" si="71"/>
        <v>1502678.4596390317</v>
      </c>
      <c r="I98" s="321">
        <f t="shared" si="72"/>
        <v>17280802.285848863</v>
      </c>
      <c r="J98" s="321">
        <f t="shared" si="67"/>
        <v>518424.06857546588</v>
      </c>
      <c r="K98" s="321">
        <f t="shared" si="74"/>
        <v>500517250.2400437</v>
      </c>
      <c r="L98" s="321">
        <f t="shared" si="73"/>
        <v>1029957.4556734072</v>
      </c>
      <c r="M98" s="321">
        <f t="shared" si="75"/>
        <v>10774056.795904653</v>
      </c>
      <c r="N98" s="321">
        <f t="shared" si="68"/>
        <v>489743193.44413906</v>
      </c>
      <c r="O98" s="376">
        <v>43864220.239754274</v>
      </c>
      <c r="P98" s="321">
        <f t="shared" si="77"/>
        <v>44592366.295734204</v>
      </c>
      <c r="Q98" s="359"/>
      <c r="R98" s="356"/>
      <c r="S98" s="359"/>
      <c r="T98" s="359"/>
      <c r="U98" s="356"/>
      <c r="V98" s="256"/>
      <c r="W98" s="359"/>
      <c r="X98" s="356"/>
      <c r="Y98" s="256"/>
    </row>
    <row r="99" spans="1:25" ht="13">
      <c r="A99" s="326">
        <f t="shared" si="58"/>
        <v>73</v>
      </c>
      <c r="C99" s="345" t="str">
        <f t="shared" si="76"/>
        <v>December</v>
      </c>
      <c r="D99" s="495">
        <v>2024</v>
      </c>
      <c r="E99" s="361">
        <v>57934054.614639878</v>
      </c>
      <c r="F99" s="361">
        <v>16418115.269999988</v>
      </c>
      <c r="G99" s="321">
        <f t="shared" si="70"/>
        <v>3113695.4508479917</v>
      </c>
      <c r="H99" s="321">
        <f t="shared" si="71"/>
        <v>3570370.7836390305</v>
      </c>
      <c r="I99" s="321">
        <f t="shared" si="72"/>
        <v>41059264.011848852</v>
      </c>
      <c r="J99" s="321">
        <f t="shared" si="67"/>
        <v>1231777.9203554655</v>
      </c>
      <c r="K99" s="321">
        <f t="shared" si="74"/>
        <v>559226407.44224799</v>
      </c>
      <c r="L99" s="321">
        <f t="shared" si="73"/>
        <v>1071458.8884017742</v>
      </c>
      <c r="M99" s="321">
        <f t="shared" si="75"/>
        <v>11845515.684306428</v>
      </c>
      <c r="N99" s="321">
        <f t="shared" si="68"/>
        <v>547380891.7579416</v>
      </c>
      <c r="O99" s="376">
        <v>45150772.217677474</v>
      </c>
      <c r="P99" s="321">
        <f t="shared" si="77"/>
        <v>45900275.036490925</v>
      </c>
      <c r="Q99" s="359"/>
      <c r="R99" s="356"/>
      <c r="S99" s="359"/>
      <c r="T99" s="359"/>
      <c r="U99" s="356"/>
      <c r="V99" s="256"/>
      <c r="W99" s="359"/>
      <c r="X99" s="356"/>
      <c r="Y99" s="256"/>
    </row>
    <row r="100" spans="1:25" ht="13">
      <c r="A100" s="326"/>
      <c r="E100" s="321"/>
      <c r="F100" s="321"/>
      <c r="O100" s="356"/>
    </row>
    <row r="101" spans="1:25" ht="13">
      <c r="A101" s="326"/>
      <c r="B101" s="323" t="s">
        <v>1338</v>
      </c>
    </row>
    <row r="102" spans="1:25" ht="13">
      <c r="A102" s="354" t="s">
        <v>273</v>
      </c>
      <c r="F102" s="379"/>
    </row>
    <row r="103" spans="1:25" ht="13">
      <c r="A103" s="326">
        <f>A99+1</f>
        <v>74</v>
      </c>
      <c r="C103" s="320" t="s">
        <v>1339</v>
      </c>
      <c r="E103" s="362">
        <v>7.4999999999999997E-2</v>
      </c>
    </row>
    <row r="105" spans="1:25" ht="13">
      <c r="A105" s="326"/>
      <c r="B105" s="323" t="s">
        <v>1340</v>
      </c>
    </row>
    <row r="106" spans="1:25" ht="13">
      <c r="A106" s="354" t="s">
        <v>273</v>
      </c>
      <c r="F106" s="379"/>
    </row>
    <row r="107" spans="1:25" ht="13">
      <c r="A107" s="326">
        <f>A103+1</f>
        <v>75</v>
      </c>
      <c r="B107" s="323"/>
      <c r="C107" s="320" t="s">
        <v>1341</v>
      </c>
      <c r="E107" s="362">
        <v>0.08</v>
      </c>
    </row>
    <row r="108" spans="1:25" ht="13">
      <c r="A108" s="326"/>
      <c r="C108" s="320"/>
    </row>
    <row r="109" spans="1:25" ht="13">
      <c r="B109" s="323" t="s">
        <v>1342</v>
      </c>
    </row>
    <row r="110" spans="1:25" ht="13">
      <c r="A110" s="354" t="s">
        <v>273</v>
      </c>
      <c r="F110" s="379"/>
    </row>
    <row r="111" spans="1:25" ht="13">
      <c r="A111" s="326">
        <f>A107+1</f>
        <v>76</v>
      </c>
      <c r="C111" s="320" t="s">
        <v>1343</v>
      </c>
      <c r="E111" s="362">
        <v>0.03</v>
      </c>
    </row>
    <row r="113" spans="1:9" ht="13">
      <c r="B113" s="323" t="s">
        <v>1344</v>
      </c>
    </row>
    <row r="114" spans="1:9" s="344" customFormat="1" ht="13">
      <c r="C114" s="345" t="s">
        <v>1345</v>
      </c>
      <c r="F114" s="363"/>
    </row>
    <row r="115" spans="1:9" s="326" customFormat="1" ht="13">
      <c r="B115" s="344" t="s">
        <v>336</v>
      </c>
      <c r="C115" s="344" t="s">
        <v>337</v>
      </c>
      <c r="D115" s="344" t="s">
        <v>338</v>
      </c>
      <c r="E115" s="344" t="s">
        <v>339</v>
      </c>
      <c r="F115" s="344"/>
    </row>
    <row r="116" spans="1:9" s="344" customFormat="1" ht="13">
      <c r="C116" s="326" t="s">
        <v>379</v>
      </c>
      <c r="E116" s="353" t="s">
        <v>1346</v>
      </c>
    </row>
    <row r="117" spans="1:9" ht="13">
      <c r="A117" s="326"/>
      <c r="B117" s="326"/>
      <c r="C117" s="326" t="str">
        <f>"Prior Year"</f>
        <v>Prior Year</v>
      </c>
      <c r="D117" s="326" t="s">
        <v>1326</v>
      </c>
      <c r="E117" s="326" t="s">
        <v>620</v>
      </c>
      <c r="F117" s="326" t="s">
        <v>1347</v>
      </c>
    </row>
    <row r="118" spans="1:9" ht="13">
      <c r="A118" s="344" t="s">
        <v>273</v>
      </c>
      <c r="B118" s="344" t="s">
        <v>1348</v>
      </c>
      <c r="C118" s="344" t="s">
        <v>1349</v>
      </c>
      <c r="D118" s="344" t="s">
        <v>376</v>
      </c>
      <c r="E118" s="344" t="s">
        <v>1326</v>
      </c>
      <c r="F118" s="3" t="s">
        <v>251</v>
      </c>
    </row>
    <row r="119" spans="1:9" ht="13">
      <c r="A119" s="326">
        <f>A111+1</f>
        <v>77</v>
      </c>
      <c r="B119" s="326">
        <v>350.1</v>
      </c>
      <c r="C119" s="380">
        <f>'17-Depreciation'!C24</f>
        <v>91354351.12134552</v>
      </c>
      <c r="D119" s="506">
        <f>'18-DepRates'!G6</f>
        <v>0</v>
      </c>
      <c r="E119" s="381">
        <f>C119*D119</f>
        <v>0</v>
      </c>
      <c r="F119" s="647" t="s">
        <v>1350</v>
      </c>
      <c r="H119" s="380"/>
      <c r="I119" s="378"/>
    </row>
    <row r="120" spans="1:9" ht="13">
      <c r="A120" s="326">
        <f>A119+1</f>
        <v>78</v>
      </c>
      <c r="B120" s="326">
        <v>350.2</v>
      </c>
      <c r="C120" s="380">
        <f>'17-Depreciation'!D24</f>
        <v>186649854.17376119</v>
      </c>
      <c r="D120" s="506">
        <f>'18-DepRates'!G7</f>
        <v>1.66E-2</v>
      </c>
      <c r="E120" s="381">
        <f>C120*D120</f>
        <v>3098387.5792844356</v>
      </c>
      <c r="F120" s="647" t="s">
        <v>1351</v>
      </c>
      <c r="H120" s="380"/>
      <c r="I120" s="378"/>
    </row>
    <row r="121" spans="1:9" ht="13">
      <c r="A121" s="326">
        <f t="shared" ref="A121:A133" si="78">A120+1</f>
        <v>79</v>
      </c>
      <c r="B121" s="326">
        <v>352</v>
      </c>
      <c r="C121" s="380">
        <f>'17-Depreciation'!E24</f>
        <v>905947635.00622153</v>
      </c>
      <c r="D121" s="506">
        <f>'18-DepRates'!G8</f>
        <v>2.5700000000000001E-2</v>
      </c>
      <c r="E121" s="381">
        <f t="shared" ref="E121:E128" si="79">C121*D121</f>
        <v>23282854.219659895</v>
      </c>
      <c r="F121" s="647" t="s">
        <v>1352</v>
      </c>
      <c r="H121" s="380"/>
      <c r="I121" s="378"/>
    </row>
    <row r="122" spans="1:9" ht="13">
      <c r="A122" s="326">
        <f t="shared" si="78"/>
        <v>80</v>
      </c>
      <c r="B122" s="326">
        <v>353</v>
      </c>
      <c r="C122" s="380">
        <f>'17-Depreciation'!F24</f>
        <v>4413849878.1680889</v>
      </c>
      <c r="D122" s="506">
        <f>'18-DepRates'!G9</f>
        <v>2.47E-2</v>
      </c>
      <c r="E122" s="381">
        <f t="shared" si="79"/>
        <v>109022091.99075179</v>
      </c>
      <c r="F122" s="647" t="s">
        <v>1353</v>
      </c>
      <c r="H122" s="380"/>
      <c r="I122" s="378"/>
    </row>
    <row r="123" spans="1:9" ht="13">
      <c r="A123" s="326">
        <f t="shared" si="78"/>
        <v>81</v>
      </c>
      <c r="B123" s="326">
        <v>354</v>
      </c>
      <c r="C123" s="380">
        <f>'17-Depreciation'!G24</f>
        <v>2498952320.5850968</v>
      </c>
      <c r="D123" s="506">
        <f>'18-DepRates'!G10</f>
        <v>2.4400000000000002E-2</v>
      </c>
      <c r="E123" s="381">
        <f>C123*D123</f>
        <v>60974436.622276366</v>
      </c>
      <c r="F123" s="647" t="s">
        <v>1354</v>
      </c>
      <c r="H123" s="380"/>
      <c r="I123" s="378"/>
    </row>
    <row r="124" spans="1:9" ht="13">
      <c r="A124" s="326">
        <f t="shared" si="78"/>
        <v>82</v>
      </c>
      <c r="B124" s="326">
        <v>355</v>
      </c>
      <c r="C124" s="380">
        <f>'17-Depreciation'!H24</f>
        <v>632230698.139871</v>
      </c>
      <c r="D124" s="506">
        <f>'18-DepRates'!G11</f>
        <v>3.6700000000000003E-2</v>
      </c>
      <c r="E124" s="381">
        <f t="shared" si="79"/>
        <v>23202866.621733267</v>
      </c>
      <c r="F124" s="647" t="s">
        <v>1355</v>
      </c>
      <c r="H124" s="380"/>
      <c r="I124" s="378"/>
    </row>
    <row r="125" spans="1:9" ht="13">
      <c r="A125" s="326">
        <f t="shared" si="78"/>
        <v>83</v>
      </c>
      <c r="B125" s="326">
        <v>356</v>
      </c>
      <c r="C125" s="380">
        <f>'17-Depreciation'!I24</f>
        <v>1693990750.0441651</v>
      </c>
      <c r="D125" s="506">
        <f>'18-DepRates'!G12</f>
        <v>3.0499999999999999E-2</v>
      </c>
      <c r="E125" s="381">
        <f t="shared" si="79"/>
        <v>51666717.876347035</v>
      </c>
      <c r="F125" s="647" t="s">
        <v>1356</v>
      </c>
      <c r="H125" s="380"/>
      <c r="I125" s="378"/>
    </row>
    <row r="126" spans="1:9" ht="13">
      <c r="A126" s="326">
        <f t="shared" si="78"/>
        <v>84</v>
      </c>
      <c r="B126" s="326">
        <v>357</v>
      </c>
      <c r="C126" s="380">
        <f>'17-Depreciation'!J24</f>
        <v>215308526.7923716</v>
      </c>
      <c r="D126" s="506">
        <f>'18-DepRates'!G13</f>
        <v>1.6500000000000001E-2</v>
      </c>
      <c r="E126" s="381">
        <f t="shared" si="79"/>
        <v>3552590.6920741317</v>
      </c>
      <c r="F126" s="647" t="s">
        <v>1357</v>
      </c>
      <c r="H126" s="380"/>
      <c r="I126" s="378"/>
    </row>
    <row r="127" spans="1:9" ht="13">
      <c r="A127" s="326">
        <f t="shared" si="78"/>
        <v>85</v>
      </c>
      <c r="B127" s="326">
        <v>358</v>
      </c>
      <c r="C127" s="380">
        <f>'17-Depreciation'!K24</f>
        <v>58752899.030000001</v>
      </c>
      <c r="D127" s="506">
        <f>'18-DepRates'!G14</f>
        <v>3.8699999999999998E-2</v>
      </c>
      <c r="E127" s="381">
        <f t="shared" si="79"/>
        <v>2273737.1924609998</v>
      </c>
      <c r="F127" s="647" t="s">
        <v>1358</v>
      </c>
      <c r="H127" s="380"/>
      <c r="I127" s="378"/>
    </row>
    <row r="128" spans="1:9" ht="13">
      <c r="A128" s="326">
        <f t="shared" si="78"/>
        <v>86</v>
      </c>
      <c r="B128" s="326">
        <v>359</v>
      </c>
      <c r="C128" s="380">
        <f>'17-Depreciation'!L24</f>
        <v>226348866.10201344</v>
      </c>
      <c r="D128" s="506">
        <f>'18-DepRates'!G15</f>
        <v>1.5599999999999999E-2</v>
      </c>
      <c r="E128" s="381">
        <f t="shared" si="79"/>
        <v>3531042.3111914094</v>
      </c>
      <c r="F128" s="647" t="s">
        <v>1359</v>
      </c>
      <c r="H128" s="380"/>
      <c r="I128" s="378"/>
    </row>
    <row r="129" spans="1:9" ht="13">
      <c r="A129" s="326">
        <f t="shared" si="78"/>
        <v>87</v>
      </c>
    </row>
    <row r="130" spans="1:9" ht="13">
      <c r="A130" s="326">
        <f t="shared" si="78"/>
        <v>88</v>
      </c>
      <c r="C130" s="319" t="s">
        <v>1360</v>
      </c>
      <c r="E130" s="381">
        <f>SUM(E119:E128)</f>
        <v>280604725.10577929</v>
      </c>
      <c r="F130" s="319" t="str">
        <f>"Sum of C"&amp;RIGHT(E115)&amp;" Lines "&amp;A119&amp;" to "&amp;A128</f>
        <v>Sum of C4 Lines 77 to 86</v>
      </c>
    </row>
    <row r="131" spans="1:9" ht="13">
      <c r="A131" s="326">
        <f t="shared" si="78"/>
        <v>89</v>
      </c>
      <c r="C131" s="319" t="str">
        <f>"Sum of Dec Prior Year Plant"</f>
        <v>Sum of Dec Prior Year Plant</v>
      </c>
      <c r="E131" s="381">
        <f>SUM(C119:C128)</f>
        <v>10923385779.162935</v>
      </c>
      <c r="F131" s="319" t="str">
        <f>"Sum of C"&amp;RIGHT(C115)&amp;" Lines "&amp;A119&amp;" to "&amp;A128</f>
        <v>Sum of C2 Lines 77 to 86</v>
      </c>
    </row>
    <row r="132" spans="1:9" ht="13">
      <c r="A132" s="326">
        <f t="shared" si="78"/>
        <v>90</v>
      </c>
    </row>
    <row r="133" spans="1:9" ht="13">
      <c r="A133" s="326">
        <f t="shared" si="78"/>
        <v>91</v>
      </c>
      <c r="C133" s="319" t="s">
        <v>1361</v>
      </c>
      <c r="E133" s="364">
        <f>E130/E131</f>
        <v>2.5688438619557954E-2</v>
      </c>
      <c r="F133" s="319" t="str">
        <f>"Line "&amp;A130&amp;" / Line "&amp;A131</f>
        <v>Line 88 / Line 89</v>
      </c>
    </row>
    <row r="134" spans="1:9" ht="13">
      <c r="A134" s="326"/>
    </row>
    <row r="135" spans="1:9" ht="13">
      <c r="A135" s="326"/>
      <c r="B135" s="350" t="s">
        <v>228</v>
      </c>
      <c r="C135"/>
      <c r="D135"/>
      <c r="E135"/>
      <c r="F135"/>
      <c r="G135"/>
      <c r="H135"/>
      <c r="I135"/>
    </row>
    <row r="136" spans="1:9" ht="13">
      <c r="A136" s="326"/>
      <c r="B136" s="345" t="s">
        <v>1025</v>
      </c>
      <c r="C136"/>
      <c r="D136"/>
      <c r="E136"/>
      <c r="F136"/>
      <c r="G136"/>
      <c r="H136"/>
      <c r="I136"/>
    </row>
    <row r="137" spans="1:9" ht="13">
      <c r="A137" s="326"/>
      <c r="B137" s="345" t="s">
        <v>1362</v>
      </c>
      <c r="C137"/>
      <c r="D137"/>
      <c r="E137"/>
      <c r="F137"/>
      <c r="G137"/>
      <c r="H137"/>
      <c r="I137"/>
    </row>
    <row r="138" spans="1:9" ht="13">
      <c r="A138" s="326"/>
    </row>
    <row r="139" spans="1:9" ht="13">
      <c r="A139" s="326"/>
    </row>
    <row r="140" spans="1:9" ht="13">
      <c r="A140" s="326"/>
    </row>
    <row r="141" spans="1:9" ht="13">
      <c r="A141" s="326"/>
    </row>
    <row r="142" spans="1:9" ht="13">
      <c r="A142" s="326"/>
    </row>
    <row r="143" spans="1:9" ht="13">
      <c r="A143" s="326"/>
    </row>
    <row r="144" spans="1:9" ht="13">
      <c r="A144" s="326"/>
    </row>
    <row r="145" spans="1:1" ht="13">
      <c r="A145" s="326"/>
    </row>
    <row r="146" spans="1:1" ht="13">
      <c r="A146" s="326"/>
    </row>
    <row r="147" spans="1:1" ht="13">
      <c r="A147" s="326"/>
    </row>
    <row r="148" spans="1:1" ht="13">
      <c r="A148" s="326"/>
    </row>
    <row r="149" spans="1:1" ht="13">
      <c r="A149" s="326"/>
    </row>
    <row r="150" spans="1:1" ht="13">
      <c r="A150" s="326"/>
    </row>
    <row r="151" spans="1:1" ht="13">
      <c r="A151" s="326"/>
    </row>
    <row r="152" spans="1:1" ht="13">
      <c r="A152" s="326"/>
    </row>
    <row r="153" spans="1:1" ht="13">
      <c r="A153" s="326"/>
    </row>
    <row r="154" spans="1:1" ht="13">
      <c r="A154" s="326"/>
    </row>
    <row r="155" spans="1:1" ht="13">
      <c r="A155" s="326"/>
    </row>
    <row r="156" spans="1:1" ht="13">
      <c r="A156" s="326"/>
    </row>
    <row r="157" spans="1:1" ht="13">
      <c r="A157" s="326"/>
    </row>
    <row r="158" spans="1:1" ht="13">
      <c r="A158" s="326"/>
    </row>
    <row r="159" spans="1:1" ht="13">
      <c r="A159" s="326"/>
    </row>
    <row r="160" spans="1:1" ht="13">
      <c r="A160" s="326"/>
    </row>
    <row r="161" spans="1:1" ht="13">
      <c r="A161" s="326"/>
    </row>
    <row r="162" spans="1:1" ht="13">
      <c r="A162" s="326"/>
    </row>
    <row r="163" spans="1:1" ht="13">
      <c r="A163" s="326"/>
    </row>
    <row r="164" spans="1:1" ht="13">
      <c r="A164" s="326"/>
    </row>
    <row r="165" spans="1:1" ht="13">
      <c r="A165" s="326"/>
    </row>
    <row r="166" spans="1:1" ht="13">
      <c r="A166" s="326"/>
    </row>
    <row r="167" spans="1:1" ht="13">
      <c r="A167" s="326"/>
    </row>
    <row r="168" spans="1:1" ht="13">
      <c r="A168" s="326"/>
    </row>
    <row r="169" spans="1:1" ht="13">
      <c r="A169" s="326"/>
    </row>
    <row r="170" spans="1:1" ht="13">
      <c r="A170" s="326"/>
    </row>
    <row r="171" spans="1:1" ht="13">
      <c r="A171" s="326"/>
    </row>
    <row r="172" spans="1:1" ht="13">
      <c r="A172" s="326"/>
    </row>
    <row r="173" spans="1:1" ht="13">
      <c r="A173" s="326"/>
    </row>
    <row r="174" spans="1:1" ht="13">
      <c r="A174" s="326"/>
    </row>
    <row r="175" spans="1:1" ht="13">
      <c r="A175" s="326"/>
    </row>
    <row r="176" spans="1:1" ht="13">
      <c r="A176" s="326"/>
    </row>
    <row r="177" spans="1:1" ht="13">
      <c r="A177" s="326"/>
    </row>
    <row r="178" spans="1:1" ht="13">
      <c r="A178" s="326"/>
    </row>
    <row r="179" spans="1:1" ht="13">
      <c r="A179" s="326"/>
    </row>
    <row r="180" spans="1:1" ht="13">
      <c r="A180" s="326"/>
    </row>
    <row r="181" spans="1:1" ht="13">
      <c r="A181" s="326"/>
    </row>
    <row r="182" spans="1:1" ht="13">
      <c r="A182" s="326"/>
    </row>
    <row r="183" spans="1:1" ht="13">
      <c r="A183" s="326"/>
    </row>
    <row r="184" spans="1:1" ht="13">
      <c r="A184" s="326"/>
    </row>
    <row r="185" spans="1:1" ht="13">
      <c r="A185" s="326"/>
    </row>
    <row r="186" spans="1:1" ht="13">
      <c r="A186" s="326"/>
    </row>
    <row r="187" spans="1:1" ht="13">
      <c r="A187" s="326"/>
    </row>
    <row r="188" spans="1:1" ht="13">
      <c r="A188" s="326"/>
    </row>
    <row r="189" spans="1:1" ht="13">
      <c r="A189" s="326"/>
    </row>
    <row r="190" spans="1:1" ht="13">
      <c r="A190" s="326"/>
    </row>
    <row r="191" spans="1:1" ht="13">
      <c r="A191" s="326"/>
    </row>
    <row r="192" spans="1:1" ht="13">
      <c r="A192" s="326"/>
    </row>
    <row r="193" spans="1:1" ht="13">
      <c r="A193" s="326"/>
    </row>
    <row r="194" spans="1:1" ht="13">
      <c r="A194" s="326"/>
    </row>
    <row r="195" spans="1:1" ht="13">
      <c r="A195" s="326"/>
    </row>
    <row r="196" spans="1:1" ht="13">
      <c r="A196" s="326"/>
    </row>
    <row r="197" spans="1:1" ht="13">
      <c r="A197" s="326"/>
    </row>
    <row r="198" spans="1:1" ht="13">
      <c r="A198" s="326"/>
    </row>
    <row r="199" spans="1:1" ht="13">
      <c r="A199" s="326"/>
    </row>
    <row r="200" spans="1:1" ht="13">
      <c r="A200" s="326"/>
    </row>
    <row r="201" spans="1:1" ht="13">
      <c r="A201" s="326"/>
    </row>
    <row r="202" spans="1:1" ht="13">
      <c r="A202" s="326"/>
    </row>
    <row r="203" spans="1:1" ht="13">
      <c r="A203" s="326"/>
    </row>
    <row r="204" spans="1:1" ht="13">
      <c r="A204" s="326"/>
    </row>
  </sheetData>
  <pageMargins left="0.7" right="0.7" top="0.75" bottom="0.75" header="0.3" footer="0.3"/>
  <pageSetup scale="52" orientation="landscape" cellComments="asDisplayed" r:id="rId1"/>
  <headerFooter>
    <oddHeader>&amp;CSchedule 16
Plant Additions
&amp;RTO2024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70" workbookViewId="0"/>
  </sheetViews>
  <sheetFormatPr defaultRowHeight="12.5"/>
  <cols>
    <col min="1" max="1" width="4.54296875" customWidth="1"/>
    <col min="3" max="3" width="15.453125" customWidth="1"/>
    <col min="4" max="5" width="14.54296875" customWidth="1"/>
    <col min="6" max="6" width="15.54296875" customWidth="1"/>
    <col min="7" max="12" width="14.54296875" customWidth="1"/>
    <col min="13" max="13" width="16" bestFit="1" customWidth="1"/>
  </cols>
  <sheetData>
    <row r="1" spans="1:13" ht="13">
      <c r="A1" s="1" t="s">
        <v>202</v>
      </c>
      <c r="B1" s="116"/>
      <c r="C1" s="116"/>
      <c r="D1" s="116"/>
      <c r="E1" s="116"/>
      <c r="F1" s="116"/>
      <c r="G1" s="116"/>
      <c r="H1" s="116"/>
      <c r="I1" s="273" t="s">
        <v>700</v>
      </c>
      <c r="J1" s="107"/>
      <c r="K1" s="116"/>
      <c r="L1" s="116"/>
      <c r="M1" s="116"/>
    </row>
    <row r="2" spans="1:13">
      <c r="A2" s="116"/>
      <c r="B2" s="116"/>
      <c r="C2" s="116"/>
      <c r="D2" s="116"/>
      <c r="E2" s="116"/>
      <c r="F2" s="116"/>
      <c r="G2" s="116"/>
      <c r="H2" s="116"/>
      <c r="K2" s="116"/>
      <c r="L2" s="116"/>
      <c r="M2" s="116"/>
    </row>
    <row r="3" spans="1:13" ht="13">
      <c r="A3" s="116"/>
      <c r="B3" s="1" t="s">
        <v>1363</v>
      </c>
      <c r="C3" s="116"/>
      <c r="D3" s="116"/>
      <c r="E3" s="116"/>
      <c r="F3" s="116"/>
      <c r="G3" s="116"/>
      <c r="H3" s="116"/>
      <c r="I3" s="117" t="s">
        <v>641</v>
      </c>
      <c r="J3" s="862">
        <v>2022</v>
      </c>
      <c r="K3" s="116"/>
      <c r="L3" s="116"/>
      <c r="M3" s="116"/>
    </row>
    <row r="4" spans="1:13">
      <c r="A4" s="116"/>
      <c r="B4" s="116"/>
      <c r="C4" s="116"/>
      <c r="D4" s="116"/>
      <c r="E4" s="116"/>
      <c r="F4" s="116"/>
      <c r="G4" s="116"/>
      <c r="H4" s="116"/>
      <c r="I4" s="116"/>
      <c r="J4" s="116"/>
      <c r="K4" s="116"/>
      <c r="L4" s="116"/>
      <c r="M4" s="116"/>
    </row>
    <row r="5" spans="1:13" ht="13">
      <c r="A5" s="116"/>
      <c r="B5" s="247" t="s">
        <v>1364</v>
      </c>
      <c r="C5" s="116"/>
      <c r="D5" s="116"/>
      <c r="E5" s="116"/>
      <c r="F5" s="116"/>
      <c r="G5" s="116"/>
      <c r="H5" s="247" t="s">
        <v>1365</v>
      </c>
      <c r="I5" s="116"/>
      <c r="J5" s="116"/>
      <c r="K5" s="116"/>
      <c r="L5" s="116"/>
      <c r="M5" s="116"/>
    </row>
    <row r="6" spans="1:13">
      <c r="A6" s="116"/>
      <c r="B6" s="116"/>
      <c r="C6" s="116"/>
      <c r="D6" s="116"/>
      <c r="E6" s="116"/>
      <c r="F6" s="116"/>
      <c r="G6" s="116"/>
      <c r="H6" s="116"/>
      <c r="I6" s="116"/>
      <c r="J6" s="116"/>
      <c r="K6" s="116"/>
      <c r="L6" s="116"/>
      <c r="M6" s="116"/>
    </row>
    <row r="7" spans="1:13" ht="13">
      <c r="A7" s="116"/>
      <c r="B7" s="48" t="s">
        <v>336</v>
      </c>
      <c r="C7" s="48" t="s">
        <v>337</v>
      </c>
      <c r="D7" s="48" t="s">
        <v>338</v>
      </c>
      <c r="E7" s="48" t="s">
        <v>339</v>
      </c>
      <c r="F7" s="48" t="s">
        <v>340</v>
      </c>
      <c r="G7" s="48" t="s">
        <v>341</v>
      </c>
      <c r="H7" s="48" t="s">
        <v>342</v>
      </c>
      <c r="I7" s="48" t="s">
        <v>343</v>
      </c>
      <c r="J7" s="48" t="s">
        <v>344</v>
      </c>
      <c r="K7" s="48" t="s">
        <v>589</v>
      </c>
      <c r="L7" s="48" t="s">
        <v>590</v>
      </c>
      <c r="M7" s="48" t="s">
        <v>591</v>
      </c>
    </row>
    <row r="8" spans="1:13">
      <c r="A8" s="116"/>
      <c r="B8" s="129"/>
      <c r="C8" s="116"/>
      <c r="D8" s="116"/>
      <c r="E8" s="116"/>
      <c r="F8" s="116"/>
      <c r="G8" s="116"/>
      <c r="H8" s="116"/>
      <c r="I8" s="116"/>
      <c r="J8" s="116"/>
      <c r="K8" s="116"/>
      <c r="L8" s="116"/>
      <c r="M8" s="116"/>
    </row>
    <row r="9" spans="1:13" ht="13">
      <c r="A9" s="116"/>
      <c r="B9" s="2"/>
      <c r="C9" s="257" t="s">
        <v>244</v>
      </c>
      <c r="D9" s="116"/>
      <c r="E9" s="116"/>
      <c r="F9" s="116"/>
      <c r="G9" s="116"/>
      <c r="H9" s="116"/>
      <c r="I9" s="116"/>
      <c r="J9" s="116"/>
      <c r="K9" s="116"/>
      <c r="L9" s="116"/>
      <c r="M9" s="116"/>
    </row>
    <row r="10" spans="1:13" ht="13">
      <c r="A10" s="116"/>
      <c r="B10" s="2"/>
      <c r="C10" s="257" t="s">
        <v>743</v>
      </c>
      <c r="D10" s="116"/>
      <c r="E10" s="116"/>
      <c r="F10" s="116"/>
      <c r="G10" s="116"/>
      <c r="H10" s="116"/>
      <c r="I10" s="116"/>
      <c r="J10" s="116"/>
      <c r="K10" s="116"/>
      <c r="L10" s="116"/>
      <c r="M10" s="116"/>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25" t="s">
        <v>2928</v>
      </c>
      <c r="C12" s="118">
        <f>'6-PlantInService'!C12</f>
        <v>96071392.775337934</v>
      </c>
      <c r="D12" s="118">
        <f>'6-PlantInService'!D12</f>
        <v>185859180.63917488</v>
      </c>
      <c r="E12" s="118">
        <f>'6-PlantInService'!E12</f>
        <v>843791399.84418166</v>
      </c>
      <c r="F12" s="118">
        <f>'6-PlantInService'!F12</f>
        <v>4116024360.2948809</v>
      </c>
      <c r="G12" s="118">
        <f>'6-PlantInService'!G12</f>
        <v>2450974770.6782684</v>
      </c>
      <c r="H12" s="118">
        <f>'6-PlantInService'!H12</f>
        <v>542755367.53663278</v>
      </c>
      <c r="I12" s="118">
        <f>'6-PlantInService'!I12</f>
        <v>1618978824.7123113</v>
      </c>
      <c r="J12" s="118">
        <f>'6-PlantInService'!J12</f>
        <v>215308595.58726314</v>
      </c>
      <c r="K12" s="118">
        <f>'6-PlantInService'!K12</f>
        <v>58752899.030000001</v>
      </c>
      <c r="L12" s="118">
        <f>'6-PlantInService'!L12</f>
        <v>223182876.32139939</v>
      </c>
      <c r="M12" s="118">
        <f>'6-PlantInService'!M12</f>
        <v>10351699667.419451</v>
      </c>
    </row>
    <row r="13" spans="1:13" ht="13">
      <c r="A13" s="2">
        <f>A12+1</f>
        <v>2</v>
      </c>
      <c r="B13" s="525" t="s">
        <v>2994</v>
      </c>
      <c r="C13" s="118">
        <f>'6-PlantInService'!C13</f>
        <v>96066441.24438785</v>
      </c>
      <c r="D13" s="118">
        <f>'6-PlantInService'!D13</f>
        <v>185860539.92240041</v>
      </c>
      <c r="E13" s="118">
        <f>'6-PlantInService'!E13</f>
        <v>846713638.05552161</v>
      </c>
      <c r="F13" s="118">
        <f>'6-PlantInService'!F13</f>
        <v>4120545332.5556889</v>
      </c>
      <c r="G13" s="118">
        <f>'6-PlantInService'!G13</f>
        <v>2452380780.711566</v>
      </c>
      <c r="H13" s="118">
        <f>'6-PlantInService'!H13</f>
        <v>547407091.74472141</v>
      </c>
      <c r="I13" s="118">
        <f>'6-PlantInService'!I13</f>
        <v>1632877370.9863722</v>
      </c>
      <c r="J13" s="118">
        <f>'6-PlantInService'!J13</f>
        <v>215308595.58726314</v>
      </c>
      <c r="K13" s="118">
        <f>'6-PlantInService'!K13</f>
        <v>58752899.030000001</v>
      </c>
      <c r="L13" s="118">
        <f>'6-PlantInService'!L13</f>
        <v>223416530.22589916</v>
      </c>
      <c r="M13" s="118">
        <f>'6-PlantInService'!M13</f>
        <v>10379329220.063822</v>
      </c>
    </row>
    <row r="14" spans="1:13" ht="13">
      <c r="A14" s="2">
        <f t="shared" ref="A14:A76" si="0">A13+1</f>
        <v>3</v>
      </c>
      <c r="B14" s="525" t="s">
        <v>2995</v>
      </c>
      <c r="C14" s="118">
        <f>'6-PlantInService'!C14</f>
        <v>96073324.469869107</v>
      </c>
      <c r="D14" s="118">
        <f>'6-PlantInService'!D14</f>
        <v>185860220.27297384</v>
      </c>
      <c r="E14" s="118">
        <f>'6-PlantInService'!E14</f>
        <v>852271194.30273676</v>
      </c>
      <c r="F14" s="118">
        <f>'6-PlantInService'!F14</f>
        <v>4122185304.3241076</v>
      </c>
      <c r="G14" s="118">
        <f>'6-PlantInService'!G14</f>
        <v>2465140588.2413816</v>
      </c>
      <c r="H14" s="118">
        <f>'6-PlantInService'!H14</f>
        <v>548282189.59091604</v>
      </c>
      <c r="I14" s="118">
        <f>'6-PlantInService'!I14</f>
        <v>1648049328.4263735</v>
      </c>
      <c r="J14" s="118">
        <f>'6-PlantInService'!J14</f>
        <v>215308595.27381685</v>
      </c>
      <c r="K14" s="118">
        <f>'6-PlantInService'!K14</f>
        <v>58752899.030000001</v>
      </c>
      <c r="L14" s="118">
        <f>'6-PlantInService'!L14</f>
        <v>225255627.16421616</v>
      </c>
      <c r="M14" s="118">
        <f>'6-PlantInService'!M14</f>
        <v>10417179271.096392</v>
      </c>
    </row>
    <row r="15" spans="1:13" ht="13">
      <c r="A15" s="2">
        <f t="shared" si="0"/>
        <v>4</v>
      </c>
      <c r="B15" s="525" t="s">
        <v>2996</v>
      </c>
      <c r="C15" s="118">
        <f>'6-PlantInService'!C15</f>
        <v>93793094.563509583</v>
      </c>
      <c r="D15" s="118">
        <f>'6-PlantInService'!D15</f>
        <v>185855834.56441355</v>
      </c>
      <c r="E15" s="118">
        <f>'6-PlantInService'!E15</f>
        <v>856852256.81065941</v>
      </c>
      <c r="F15" s="118">
        <f>'6-PlantInService'!F15</f>
        <v>4134944661.1874151</v>
      </c>
      <c r="G15" s="118">
        <f>'6-PlantInService'!G15</f>
        <v>2465150182.8007426</v>
      </c>
      <c r="H15" s="118">
        <f>'6-PlantInService'!H15</f>
        <v>551395199.31791461</v>
      </c>
      <c r="I15" s="118">
        <f>'6-PlantInService'!I15</f>
        <v>1648854275.4066775</v>
      </c>
      <c r="J15" s="118">
        <f>'6-PlantInService'!J15</f>
        <v>215308595.27299672</v>
      </c>
      <c r="K15" s="118">
        <f>'6-PlantInService'!K15</f>
        <v>58752899.030000001</v>
      </c>
      <c r="L15" s="118">
        <f>'6-PlantInService'!L15</f>
        <v>225289706.48245683</v>
      </c>
      <c r="M15" s="118">
        <f>'6-PlantInService'!M15</f>
        <v>10436196705.436787</v>
      </c>
    </row>
    <row r="16" spans="1:13" ht="13">
      <c r="A16" s="2">
        <f t="shared" si="0"/>
        <v>5</v>
      </c>
      <c r="B16" s="525" t="s">
        <v>2997</v>
      </c>
      <c r="C16" s="118">
        <f>'6-PlantInService'!C16</f>
        <v>93792976.333509564</v>
      </c>
      <c r="D16" s="118">
        <f>'6-PlantInService'!D16</f>
        <v>185855910.08114025</v>
      </c>
      <c r="E16" s="118">
        <f>'6-PlantInService'!E16</f>
        <v>858030576.68675542</v>
      </c>
      <c r="F16" s="118">
        <f>'6-PlantInService'!F16</f>
        <v>4145968599.5444717</v>
      </c>
      <c r="G16" s="118">
        <f>'6-PlantInService'!G16</f>
        <v>2468540438.7206059</v>
      </c>
      <c r="H16" s="118">
        <f>'6-PlantInService'!H16</f>
        <v>554151328.0773896</v>
      </c>
      <c r="I16" s="118">
        <f>'6-PlantInService'!I16</f>
        <v>1653311295.0114465</v>
      </c>
      <c r="J16" s="118">
        <f>'6-PlantInService'!J16</f>
        <v>215308595.27299672</v>
      </c>
      <c r="K16" s="118">
        <f>'6-PlantInService'!K16</f>
        <v>58752899.030000001</v>
      </c>
      <c r="L16" s="118">
        <f>'6-PlantInService'!L16</f>
        <v>225639563.36698222</v>
      </c>
      <c r="M16" s="118">
        <f>'6-PlantInService'!M16</f>
        <v>10459352182.125298</v>
      </c>
    </row>
    <row r="17" spans="1:14" ht="13">
      <c r="A17" s="2">
        <f t="shared" si="0"/>
        <v>6</v>
      </c>
      <c r="B17" s="525" t="s">
        <v>2998</v>
      </c>
      <c r="C17" s="118">
        <f>'6-PlantInService'!C17</f>
        <v>93791509.477729455</v>
      </c>
      <c r="D17" s="118">
        <f>'6-PlantInService'!D17</f>
        <v>185852875.54184806</v>
      </c>
      <c r="E17" s="118">
        <f>'6-PlantInService'!E17</f>
        <v>899184589.44276106</v>
      </c>
      <c r="F17" s="118">
        <f>'6-PlantInService'!F17</f>
        <v>4341212834.4130344</v>
      </c>
      <c r="G17" s="118">
        <f>'6-PlantInService'!G17</f>
        <v>2480506557.3620992</v>
      </c>
      <c r="H17" s="118">
        <f>'6-PlantInService'!H17</f>
        <v>560811462.25260937</v>
      </c>
      <c r="I17" s="118">
        <f>'6-PlantInService'!I17</f>
        <v>1683219185.4395628</v>
      </c>
      <c r="J17" s="118">
        <f>'6-PlantInService'!J17</f>
        <v>215308561.48336926</v>
      </c>
      <c r="K17" s="118">
        <f>'6-PlantInService'!K17</f>
        <v>58752899.030000001</v>
      </c>
      <c r="L17" s="118">
        <f>'6-PlantInService'!L17</f>
        <v>225962686.60063341</v>
      </c>
      <c r="M17" s="118">
        <f>'6-PlantInService'!M17</f>
        <v>10744603161.04365</v>
      </c>
    </row>
    <row r="18" spans="1:14" ht="13">
      <c r="A18" s="2">
        <f t="shared" si="0"/>
        <v>7</v>
      </c>
      <c r="B18" s="525" t="s">
        <v>2999</v>
      </c>
      <c r="C18" s="118">
        <f>'6-PlantInService'!C18</f>
        <v>93799815.877729431</v>
      </c>
      <c r="D18" s="118">
        <f>'6-PlantInService'!D18</f>
        <v>185849747.68266439</v>
      </c>
      <c r="E18" s="118">
        <f>'6-PlantInService'!E18</f>
        <v>900898942.58930111</v>
      </c>
      <c r="F18" s="118">
        <f>'6-PlantInService'!F18</f>
        <v>4370189506.5054617</v>
      </c>
      <c r="G18" s="118">
        <f>'6-PlantInService'!G18</f>
        <v>2483051262.9014902</v>
      </c>
      <c r="H18" s="118">
        <f>'6-PlantInService'!H18</f>
        <v>563782691.26731694</v>
      </c>
      <c r="I18" s="118">
        <f>'6-PlantInService'!I18</f>
        <v>1691423580.9334681</v>
      </c>
      <c r="J18" s="118">
        <f>'6-PlantInService'!J18</f>
        <v>215308562.15385708</v>
      </c>
      <c r="K18" s="118">
        <f>'6-PlantInService'!K18</f>
        <v>58752899.030000001</v>
      </c>
      <c r="L18" s="118">
        <f>'6-PlantInService'!L18</f>
        <v>226148258.66654432</v>
      </c>
      <c r="M18" s="118">
        <f>'6-PlantInService'!M18</f>
        <v>10789205267.607834</v>
      </c>
    </row>
    <row r="19" spans="1:14" ht="13">
      <c r="A19" s="2">
        <f t="shared" si="0"/>
        <v>8</v>
      </c>
      <c r="B19" s="525" t="s">
        <v>3000</v>
      </c>
      <c r="C19" s="118">
        <f>'6-PlantInService'!C19</f>
        <v>93802968.10772945</v>
      </c>
      <c r="D19" s="118">
        <f>'6-PlantInService'!D19</f>
        <v>186931334.05351663</v>
      </c>
      <c r="E19" s="118">
        <f>'6-PlantInService'!E19</f>
        <v>901570280.97091401</v>
      </c>
      <c r="F19" s="118">
        <f>'6-PlantInService'!F19</f>
        <v>4383284853.3682022</v>
      </c>
      <c r="G19" s="118">
        <f>'6-PlantInService'!G19</f>
        <v>2483069115.2510409</v>
      </c>
      <c r="H19" s="118">
        <f>'6-PlantInService'!H19</f>
        <v>608203697.73021948</v>
      </c>
      <c r="I19" s="118">
        <f>'6-PlantInService'!I19</f>
        <v>1704266278.5229366</v>
      </c>
      <c r="J19" s="118">
        <f>'6-PlantInService'!J19</f>
        <v>215308562.01997682</v>
      </c>
      <c r="K19" s="118">
        <f>'6-PlantInService'!K19</f>
        <v>58752899.030000001</v>
      </c>
      <c r="L19" s="118">
        <f>'6-PlantInService'!L19</f>
        <v>226238592.13837117</v>
      </c>
      <c r="M19" s="118">
        <f>'6-PlantInService'!M19</f>
        <v>10861428581.192907</v>
      </c>
    </row>
    <row r="20" spans="1:14" ht="13">
      <c r="A20" s="2">
        <f t="shared" si="0"/>
        <v>9</v>
      </c>
      <c r="B20" s="525" t="s">
        <v>3001</v>
      </c>
      <c r="C20" s="118">
        <f>'6-PlantInService'!C20</f>
        <v>93802415.253996804</v>
      </c>
      <c r="D20" s="118">
        <f>'6-PlantInService'!D20</f>
        <v>186728397.86057207</v>
      </c>
      <c r="E20" s="118">
        <f>'6-PlantInService'!E20</f>
        <v>897037138.03957915</v>
      </c>
      <c r="F20" s="118">
        <f>'6-PlantInService'!F20</f>
        <v>4382722362.5150013</v>
      </c>
      <c r="G20" s="118">
        <f>'6-PlantInService'!G20</f>
        <v>2489340113.9370947</v>
      </c>
      <c r="H20" s="118">
        <f>'6-PlantInService'!H20</f>
        <v>612844466.61865699</v>
      </c>
      <c r="I20" s="118">
        <f>'6-PlantInService'!I20</f>
        <v>1700632305.7048156</v>
      </c>
      <c r="J20" s="118">
        <f>'6-PlantInService'!J20</f>
        <v>215308562.5900732</v>
      </c>
      <c r="K20" s="118">
        <f>'6-PlantInService'!K20</f>
        <v>58752899.030000001</v>
      </c>
      <c r="L20" s="118">
        <f>'6-PlantInService'!L20</f>
        <v>226300834.8999767</v>
      </c>
      <c r="M20" s="118">
        <f>'6-PlantInService'!M20</f>
        <v>10863469496.449766</v>
      </c>
    </row>
    <row r="21" spans="1:14" ht="13">
      <c r="A21" s="2">
        <f t="shared" si="0"/>
        <v>10</v>
      </c>
      <c r="B21" s="525" t="s">
        <v>3002</v>
      </c>
      <c r="C21" s="118">
        <f>'6-PlantInService'!C21</f>
        <v>93798056.134878367</v>
      </c>
      <c r="D21" s="118">
        <f>'6-PlantInService'!D21</f>
        <v>186670307.74873558</v>
      </c>
      <c r="E21" s="118">
        <f>'6-PlantInService'!E21</f>
        <v>899705107.10505545</v>
      </c>
      <c r="F21" s="118">
        <f>'6-PlantInService'!F21</f>
        <v>4392240468.6013336</v>
      </c>
      <c r="G21" s="118">
        <f>'6-PlantInService'!G21</f>
        <v>2494006442.4115043</v>
      </c>
      <c r="H21" s="118">
        <f>'6-PlantInService'!H21</f>
        <v>618144764.42954874</v>
      </c>
      <c r="I21" s="118">
        <f>'6-PlantInService'!I21</f>
        <v>1692516456.3085649</v>
      </c>
      <c r="J21" s="118">
        <f>'6-PlantInService'!J21</f>
        <v>215308562.58736968</v>
      </c>
      <c r="K21" s="118">
        <f>'6-PlantInService'!K21</f>
        <v>58752899.030000001</v>
      </c>
      <c r="L21" s="118">
        <f>'6-PlantInService'!L21</f>
        <v>226316748.77067551</v>
      </c>
      <c r="M21" s="118">
        <f>'6-PlantInService'!M21</f>
        <v>10877459813.127666</v>
      </c>
    </row>
    <row r="22" spans="1:14" ht="13">
      <c r="A22" s="2">
        <f t="shared" si="0"/>
        <v>11</v>
      </c>
      <c r="B22" s="525" t="s">
        <v>3003</v>
      </c>
      <c r="C22" s="118">
        <f>'6-PlantInService'!C22</f>
        <v>93798056.134878367</v>
      </c>
      <c r="D22" s="118">
        <f>'6-PlantInService'!D22</f>
        <v>186656344.86548528</v>
      </c>
      <c r="E22" s="118">
        <f>'6-PlantInService'!E22</f>
        <v>902508000.55201578</v>
      </c>
      <c r="F22" s="118">
        <f>'6-PlantInService'!F22</f>
        <v>4395950220.366003</v>
      </c>
      <c r="G22" s="118">
        <f>'6-PlantInService'!G22</f>
        <v>2497023436.0647597</v>
      </c>
      <c r="H22" s="118">
        <f>'6-PlantInService'!H22</f>
        <v>623742397.4927665</v>
      </c>
      <c r="I22" s="118">
        <f>'6-PlantInService'!I22</f>
        <v>1690542436.7478249</v>
      </c>
      <c r="J22" s="118">
        <f>'6-PlantInService'!J22</f>
        <v>215308516.1251646</v>
      </c>
      <c r="K22" s="118">
        <f>'6-PlantInService'!K22</f>
        <v>58752899.030000001</v>
      </c>
      <c r="L22" s="118">
        <f>'6-PlantInService'!L22</f>
        <v>226322439.92241424</v>
      </c>
      <c r="M22" s="118">
        <f>'6-PlantInService'!M22</f>
        <v>10890604747.301315</v>
      </c>
    </row>
    <row r="23" spans="1:14" ht="13">
      <c r="A23" s="2">
        <f t="shared" si="0"/>
        <v>12</v>
      </c>
      <c r="B23" s="525" t="s">
        <v>3004</v>
      </c>
      <c r="C23" s="118">
        <f>'6-PlantInService'!C23</f>
        <v>91353957.071345523</v>
      </c>
      <c r="D23" s="118">
        <f>'6-PlantInService'!D23</f>
        <v>186644459.93684423</v>
      </c>
      <c r="E23" s="118">
        <f>'6-PlantInService'!E23</f>
        <v>903426165.41126466</v>
      </c>
      <c r="F23" s="118">
        <f>'6-PlantInService'!F23</f>
        <v>4399975998.9550848</v>
      </c>
      <c r="G23" s="118">
        <f>'6-PlantInService'!G23</f>
        <v>2498843720.3471794</v>
      </c>
      <c r="H23" s="118">
        <f>'6-PlantInService'!H23</f>
        <v>627331401.92318451</v>
      </c>
      <c r="I23" s="118">
        <f>'6-PlantInService'!I23</f>
        <v>1691375631.4064038</v>
      </c>
      <c r="J23" s="118">
        <f>'6-PlantInService'!J23</f>
        <v>215308516.06187266</v>
      </c>
      <c r="K23" s="118">
        <f>'6-PlantInService'!K23</f>
        <v>58752899.030000001</v>
      </c>
      <c r="L23" s="118">
        <f>'6-PlantInService'!L23</f>
        <v>226329081.47001398</v>
      </c>
      <c r="M23" s="118">
        <f>'6-PlantInService'!M23</f>
        <v>10899341831.613195</v>
      </c>
    </row>
    <row r="24" spans="1:14" ht="13">
      <c r="A24" s="2">
        <f t="shared" si="0"/>
        <v>13</v>
      </c>
      <c r="B24" s="525" t="s">
        <v>3005</v>
      </c>
      <c r="C24" s="118">
        <f>'6-PlantInService'!C24</f>
        <v>91354351.12134552</v>
      </c>
      <c r="D24" s="118">
        <f>'6-PlantInService'!D24</f>
        <v>186649854.17376119</v>
      </c>
      <c r="E24" s="118">
        <f>'6-PlantInService'!E24</f>
        <v>905947635.00622153</v>
      </c>
      <c r="F24" s="118">
        <f>'6-PlantInService'!F24</f>
        <v>4413849878.1680889</v>
      </c>
      <c r="G24" s="118">
        <f>'6-PlantInService'!G24</f>
        <v>2498952320.5850968</v>
      </c>
      <c r="H24" s="118">
        <f>'6-PlantInService'!H24</f>
        <v>632230698.139871</v>
      </c>
      <c r="I24" s="118">
        <f>'6-PlantInService'!I24</f>
        <v>1693990750.0441651</v>
      </c>
      <c r="J24" s="118">
        <f>'6-PlantInService'!J24</f>
        <v>215308526.7923716</v>
      </c>
      <c r="K24" s="118">
        <f>'6-PlantInService'!K24</f>
        <v>58752899.030000001</v>
      </c>
      <c r="L24" s="118">
        <f>'6-PlantInService'!L24</f>
        <v>226348866.10201344</v>
      </c>
      <c r="M24" s="118">
        <f>'6-PlantInService'!M24</f>
        <v>10923385779.162935</v>
      </c>
    </row>
    <row r="25" spans="1:14" ht="13">
      <c r="A25" s="2">
        <f t="shared" si="0"/>
        <v>14</v>
      </c>
      <c r="B25" s="116"/>
      <c r="C25" s="116"/>
      <c r="D25" s="116"/>
      <c r="E25" s="116"/>
      <c r="F25" s="116"/>
      <c r="G25" s="116"/>
      <c r="H25" s="116"/>
      <c r="I25" s="116"/>
      <c r="J25" s="116"/>
      <c r="K25" s="116"/>
      <c r="L25" s="116"/>
      <c r="M25" s="116"/>
    </row>
    <row r="26" spans="1:14" ht="13">
      <c r="A26" s="2">
        <f t="shared" si="0"/>
        <v>15</v>
      </c>
      <c r="B26" s="345" t="s">
        <v>1366</v>
      </c>
      <c r="C26" s="116"/>
      <c r="D26" s="116"/>
      <c r="E26" s="116"/>
      <c r="F26" s="116"/>
      <c r="G26" s="116"/>
      <c r="H26" s="116"/>
      <c r="I26" s="116"/>
      <c r="J26" s="116"/>
      <c r="K26" s="116"/>
      <c r="L26" s="116"/>
      <c r="M26" s="116"/>
    </row>
    <row r="27" spans="1:14" ht="13">
      <c r="A27" s="2"/>
      <c r="B27" s="2"/>
      <c r="C27" s="116"/>
      <c r="D27" s="116"/>
      <c r="E27" s="116"/>
      <c r="F27" s="116"/>
      <c r="G27" s="116"/>
      <c r="H27" s="116"/>
      <c r="I27" s="116"/>
      <c r="J27" s="116"/>
      <c r="K27" s="116"/>
      <c r="L27" s="116"/>
      <c r="M27" s="116"/>
    </row>
    <row r="28" spans="1:14" ht="13">
      <c r="A28" s="2">
        <f>A26+1</f>
        <v>16</v>
      </c>
      <c r="B28" s="3" t="s">
        <v>643</v>
      </c>
      <c r="C28" s="48">
        <v>350.1</v>
      </c>
      <c r="D28" s="48">
        <v>350.2</v>
      </c>
      <c r="E28" s="48">
        <v>352</v>
      </c>
      <c r="F28" s="48">
        <v>353</v>
      </c>
      <c r="G28" s="48">
        <v>354</v>
      </c>
      <c r="H28" s="48">
        <v>355</v>
      </c>
      <c r="I28" s="48">
        <v>356</v>
      </c>
      <c r="J28" s="48">
        <v>357</v>
      </c>
      <c r="K28" s="48">
        <v>358</v>
      </c>
      <c r="L28" s="48">
        <v>359</v>
      </c>
      <c r="M28" s="3"/>
    </row>
    <row r="29" spans="1:14" ht="13">
      <c r="A29" s="2" t="s">
        <v>1367</v>
      </c>
      <c r="B29" s="525" t="s">
        <v>2928</v>
      </c>
      <c r="C29" s="849">
        <v>0</v>
      </c>
      <c r="D29" s="849">
        <v>1.66E-2</v>
      </c>
      <c r="E29" s="849">
        <v>2.5700000000000001E-2</v>
      </c>
      <c r="F29" s="849">
        <v>2.47E-2</v>
      </c>
      <c r="G29" s="849">
        <v>2.4400000000000002E-2</v>
      </c>
      <c r="H29" s="849">
        <v>3.6700000000000003E-2</v>
      </c>
      <c r="I29" s="849">
        <v>3.0499999999999999E-2</v>
      </c>
      <c r="J29" s="849">
        <v>1.6500000000000001E-2</v>
      </c>
      <c r="K29" s="849">
        <v>3.8699999999999998E-2</v>
      </c>
      <c r="L29" s="849">
        <v>1.5599999999999999E-2</v>
      </c>
      <c r="M29" s="116"/>
      <c r="N29" s="272"/>
    </row>
    <row r="30" spans="1:14" ht="13">
      <c r="A30" s="2" t="s">
        <v>1368</v>
      </c>
      <c r="B30" s="525" t="s">
        <v>2994</v>
      </c>
      <c r="C30" s="849">
        <v>0</v>
      </c>
      <c r="D30" s="849">
        <v>1.66E-2</v>
      </c>
      <c r="E30" s="849">
        <v>2.5700000000000001E-2</v>
      </c>
      <c r="F30" s="849">
        <v>2.47E-2</v>
      </c>
      <c r="G30" s="849">
        <v>2.4400000000000002E-2</v>
      </c>
      <c r="H30" s="849">
        <v>3.6700000000000003E-2</v>
      </c>
      <c r="I30" s="849">
        <v>3.0499999999999999E-2</v>
      </c>
      <c r="J30" s="849">
        <v>1.6500000000000001E-2</v>
      </c>
      <c r="K30" s="849">
        <v>3.8699999999999998E-2</v>
      </c>
      <c r="L30" s="849">
        <v>1.5599999999999999E-2</v>
      </c>
      <c r="M30" s="116"/>
      <c r="N30" s="272"/>
    </row>
    <row r="31" spans="1:14" ht="13">
      <c r="A31" s="2" t="s">
        <v>1369</v>
      </c>
      <c r="B31" s="525" t="s">
        <v>2995</v>
      </c>
      <c r="C31" s="849">
        <v>0</v>
      </c>
      <c r="D31" s="849">
        <v>1.66E-2</v>
      </c>
      <c r="E31" s="849">
        <v>2.5700000000000001E-2</v>
      </c>
      <c r="F31" s="849">
        <v>2.47E-2</v>
      </c>
      <c r="G31" s="849">
        <v>2.4400000000000002E-2</v>
      </c>
      <c r="H31" s="849">
        <v>3.6700000000000003E-2</v>
      </c>
      <c r="I31" s="849">
        <v>3.0499999999999999E-2</v>
      </c>
      <c r="J31" s="849">
        <v>1.6500000000000001E-2</v>
      </c>
      <c r="K31" s="849">
        <v>3.8699999999999998E-2</v>
      </c>
      <c r="L31" s="849">
        <v>1.5599999999999999E-2</v>
      </c>
      <c r="M31" s="116"/>
      <c r="N31" s="272"/>
    </row>
    <row r="32" spans="1:14" ht="13">
      <c r="A32" s="2" t="s">
        <v>1370</v>
      </c>
      <c r="B32" s="525" t="s">
        <v>2996</v>
      </c>
      <c r="C32" s="849">
        <v>0</v>
      </c>
      <c r="D32" s="849">
        <v>1.66E-2</v>
      </c>
      <c r="E32" s="849">
        <v>2.5700000000000001E-2</v>
      </c>
      <c r="F32" s="849">
        <v>2.47E-2</v>
      </c>
      <c r="G32" s="849">
        <v>2.4400000000000002E-2</v>
      </c>
      <c r="H32" s="849">
        <v>3.6700000000000003E-2</v>
      </c>
      <c r="I32" s="849">
        <v>3.0499999999999999E-2</v>
      </c>
      <c r="J32" s="849">
        <v>1.6500000000000001E-2</v>
      </c>
      <c r="K32" s="849">
        <v>3.8699999999999998E-2</v>
      </c>
      <c r="L32" s="849">
        <v>1.5599999999999999E-2</v>
      </c>
      <c r="M32" s="116"/>
      <c r="N32" s="272"/>
    </row>
    <row r="33" spans="1:14" ht="13">
      <c r="A33" s="2" t="s">
        <v>1371</v>
      </c>
      <c r="B33" s="525" t="s">
        <v>2997</v>
      </c>
      <c r="C33" s="849">
        <v>0</v>
      </c>
      <c r="D33" s="849">
        <v>1.66E-2</v>
      </c>
      <c r="E33" s="849">
        <v>2.5700000000000001E-2</v>
      </c>
      <c r="F33" s="849">
        <v>2.47E-2</v>
      </c>
      <c r="G33" s="849">
        <v>2.4400000000000002E-2</v>
      </c>
      <c r="H33" s="849">
        <v>3.6700000000000003E-2</v>
      </c>
      <c r="I33" s="849">
        <v>3.0499999999999999E-2</v>
      </c>
      <c r="J33" s="849">
        <v>1.6500000000000001E-2</v>
      </c>
      <c r="K33" s="849">
        <v>3.8699999999999998E-2</v>
      </c>
      <c r="L33" s="849">
        <v>1.5599999999999999E-2</v>
      </c>
      <c r="M33" s="116"/>
      <c r="N33" s="272"/>
    </row>
    <row r="34" spans="1:14" ht="13">
      <c r="A34" s="2" t="s">
        <v>1372</v>
      </c>
      <c r="B34" s="525" t="s">
        <v>2998</v>
      </c>
      <c r="C34" s="849">
        <v>0</v>
      </c>
      <c r="D34" s="849">
        <v>1.66E-2</v>
      </c>
      <c r="E34" s="849">
        <v>2.5700000000000001E-2</v>
      </c>
      <c r="F34" s="849">
        <v>2.47E-2</v>
      </c>
      <c r="G34" s="849">
        <v>2.4400000000000002E-2</v>
      </c>
      <c r="H34" s="849">
        <v>3.6700000000000003E-2</v>
      </c>
      <c r="I34" s="849">
        <v>3.0499999999999999E-2</v>
      </c>
      <c r="J34" s="849">
        <v>1.6500000000000001E-2</v>
      </c>
      <c r="K34" s="849">
        <v>3.8699999999999998E-2</v>
      </c>
      <c r="L34" s="849">
        <v>1.5599999999999999E-2</v>
      </c>
      <c r="M34" s="116"/>
      <c r="N34" s="272"/>
    </row>
    <row r="35" spans="1:14" ht="13">
      <c r="A35" s="2" t="s">
        <v>1373</v>
      </c>
      <c r="B35" s="525" t="s">
        <v>2999</v>
      </c>
      <c r="C35" s="849">
        <v>0</v>
      </c>
      <c r="D35" s="849">
        <v>1.66E-2</v>
      </c>
      <c r="E35" s="849">
        <v>2.5700000000000001E-2</v>
      </c>
      <c r="F35" s="849">
        <v>2.47E-2</v>
      </c>
      <c r="G35" s="849">
        <v>2.4400000000000002E-2</v>
      </c>
      <c r="H35" s="849">
        <v>3.6700000000000003E-2</v>
      </c>
      <c r="I35" s="849">
        <v>3.0499999999999999E-2</v>
      </c>
      <c r="J35" s="849">
        <v>1.6500000000000001E-2</v>
      </c>
      <c r="K35" s="849">
        <v>3.8699999999999998E-2</v>
      </c>
      <c r="L35" s="849">
        <v>1.5599999999999999E-2</v>
      </c>
      <c r="M35" s="116"/>
      <c r="N35" s="272"/>
    </row>
    <row r="36" spans="1:14" ht="13">
      <c r="A36" s="2" t="s">
        <v>1374</v>
      </c>
      <c r="B36" s="525" t="s">
        <v>3000</v>
      </c>
      <c r="C36" s="849">
        <v>0</v>
      </c>
      <c r="D36" s="849">
        <v>1.66E-2</v>
      </c>
      <c r="E36" s="849">
        <v>2.5700000000000001E-2</v>
      </c>
      <c r="F36" s="849">
        <v>2.47E-2</v>
      </c>
      <c r="G36" s="849">
        <v>2.4400000000000002E-2</v>
      </c>
      <c r="H36" s="849">
        <v>3.6700000000000003E-2</v>
      </c>
      <c r="I36" s="849">
        <v>3.0499999999999999E-2</v>
      </c>
      <c r="J36" s="849">
        <v>1.6500000000000001E-2</v>
      </c>
      <c r="K36" s="849">
        <v>3.8699999999999998E-2</v>
      </c>
      <c r="L36" s="849">
        <v>1.5599999999999999E-2</v>
      </c>
      <c r="M36" s="116"/>
      <c r="N36" s="272"/>
    </row>
    <row r="37" spans="1:14" ht="13">
      <c r="A37" s="2" t="s">
        <v>1375</v>
      </c>
      <c r="B37" s="525" t="s">
        <v>3001</v>
      </c>
      <c r="C37" s="849">
        <v>0</v>
      </c>
      <c r="D37" s="849">
        <v>1.66E-2</v>
      </c>
      <c r="E37" s="849">
        <v>2.5700000000000001E-2</v>
      </c>
      <c r="F37" s="849">
        <v>2.47E-2</v>
      </c>
      <c r="G37" s="849">
        <v>2.4400000000000002E-2</v>
      </c>
      <c r="H37" s="849">
        <v>3.6700000000000003E-2</v>
      </c>
      <c r="I37" s="849">
        <v>3.0499999999999999E-2</v>
      </c>
      <c r="J37" s="849">
        <v>1.6500000000000001E-2</v>
      </c>
      <c r="K37" s="849">
        <v>3.8699999999999998E-2</v>
      </c>
      <c r="L37" s="849">
        <v>1.5599999999999999E-2</v>
      </c>
      <c r="M37" s="116"/>
      <c r="N37" s="272"/>
    </row>
    <row r="38" spans="1:14" ht="13">
      <c r="A38" s="2" t="s">
        <v>1376</v>
      </c>
      <c r="B38" s="525" t="s">
        <v>3002</v>
      </c>
      <c r="C38" s="849">
        <v>0</v>
      </c>
      <c r="D38" s="849">
        <v>1.66E-2</v>
      </c>
      <c r="E38" s="849">
        <v>2.5700000000000001E-2</v>
      </c>
      <c r="F38" s="849">
        <v>2.47E-2</v>
      </c>
      <c r="G38" s="849">
        <v>2.4400000000000002E-2</v>
      </c>
      <c r="H38" s="849">
        <v>3.6700000000000003E-2</v>
      </c>
      <c r="I38" s="849">
        <v>3.0499999999999999E-2</v>
      </c>
      <c r="J38" s="849">
        <v>1.6500000000000001E-2</v>
      </c>
      <c r="K38" s="849">
        <v>3.8699999999999998E-2</v>
      </c>
      <c r="L38" s="849">
        <v>1.5599999999999999E-2</v>
      </c>
      <c r="M38" s="116"/>
      <c r="N38" s="272"/>
    </row>
    <row r="39" spans="1:14" ht="13">
      <c r="A39" s="2" t="s">
        <v>1377</v>
      </c>
      <c r="B39" s="525" t="s">
        <v>3003</v>
      </c>
      <c r="C39" s="849">
        <v>0</v>
      </c>
      <c r="D39" s="849">
        <v>1.66E-2</v>
      </c>
      <c r="E39" s="849">
        <v>2.5700000000000001E-2</v>
      </c>
      <c r="F39" s="849">
        <v>2.47E-2</v>
      </c>
      <c r="G39" s="849">
        <v>2.4400000000000002E-2</v>
      </c>
      <c r="H39" s="849">
        <v>3.6700000000000003E-2</v>
      </c>
      <c r="I39" s="849">
        <v>3.0499999999999999E-2</v>
      </c>
      <c r="J39" s="849">
        <v>1.6500000000000001E-2</v>
      </c>
      <c r="K39" s="849">
        <v>3.8699999999999998E-2</v>
      </c>
      <c r="L39" s="849">
        <v>1.5599999999999999E-2</v>
      </c>
      <c r="M39" s="116"/>
    </row>
    <row r="40" spans="1:14" ht="13">
      <c r="A40" s="2" t="s">
        <v>1378</v>
      </c>
      <c r="B40" s="525" t="s">
        <v>3004</v>
      </c>
      <c r="C40" s="849">
        <v>0</v>
      </c>
      <c r="D40" s="849">
        <v>1.66E-2</v>
      </c>
      <c r="E40" s="849">
        <v>2.5700000000000001E-2</v>
      </c>
      <c r="F40" s="849">
        <v>2.47E-2</v>
      </c>
      <c r="G40" s="849">
        <v>2.4400000000000002E-2</v>
      </c>
      <c r="H40" s="849">
        <v>3.6700000000000003E-2</v>
      </c>
      <c r="I40" s="849">
        <v>3.0499999999999999E-2</v>
      </c>
      <c r="J40" s="849">
        <v>1.6500000000000001E-2</v>
      </c>
      <c r="K40" s="849">
        <v>3.8699999999999998E-2</v>
      </c>
      <c r="L40" s="849">
        <v>1.5599999999999999E-2</v>
      </c>
      <c r="M40" s="116"/>
    </row>
    <row r="41" spans="1:14" ht="13">
      <c r="A41" s="2" t="s">
        <v>1379</v>
      </c>
      <c r="B41" s="525" t="s">
        <v>3005</v>
      </c>
      <c r="C41" s="849">
        <v>0</v>
      </c>
      <c r="D41" s="849">
        <v>1.66E-2</v>
      </c>
      <c r="E41" s="849">
        <v>2.5700000000000001E-2</v>
      </c>
      <c r="F41" s="849">
        <v>2.47E-2</v>
      </c>
      <c r="G41" s="849">
        <v>2.4400000000000002E-2</v>
      </c>
      <c r="H41" s="849">
        <v>3.6700000000000003E-2</v>
      </c>
      <c r="I41" s="849">
        <v>3.0499999999999999E-2</v>
      </c>
      <c r="J41" s="849">
        <v>1.6500000000000001E-2</v>
      </c>
      <c r="K41" s="849">
        <v>3.8699999999999998E-2</v>
      </c>
      <c r="L41" s="849">
        <v>1.5599999999999999E-2</v>
      </c>
      <c r="M41" s="116"/>
    </row>
    <row r="42" spans="1:14" ht="13">
      <c r="A42" s="2">
        <v>18</v>
      </c>
      <c r="C42" s="123"/>
      <c r="D42" s="123"/>
      <c r="E42" s="123"/>
      <c r="F42" s="123"/>
      <c r="G42" s="123"/>
      <c r="H42" s="123"/>
      <c r="I42" s="123"/>
      <c r="J42" s="123"/>
      <c r="K42" s="123"/>
      <c r="L42" s="123"/>
      <c r="M42" s="116"/>
    </row>
    <row r="43" spans="1:14" ht="13">
      <c r="A43" s="2">
        <f t="shared" si="0"/>
        <v>19</v>
      </c>
      <c r="B43" s="247" t="s">
        <v>1380</v>
      </c>
      <c r="C43" s="123"/>
      <c r="D43" s="123"/>
      <c r="E43" s="123"/>
      <c r="F43" s="123"/>
      <c r="G43" s="272" t="s">
        <v>1381</v>
      </c>
      <c r="H43" s="123"/>
      <c r="I43" s="123"/>
      <c r="J43" s="123"/>
      <c r="K43" s="123"/>
      <c r="L43" s="123"/>
      <c r="M43" s="116"/>
    </row>
    <row r="44" spans="1:14" ht="13">
      <c r="A44" s="2">
        <f t="shared" si="0"/>
        <v>20</v>
      </c>
      <c r="B44" s="116"/>
      <c r="C44" s="116"/>
      <c r="D44" s="116"/>
      <c r="E44" s="116"/>
      <c r="F44" s="116"/>
      <c r="G44" s="116"/>
      <c r="H44" s="116"/>
      <c r="I44" s="116"/>
      <c r="J44" s="116"/>
      <c r="K44" s="116"/>
      <c r="L44" s="116"/>
      <c r="M44" s="116"/>
    </row>
    <row r="45" spans="1:14" ht="13">
      <c r="A45" s="2">
        <f t="shared" si="0"/>
        <v>21</v>
      </c>
      <c r="B45" s="2"/>
      <c r="C45" s="257" t="s">
        <v>244</v>
      </c>
      <c r="D45" s="116"/>
      <c r="E45" s="116"/>
      <c r="F45" s="116"/>
      <c r="G45" s="116"/>
      <c r="H45" s="116"/>
      <c r="I45" s="116"/>
      <c r="J45" s="116"/>
      <c r="K45" s="116"/>
      <c r="L45" s="116"/>
      <c r="M45" s="116"/>
    </row>
    <row r="46" spans="1:14" ht="13">
      <c r="A46" s="2">
        <f t="shared" si="0"/>
        <v>22</v>
      </c>
      <c r="B46" s="2"/>
      <c r="C46" s="257" t="s">
        <v>743</v>
      </c>
      <c r="D46" s="116"/>
      <c r="E46" s="116"/>
      <c r="F46" s="116"/>
      <c r="G46" s="116"/>
      <c r="H46" s="116"/>
      <c r="I46" s="116"/>
      <c r="J46" s="116"/>
      <c r="K46" s="116"/>
      <c r="L46" s="116"/>
      <c r="M46" s="2" t="s">
        <v>371</v>
      </c>
    </row>
    <row r="47" spans="1:14" ht="13">
      <c r="A47" s="2">
        <f t="shared" si="0"/>
        <v>23</v>
      </c>
      <c r="B47" s="3" t="s">
        <v>643</v>
      </c>
      <c r="C47" s="48">
        <v>350.1</v>
      </c>
      <c r="D47" s="48">
        <v>350.2</v>
      </c>
      <c r="E47" s="48">
        <v>352</v>
      </c>
      <c r="F47" s="48">
        <v>353</v>
      </c>
      <c r="G47" s="48">
        <v>354</v>
      </c>
      <c r="H47" s="48">
        <v>355</v>
      </c>
      <c r="I47" s="48">
        <v>356</v>
      </c>
      <c r="J47" s="48">
        <v>357</v>
      </c>
      <c r="K47" s="48">
        <v>358</v>
      </c>
      <c r="L47" s="48">
        <v>359</v>
      </c>
      <c r="M47" s="3" t="s">
        <v>249</v>
      </c>
    </row>
    <row r="48" spans="1:14" ht="13">
      <c r="A48" s="2">
        <f t="shared" si="0"/>
        <v>24</v>
      </c>
      <c r="B48" s="525" t="s">
        <v>2994</v>
      </c>
      <c r="C48" s="118">
        <f>C12*$C$30/12</f>
        <v>0</v>
      </c>
      <c r="D48" s="118">
        <f t="shared" ref="D48:D59" si="1">D12*$D30/12</f>
        <v>257105.19988419194</v>
      </c>
      <c r="E48" s="118">
        <f t="shared" ref="E48:E59" si="2">E12*$E30/12</f>
        <v>1807119.9146662892</v>
      </c>
      <c r="F48" s="118">
        <f t="shared" ref="F48:F59" si="3">F12*$F30/12</f>
        <v>8472150.1416069623</v>
      </c>
      <c r="G48" s="118">
        <f t="shared" ref="G48:G59" si="4">G12*$G30/12</f>
        <v>4983648.7003791463</v>
      </c>
      <c r="H48" s="118">
        <f t="shared" ref="H48:H59" si="5">H12*$H30/12</f>
        <v>1659926.8323828687</v>
      </c>
      <c r="I48" s="118">
        <f t="shared" ref="I48:I59" si="6">I12*$I30/12</f>
        <v>4114904.5128104575</v>
      </c>
      <c r="J48" s="118">
        <f t="shared" ref="J48:J59" si="7">J12*$J30/12</f>
        <v>296049.31893248681</v>
      </c>
      <c r="K48" s="118">
        <f t="shared" ref="K48:K59" si="8">K12*$K30/12</f>
        <v>189478.09937175</v>
      </c>
      <c r="L48" s="118">
        <f t="shared" ref="L48:L59" si="9">L12*$L30/12</f>
        <v>290137.73921781918</v>
      </c>
      <c r="M48" s="118">
        <f>SUM(C48:L48)</f>
        <v>22070520.45925197</v>
      </c>
    </row>
    <row r="49" spans="1:13" ht="13">
      <c r="A49" s="2">
        <f t="shared" si="0"/>
        <v>25</v>
      </c>
      <c r="B49" s="525" t="s">
        <v>2995</v>
      </c>
      <c r="C49" s="118">
        <f>C13*$C$31/12</f>
        <v>0</v>
      </c>
      <c r="D49" s="118">
        <f t="shared" si="1"/>
        <v>257107.08022598724</v>
      </c>
      <c r="E49" s="118">
        <f t="shared" si="2"/>
        <v>1813378.3748355757</v>
      </c>
      <c r="F49" s="118">
        <f t="shared" si="3"/>
        <v>8481455.8095104601</v>
      </c>
      <c r="G49" s="118">
        <f t="shared" si="4"/>
        <v>4986507.5874468507</v>
      </c>
      <c r="H49" s="118">
        <f t="shared" si="5"/>
        <v>1674153.3555859399</v>
      </c>
      <c r="I49" s="118">
        <f t="shared" si="6"/>
        <v>4150229.9845903628</v>
      </c>
      <c r="J49" s="118">
        <f t="shared" si="7"/>
        <v>296049.31893248681</v>
      </c>
      <c r="K49" s="118">
        <f t="shared" si="8"/>
        <v>189478.09937175</v>
      </c>
      <c r="L49" s="118">
        <f t="shared" si="9"/>
        <v>290441.48929366888</v>
      </c>
      <c r="M49" s="118">
        <f t="shared" ref="M49:M59" si="10">SUM(C49:L49)</f>
        <v>22138801.099793084</v>
      </c>
    </row>
    <row r="50" spans="1:13" ht="13">
      <c r="A50" s="2">
        <f t="shared" si="0"/>
        <v>26</v>
      </c>
      <c r="B50" s="525" t="s">
        <v>2996</v>
      </c>
      <c r="C50" s="118">
        <f>C14*$C$32/12</f>
        <v>0</v>
      </c>
      <c r="D50" s="118">
        <f t="shared" si="1"/>
        <v>257106.63804428047</v>
      </c>
      <c r="E50" s="118">
        <f t="shared" si="2"/>
        <v>1825280.8077983614</v>
      </c>
      <c r="F50" s="118">
        <f t="shared" si="3"/>
        <v>8484831.4180671219</v>
      </c>
      <c r="G50" s="118">
        <f t="shared" si="4"/>
        <v>5012452.529424143</v>
      </c>
      <c r="H50" s="118">
        <f t="shared" si="5"/>
        <v>1676829.6964988851</v>
      </c>
      <c r="I50" s="118">
        <f t="shared" si="6"/>
        <v>4188792.0430836994</v>
      </c>
      <c r="J50" s="118">
        <f t="shared" si="7"/>
        <v>296049.3185014982</v>
      </c>
      <c r="K50" s="118">
        <f t="shared" si="8"/>
        <v>189478.09937175</v>
      </c>
      <c r="L50" s="118">
        <f t="shared" si="9"/>
        <v>292832.31531348097</v>
      </c>
      <c r="M50" s="118">
        <f t="shared" si="10"/>
        <v>22223652.866103224</v>
      </c>
    </row>
    <row r="51" spans="1:13" ht="13">
      <c r="A51" s="2">
        <f t="shared" si="0"/>
        <v>27</v>
      </c>
      <c r="B51" s="525" t="s">
        <v>2997</v>
      </c>
      <c r="C51" s="118">
        <f>C15*$C$33/12</f>
        <v>0</v>
      </c>
      <c r="D51" s="118">
        <f t="shared" si="1"/>
        <v>257100.57114743875</v>
      </c>
      <c r="E51" s="118">
        <f t="shared" si="2"/>
        <v>1835091.9166694956</v>
      </c>
      <c r="F51" s="118">
        <f t="shared" si="3"/>
        <v>8511094.4276107624</v>
      </c>
      <c r="G51" s="118">
        <f t="shared" si="4"/>
        <v>5012472.0383615103</v>
      </c>
      <c r="H51" s="118">
        <f t="shared" si="5"/>
        <v>1686350.3179139558</v>
      </c>
      <c r="I51" s="118">
        <f t="shared" si="6"/>
        <v>4190837.9499919717</v>
      </c>
      <c r="J51" s="118">
        <f t="shared" si="7"/>
        <v>296049.31850037054</v>
      </c>
      <c r="K51" s="118">
        <f t="shared" si="8"/>
        <v>189478.09937175</v>
      </c>
      <c r="L51" s="118">
        <f t="shared" si="9"/>
        <v>292876.6184271939</v>
      </c>
      <c r="M51" s="118">
        <f t="shared" si="10"/>
        <v>22271351.257994447</v>
      </c>
    </row>
    <row r="52" spans="1:13" ht="13">
      <c r="A52" s="2">
        <f t="shared" si="0"/>
        <v>28</v>
      </c>
      <c r="B52" s="525" t="s">
        <v>2998</v>
      </c>
      <c r="C52" s="118">
        <f>C16*$C$34/12</f>
        <v>0</v>
      </c>
      <c r="D52" s="118">
        <f t="shared" si="1"/>
        <v>257100.67561224403</v>
      </c>
      <c r="E52" s="118">
        <f t="shared" si="2"/>
        <v>1837615.4850708013</v>
      </c>
      <c r="F52" s="118">
        <f t="shared" si="3"/>
        <v>8533785.3673957046</v>
      </c>
      <c r="G52" s="118">
        <f t="shared" si="4"/>
        <v>5019365.5587318987</v>
      </c>
      <c r="H52" s="118">
        <f t="shared" si="5"/>
        <v>1694779.4783700167</v>
      </c>
      <c r="I52" s="118">
        <f t="shared" si="6"/>
        <v>4202166.2081540925</v>
      </c>
      <c r="J52" s="118">
        <f t="shared" si="7"/>
        <v>296049.31850037054</v>
      </c>
      <c r="K52" s="118">
        <f t="shared" si="8"/>
        <v>189478.09937175</v>
      </c>
      <c r="L52" s="118">
        <f t="shared" si="9"/>
        <v>293331.43237707688</v>
      </c>
      <c r="M52" s="118">
        <f t="shared" si="10"/>
        <v>22323671.623583958</v>
      </c>
    </row>
    <row r="53" spans="1:13" ht="13">
      <c r="A53" s="2">
        <f t="shared" si="0"/>
        <v>29</v>
      </c>
      <c r="B53" s="525" t="s">
        <v>2999</v>
      </c>
      <c r="C53" s="118">
        <f>C17*$C$35/12</f>
        <v>0</v>
      </c>
      <c r="D53" s="118">
        <f t="shared" si="1"/>
        <v>257096.4778328898</v>
      </c>
      <c r="E53" s="118">
        <f t="shared" si="2"/>
        <v>1925753.6623899133</v>
      </c>
      <c r="F53" s="118">
        <f t="shared" si="3"/>
        <v>8935663.0841668285</v>
      </c>
      <c r="G53" s="118">
        <f t="shared" si="4"/>
        <v>5043696.6666362686</v>
      </c>
      <c r="H53" s="118">
        <f t="shared" si="5"/>
        <v>1715148.3887225639</v>
      </c>
      <c r="I53" s="118">
        <f t="shared" si="6"/>
        <v>4278182.0963255549</v>
      </c>
      <c r="J53" s="118">
        <f t="shared" si="7"/>
        <v>296049.27203963272</v>
      </c>
      <c r="K53" s="118">
        <f t="shared" si="8"/>
        <v>189478.09937175</v>
      </c>
      <c r="L53" s="118">
        <f t="shared" si="9"/>
        <v>293751.49258082343</v>
      </c>
      <c r="M53" s="118">
        <f t="shared" si="10"/>
        <v>22934819.240066227</v>
      </c>
    </row>
    <row r="54" spans="1:13" ht="13">
      <c r="A54" s="2">
        <f t="shared" si="0"/>
        <v>30</v>
      </c>
      <c r="B54" s="525" t="s">
        <v>3000</v>
      </c>
      <c r="C54" s="118">
        <f>C18*$C$36/12</f>
        <v>0</v>
      </c>
      <c r="D54" s="118">
        <f t="shared" si="1"/>
        <v>257092.1509610191</v>
      </c>
      <c r="E54" s="118">
        <f t="shared" si="2"/>
        <v>1929425.2353787534</v>
      </c>
      <c r="F54" s="118">
        <f t="shared" si="3"/>
        <v>8995306.734223742</v>
      </c>
      <c r="G54" s="118">
        <f t="shared" si="4"/>
        <v>5048870.9012330305</v>
      </c>
      <c r="H54" s="118">
        <f t="shared" si="5"/>
        <v>1724235.3974592111</v>
      </c>
      <c r="I54" s="118">
        <f t="shared" si="6"/>
        <v>4299034.9348725649</v>
      </c>
      <c r="J54" s="118">
        <f t="shared" si="7"/>
        <v>296049.27296155348</v>
      </c>
      <c r="K54" s="118">
        <f t="shared" si="8"/>
        <v>189478.09937175</v>
      </c>
      <c r="L54" s="118">
        <f t="shared" si="9"/>
        <v>293992.73626650759</v>
      </c>
      <c r="M54" s="118">
        <f t="shared" si="10"/>
        <v>23033485.462728132</v>
      </c>
    </row>
    <row r="55" spans="1:13" ht="13">
      <c r="A55" s="2">
        <f t="shared" si="0"/>
        <v>31</v>
      </c>
      <c r="B55" s="525" t="s">
        <v>3001</v>
      </c>
      <c r="C55" s="118">
        <f>C19*$C$37/12</f>
        <v>0</v>
      </c>
      <c r="D55" s="118">
        <f t="shared" si="1"/>
        <v>258588.345440698</v>
      </c>
      <c r="E55" s="118">
        <f t="shared" si="2"/>
        <v>1930863.0184127076</v>
      </c>
      <c r="F55" s="118">
        <f t="shared" si="3"/>
        <v>9022261.3231828827</v>
      </c>
      <c r="G55" s="118">
        <f t="shared" si="4"/>
        <v>5048907.2010104498</v>
      </c>
      <c r="H55" s="118">
        <f t="shared" si="5"/>
        <v>1860089.6422249216</v>
      </c>
      <c r="I55" s="118">
        <f t="shared" si="6"/>
        <v>4331676.7912457967</v>
      </c>
      <c r="J55" s="118">
        <f t="shared" si="7"/>
        <v>296049.27277746814</v>
      </c>
      <c r="K55" s="118">
        <f t="shared" si="8"/>
        <v>189478.09937175</v>
      </c>
      <c r="L55" s="118">
        <f t="shared" si="9"/>
        <v>294110.16977988248</v>
      </c>
      <c r="M55" s="118">
        <f t="shared" si="10"/>
        <v>23232023.863446556</v>
      </c>
    </row>
    <row r="56" spans="1:13" ht="13">
      <c r="A56" s="2">
        <f t="shared" si="0"/>
        <v>32</v>
      </c>
      <c r="B56" s="525" t="s">
        <v>3002</v>
      </c>
      <c r="C56" s="118">
        <f>C20*$C$38/12</f>
        <v>0</v>
      </c>
      <c r="D56" s="118">
        <f t="shared" si="1"/>
        <v>258307.61704045802</v>
      </c>
      <c r="E56" s="118">
        <f t="shared" si="2"/>
        <v>1921154.5373014321</v>
      </c>
      <c r="F56" s="118">
        <f t="shared" si="3"/>
        <v>9021103.5295100454</v>
      </c>
      <c r="G56" s="118">
        <f t="shared" si="4"/>
        <v>5061658.2316720923</v>
      </c>
      <c r="H56" s="118">
        <f t="shared" si="5"/>
        <v>1874282.6604087262</v>
      </c>
      <c r="I56" s="118">
        <f t="shared" si="6"/>
        <v>4322440.4436664069</v>
      </c>
      <c r="J56" s="118">
        <f t="shared" si="7"/>
        <v>296049.27356135065</v>
      </c>
      <c r="K56" s="118">
        <f t="shared" si="8"/>
        <v>189478.09937175</v>
      </c>
      <c r="L56" s="118">
        <f t="shared" si="9"/>
        <v>294191.08536996966</v>
      </c>
      <c r="M56" s="118">
        <f t="shared" si="10"/>
        <v>23238665.477902234</v>
      </c>
    </row>
    <row r="57" spans="1:13" ht="13">
      <c r="A57" s="2">
        <f t="shared" si="0"/>
        <v>33</v>
      </c>
      <c r="B57" s="525" t="s">
        <v>3003</v>
      </c>
      <c r="C57" s="118">
        <f>C21*$C$39/12</f>
        <v>0</v>
      </c>
      <c r="D57" s="118">
        <f t="shared" si="1"/>
        <v>258227.25905241756</v>
      </c>
      <c r="E57" s="118">
        <f t="shared" si="2"/>
        <v>1926868.4377166603</v>
      </c>
      <c r="F57" s="118">
        <f t="shared" si="3"/>
        <v>9040694.9645377453</v>
      </c>
      <c r="G57" s="118">
        <f t="shared" si="4"/>
        <v>5071146.4329033922</v>
      </c>
      <c r="H57" s="118">
        <f t="shared" si="5"/>
        <v>1890492.7378803699</v>
      </c>
      <c r="I57" s="118">
        <f t="shared" si="6"/>
        <v>4301812.6597842695</v>
      </c>
      <c r="J57" s="118">
        <f t="shared" si="7"/>
        <v>296049.27355763334</v>
      </c>
      <c r="K57" s="118">
        <f t="shared" si="8"/>
        <v>189478.09937175</v>
      </c>
      <c r="L57" s="118">
        <f t="shared" si="9"/>
        <v>294211.77340187813</v>
      </c>
      <c r="M57" s="118">
        <f t="shared" si="10"/>
        <v>23268981.638206117</v>
      </c>
    </row>
    <row r="58" spans="1:13" ht="13">
      <c r="A58" s="2">
        <f t="shared" si="0"/>
        <v>34</v>
      </c>
      <c r="B58" s="525" t="s">
        <v>3004</v>
      </c>
      <c r="C58" s="118">
        <f>C22*$C$40/12</f>
        <v>0</v>
      </c>
      <c r="D58" s="118">
        <f t="shared" si="1"/>
        <v>258207.94373058798</v>
      </c>
      <c r="E58" s="118">
        <f t="shared" si="2"/>
        <v>1932871.3011822337</v>
      </c>
      <c r="F58" s="118">
        <f t="shared" si="3"/>
        <v>9048330.8702533562</v>
      </c>
      <c r="G58" s="118">
        <f t="shared" si="4"/>
        <v>5077280.9866650114</v>
      </c>
      <c r="H58" s="118">
        <f t="shared" si="5"/>
        <v>1907612.1656653779</v>
      </c>
      <c r="I58" s="118">
        <f t="shared" si="6"/>
        <v>4296795.360067388</v>
      </c>
      <c r="J58" s="118">
        <f t="shared" si="7"/>
        <v>296049.20967210137</v>
      </c>
      <c r="K58" s="118">
        <f t="shared" si="8"/>
        <v>189478.09937175</v>
      </c>
      <c r="L58" s="118">
        <f t="shared" si="9"/>
        <v>294219.17189913848</v>
      </c>
      <c r="M58" s="118">
        <f t="shared" si="10"/>
        <v>23300845.108506944</v>
      </c>
    </row>
    <row r="59" spans="1:13" ht="13">
      <c r="A59" s="2">
        <f t="shared" si="0"/>
        <v>35</v>
      </c>
      <c r="B59" s="525" t="s">
        <v>3005</v>
      </c>
      <c r="C59" s="189">
        <f>C23*$C$41/12</f>
        <v>0</v>
      </c>
      <c r="D59" s="189">
        <f t="shared" si="1"/>
        <v>258191.50291263452</v>
      </c>
      <c r="E59" s="189">
        <f t="shared" si="2"/>
        <v>1934837.7042557921</v>
      </c>
      <c r="F59" s="189">
        <f t="shared" si="3"/>
        <v>9056617.2645158824</v>
      </c>
      <c r="G59" s="189">
        <f t="shared" si="4"/>
        <v>5080982.2313725986</v>
      </c>
      <c r="H59" s="189">
        <f t="shared" si="5"/>
        <v>1918588.537548406</v>
      </c>
      <c r="I59" s="189">
        <f t="shared" si="6"/>
        <v>4298913.0631579431</v>
      </c>
      <c r="J59" s="189">
        <f t="shared" si="7"/>
        <v>296049.20958507492</v>
      </c>
      <c r="K59" s="189">
        <f t="shared" si="8"/>
        <v>189478.09937175</v>
      </c>
      <c r="L59" s="189">
        <f t="shared" si="9"/>
        <v>294227.80591101816</v>
      </c>
      <c r="M59" s="53">
        <f t="shared" si="10"/>
        <v>23327885.418631099</v>
      </c>
    </row>
    <row r="60" spans="1:13" ht="13">
      <c r="A60" s="2">
        <f t="shared" si="0"/>
        <v>36</v>
      </c>
      <c r="B60" s="117" t="s">
        <v>431</v>
      </c>
      <c r="C60" s="118">
        <f>SUM(C48:C59)</f>
        <v>0</v>
      </c>
      <c r="D60" s="118">
        <f t="shared" ref="D60:K60" si="11">SUM(D48:D59)</f>
        <v>3091231.4618848478</v>
      </c>
      <c r="E60" s="118">
        <f t="shared" si="11"/>
        <v>22620260.395678014</v>
      </c>
      <c r="F60" s="118">
        <f t="shared" si="11"/>
        <v>105603294.93458149</v>
      </c>
      <c r="G60" s="118">
        <f t="shared" si="11"/>
        <v>60446989.0658364</v>
      </c>
      <c r="H60" s="118">
        <f>SUM(H48:H59)</f>
        <v>21282489.21066124</v>
      </c>
      <c r="I60" s="118">
        <f t="shared" si="11"/>
        <v>50975786.04775051</v>
      </c>
      <c r="J60" s="118">
        <f t="shared" si="11"/>
        <v>3552591.3775220271</v>
      </c>
      <c r="K60" s="118">
        <f t="shared" si="11"/>
        <v>2273737.1924609994</v>
      </c>
      <c r="L60" s="118">
        <f>SUM(L48:L59)</f>
        <v>3518323.829838458</v>
      </c>
      <c r="M60" s="6"/>
    </row>
    <row r="61" spans="1:13" ht="13">
      <c r="A61" s="2">
        <f t="shared" si="0"/>
        <v>37</v>
      </c>
      <c r="B61" s="116"/>
      <c r="C61" s="116"/>
      <c r="D61" s="116"/>
      <c r="E61" s="116"/>
      <c r="F61" s="116"/>
      <c r="G61" s="116"/>
      <c r="H61" s="116"/>
      <c r="I61" s="116"/>
      <c r="J61" s="116"/>
      <c r="K61" s="116"/>
      <c r="L61" s="245" t="s">
        <v>1382</v>
      </c>
      <c r="M61" s="118">
        <f>SUM(M48:M59)</f>
        <v>273364703.51621401</v>
      </c>
    </row>
    <row r="62" spans="1:13" ht="13">
      <c r="A62" s="2">
        <f t="shared" si="0"/>
        <v>38</v>
      </c>
      <c r="B62" s="116"/>
      <c r="C62" s="116"/>
      <c r="D62" s="116"/>
      <c r="E62" s="116"/>
      <c r="F62" s="116"/>
      <c r="G62" s="116"/>
      <c r="H62" s="116"/>
      <c r="I62" s="116"/>
      <c r="J62" s="116"/>
      <c r="K62" s="116"/>
      <c r="L62" s="404" t="s">
        <v>1383</v>
      </c>
      <c r="M62" s="116"/>
    </row>
    <row r="63" spans="1:13" ht="13">
      <c r="A63" s="2">
        <f t="shared" si="0"/>
        <v>39</v>
      </c>
      <c r="B63" s="1" t="s">
        <v>1384</v>
      </c>
      <c r="C63" s="116"/>
      <c r="D63" s="116"/>
      <c r="E63" s="116"/>
      <c r="F63" s="116"/>
      <c r="G63" s="116"/>
      <c r="H63" s="116"/>
      <c r="I63" s="116"/>
      <c r="J63" s="116"/>
      <c r="K63" s="116"/>
      <c r="L63" s="116"/>
      <c r="M63" s="116"/>
    </row>
    <row r="64" spans="1:13" ht="13">
      <c r="A64" s="2">
        <f t="shared" si="0"/>
        <v>40</v>
      </c>
      <c r="B64" s="116"/>
      <c r="C64" s="116"/>
      <c r="D64" s="116"/>
      <c r="E64" s="116"/>
      <c r="F64" s="116"/>
      <c r="G64" s="116"/>
      <c r="H64" s="116"/>
      <c r="I64" s="116"/>
      <c r="J64" s="116"/>
      <c r="K64" s="116"/>
      <c r="L64" s="116"/>
      <c r="M64" s="116"/>
    </row>
    <row r="65" spans="1:13" ht="13">
      <c r="A65" s="2">
        <f t="shared" si="0"/>
        <v>41</v>
      </c>
      <c r="B65" s="116"/>
      <c r="C65" s="116"/>
      <c r="D65" s="48">
        <v>360</v>
      </c>
      <c r="E65" s="48">
        <v>361</v>
      </c>
      <c r="F65" s="48">
        <v>362</v>
      </c>
      <c r="G65" s="116"/>
      <c r="H65" s="30" t="s">
        <v>651</v>
      </c>
      <c r="I65" s="3"/>
      <c r="J65" s="116"/>
      <c r="K65" s="116"/>
      <c r="L65" s="116"/>
      <c r="M65" s="116"/>
    </row>
    <row r="66" spans="1:13" ht="13">
      <c r="A66" s="2">
        <f t="shared" si="0"/>
        <v>42</v>
      </c>
      <c r="B66" s="247" t="s">
        <v>1385</v>
      </c>
      <c r="C66" s="116"/>
      <c r="D66" s="118">
        <f>'6-PlantInService'!C35</f>
        <v>0</v>
      </c>
      <c r="E66" s="118">
        <f>'6-PlantInService'!D35</f>
        <v>0</v>
      </c>
      <c r="F66" s="118">
        <f>'6-PlantInService'!E35</f>
        <v>0</v>
      </c>
      <c r="G66" s="116"/>
      <c r="H66" s="247" t="s">
        <v>1386</v>
      </c>
      <c r="I66" s="246"/>
      <c r="J66" s="116"/>
      <c r="K66" s="116"/>
      <c r="L66" s="116"/>
      <c r="M66" s="116"/>
    </row>
    <row r="67" spans="1:13" ht="13">
      <c r="A67" s="2">
        <f t="shared" si="0"/>
        <v>43</v>
      </c>
      <c r="B67" s="247" t="s">
        <v>1387</v>
      </c>
      <c r="C67" s="116"/>
      <c r="D67" s="189">
        <f>'6-PlantInService'!C36</f>
        <v>0</v>
      </c>
      <c r="E67" s="189">
        <f>'6-PlantInService'!D36</f>
        <v>0</v>
      </c>
      <c r="F67" s="189">
        <f>'6-PlantInService'!E36</f>
        <v>0</v>
      </c>
      <c r="G67" s="116"/>
      <c r="H67" s="247" t="s">
        <v>1388</v>
      </c>
      <c r="I67" s="116"/>
      <c r="J67" s="116"/>
      <c r="K67" s="116"/>
      <c r="M67" s="116"/>
    </row>
    <row r="68" spans="1:13" ht="13">
      <c r="A68" s="2">
        <f t="shared" si="0"/>
        <v>44</v>
      </c>
      <c r="B68" s="247" t="s">
        <v>1389</v>
      </c>
      <c r="C68" s="116"/>
      <c r="D68" s="118">
        <f>AVERAGE(D66:D67)</f>
        <v>0</v>
      </c>
      <c r="E68" s="118">
        <f>AVERAGE(E66:E67)</f>
        <v>0</v>
      </c>
      <c r="F68" s="118">
        <f>AVERAGE(F66:F67)</f>
        <v>0</v>
      </c>
      <c r="G68" s="116"/>
      <c r="H68" s="126"/>
      <c r="I68" s="246"/>
      <c r="J68" s="116"/>
      <c r="K68" s="116"/>
      <c r="M68" s="116"/>
    </row>
    <row r="69" spans="1:13" ht="13">
      <c r="A69" s="2">
        <f t="shared" si="0"/>
        <v>45</v>
      </c>
      <c r="J69" s="116"/>
      <c r="K69" s="116"/>
      <c r="M69" s="116"/>
    </row>
    <row r="70" spans="1:13" ht="13">
      <c r="A70" s="2">
        <f t="shared" si="0"/>
        <v>46</v>
      </c>
      <c r="B70" s="345" t="s">
        <v>1390</v>
      </c>
      <c r="C70" s="116"/>
      <c r="D70" s="116"/>
      <c r="E70" s="116"/>
      <c r="J70" s="116"/>
      <c r="K70" s="116"/>
      <c r="L70" s="118"/>
      <c r="M70" s="116"/>
    </row>
    <row r="71" spans="1:13" ht="13">
      <c r="A71" s="2">
        <f t="shared" si="0"/>
        <v>47</v>
      </c>
      <c r="B71" s="116"/>
      <c r="D71" s="48">
        <v>360</v>
      </c>
      <c r="E71" s="48">
        <v>361</v>
      </c>
      <c r="F71" s="48">
        <v>362</v>
      </c>
      <c r="J71" s="116"/>
      <c r="K71" s="116"/>
      <c r="L71" s="118"/>
      <c r="M71" s="116"/>
    </row>
    <row r="72" spans="1:13" ht="13">
      <c r="A72" s="2">
        <f t="shared" si="0"/>
        <v>48</v>
      </c>
      <c r="D72" s="123">
        <f>'18-DepRates'!$G20</f>
        <v>1.67E-2</v>
      </c>
      <c r="E72" s="123">
        <f>'18-DepRates'!$G21</f>
        <v>2.0500000000000001E-2</v>
      </c>
      <c r="F72" s="123">
        <f>'18-DepRates'!$G22</f>
        <v>1.8599999999999998E-2</v>
      </c>
      <c r="J72" s="116"/>
      <c r="K72" s="116"/>
      <c r="L72" s="118"/>
      <c r="M72" s="116"/>
    </row>
    <row r="73" spans="1:13" ht="13">
      <c r="A73" s="2">
        <f t="shared" si="0"/>
        <v>49</v>
      </c>
      <c r="J73" s="116"/>
      <c r="K73" s="116"/>
      <c r="L73" s="53"/>
      <c r="M73" s="116"/>
    </row>
    <row r="74" spans="1:13" ht="13">
      <c r="A74" s="2">
        <f t="shared" si="0"/>
        <v>50</v>
      </c>
      <c r="B74" t="s">
        <v>1391</v>
      </c>
      <c r="F74" s="247" t="s">
        <v>1392</v>
      </c>
      <c r="J74" s="116"/>
      <c r="K74" s="116"/>
      <c r="L74" s="123"/>
      <c r="M74" s="116"/>
    </row>
    <row r="75" spans="1:13" ht="13">
      <c r="A75" s="2">
        <f t="shared" si="0"/>
        <v>51</v>
      </c>
      <c r="J75" s="116"/>
      <c r="K75" s="116"/>
      <c r="L75" s="123"/>
      <c r="M75" s="116"/>
    </row>
    <row r="76" spans="1:13" ht="13">
      <c r="A76" s="2">
        <f t="shared" si="0"/>
        <v>52</v>
      </c>
      <c r="D76" s="48">
        <v>360</v>
      </c>
      <c r="E76" s="48">
        <v>361</v>
      </c>
      <c r="F76" s="48">
        <v>362</v>
      </c>
      <c r="G76" s="190" t="s">
        <v>249</v>
      </c>
      <c r="J76" s="116"/>
      <c r="K76" s="116"/>
      <c r="L76" s="123"/>
      <c r="M76" s="116"/>
    </row>
    <row r="77" spans="1:13" ht="13">
      <c r="A77" s="2">
        <f t="shared" ref="A77:A90" si="12">A76+1</f>
        <v>53</v>
      </c>
      <c r="D77" s="6">
        <f xml:space="preserve"> D68*D72</f>
        <v>0</v>
      </c>
      <c r="E77" s="6">
        <f xml:space="preserve"> E68*E72</f>
        <v>0</v>
      </c>
      <c r="F77" s="6">
        <f xml:space="preserve"> F68*F72</f>
        <v>0</v>
      </c>
      <c r="G77" s="6">
        <f>SUM(D77:F77)</f>
        <v>0</v>
      </c>
      <c r="H77" s="12" t="s">
        <v>1393</v>
      </c>
      <c r="J77" s="116"/>
      <c r="K77" s="116"/>
      <c r="L77" s="118"/>
      <c r="M77" s="116"/>
    </row>
    <row r="78" spans="1:13" ht="13">
      <c r="A78" s="2">
        <f t="shared" si="12"/>
        <v>54</v>
      </c>
      <c r="H78" s="12" t="s">
        <v>1394</v>
      </c>
      <c r="J78" s="116"/>
      <c r="K78" s="116"/>
      <c r="L78" s="116"/>
      <c r="M78" s="116"/>
    </row>
    <row r="79" spans="1:13" ht="13">
      <c r="A79" s="2">
        <f t="shared" si="12"/>
        <v>55</v>
      </c>
      <c r="J79" s="116"/>
      <c r="K79" s="116"/>
      <c r="L79" s="116"/>
      <c r="M79" s="116"/>
    </row>
    <row r="80" spans="1:13" ht="13">
      <c r="A80" s="2">
        <f t="shared" si="12"/>
        <v>56</v>
      </c>
      <c r="B80" s="1" t="s">
        <v>1395</v>
      </c>
      <c r="J80" s="116"/>
      <c r="K80" s="116"/>
      <c r="L80" s="116"/>
      <c r="M80" s="116"/>
    </row>
    <row r="81" spans="1:13" ht="13">
      <c r="A81" s="2">
        <f t="shared" si="12"/>
        <v>57</v>
      </c>
      <c r="B81" s="116"/>
      <c r="C81" s="116"/>
      <c r="D81" s="116"/>
      <c r="E81" s="116"/>
      <c r="F81" s="116"/>
      <c r="G81" s="116"/>
      <c r="H81" s="116"/>
      <c r="I81" s="116"/>
      <c r="J81" s="116"/>
      <c r="K81" s="116"/>
      <c r="L81" s="116"/>
      <c r="M81" s="116"/>
    </row>
    <row r="82" spans="1:13" ht="13">
      <c r="A82" s="2">
        <f t="shared" si="12"/>
        <v>58</v>
      </c>
      <c r="B82" s="291" t="s">
        <v>1396</v>
      </c>
      <c r="C82" s="116"/>
      <c r="D82" s="116"/>
      <c r="E82" s="116"/>
      <c r="F82" s="116"/>
      <c r="G82" s="116"/>
      <c r="H82" s="191">
        <v>316444187</v>
      </c>
      <c r="I82" s="246" t="s">
        <v>1397</v>
      </c>
      <c r="J82" s="116"/>
      <c r="K82" s="116"/>
      <c r="L82" s="116"/>
      <c r="M82" s="116"/>
    </row>
    <row r="83" spans="1:13" ht="13">
      <c r="A83" s="2">
        <f t="shared" si="12"/>
        <v>59</v>
      </c>
      <c r="B83" s="247" t="s">
        <v>1398</v>
      </c>
      <c r="C83" s="116"/>
      <c r="D83" s="116"/>
      <c r="E83" s="116"/>
      <c r="F83" s="116"/>
      <c r="G83" s="116"/>
      <c r="H83" s="57">
        <v>395926033</v>
      </c>
      <c r="I83" s="246" t="s">
        <v>1399</v>
      </c>
      <c r="J83" s="116"/>
      <c r="K83" s="116"/>
      <c r="L83" s="116"/>
      <c r="M83" s="116"/>
    </row>
    <row r="84" spans="1:13" ht="13">
      <c r="A84" s="2">
        <f t="shared" si="12"/>
        <v>60</v>
      </c>
      <c r="B84" s="291" t="s">
        <v>1400</v>
      </c>
      <c r="C84" s="116"/>
      <c r="D84" s="116"/>
      <c r="E84" s="116"/>
      <c r="F84" s="116"/>
      <c r="G84" s="116"/>
      <c r="H84" s="118">
        <f>SUM(H82:H83)</f>
        <v>712370220</v>
      </c>
      <c r="I84" s="246" t="str">
        <f>"Line "&amp;A82&amp;" + Line "&amp;A83&amp;""</f>
        <v>Line 58 + Line 59</v>
      </c>
      <c r="J84" s="116"/>
      <c r="K84" s="116"/>
      <c r="L84" s="116"/>
      <c r="M84" s="116"/>
    </row>
    <row r="85" spans="1:13" ht="13">
      <c r="A85" s="2">
        <f t="shared" si="12"/>
        <v>61</v>
      </c>
      <c r="B85" s="291" t="s">
        <v>142</v>
      </c>
      <c r="C85" s="116"/>
      <c r="D85" s="116"/>
      <c r="E85" s="116"/>
      <c r="F85" s="116"/>
      <c r="G85" s="116"/>
      <c r="H85" s="128">
        <f>'27-Allocators'!G15</f>
        <v>5.9842511582503061E-2</v>
      </c>
      <c r="I85" s="12" t="str">
        <f>"27-Allocators, Line "&amp;'27-Allocators'!A15&amp;""</f>
        <v>27-Allocators, Line 9</v>
      </c>
      <c r="J85" s="116"/>
      <c r="K85" s="116"/>
      <c r="L85" s="116"/>
      <c r="M85" s="116"/>
    </row>
    <row r="86" spans="1:13" ht="13">
      <c r="A86" s="2">
        <f t="shared" si="12"/>
        <v>62</v>
      </c>
      <c r="B86" s="291" t="s">
        <v>1401</v>
      </c>
      <c r="C86" s="116"/>
      <c r="D86" s="116"/>
      <c r="E86" s="116"/>
      <c r="F86" s="116"/>
      <c r="G86" s="116"/>
      <c r="H86" s="118">
        <f>H84*H85</f>
        <v>42630023.14138025</v>
      </c>
      <c r="I86" s="246" t="str">
        <f>"Line "&amp;A84&amp;" * Line "&amp;A85&amp;""</f>
        <v>Line 60 * Line 61</v>
      </c>
      <c r="J86" s="116"/>
      <c r="K86" s="116"/>
      <c r="L86" s="116"/>
      <c r="M86" s="116"/>
    </row>
    <row r="87" spans="1:13" ht="13">
      <c r="A87" s="2">
        <f t="shared" si="12"/>
        <v>63</v>
      </c>
      <c r="B87" s="291"/>
      <c r="C87" s="247"/>
      <c r="D87" s="116"/>
      <c r="E87" s="116"/>
      <c r="F87" s="116"/>
      <c r="G87" s="116"/>
      <c r="H87" s="116"/>
      <c r="I87" s="116"/>
      <c r="J87" s="116"/>
      <c r="K87" s="116"/>
      <c r="L87" s="116"/>
      <c r="M87" s="116"/>
    </row>
    <row r="88" spans="1:13" ht="13">
      <c r="A88" s="2">
        <f t="shared" si="12"/>
        <v>64</v>
      </c>
      <c r="B88" s="47" t="s">
        <v>1402</v>
      </c>
      <c r="C88" s="116"/>
      <c r="D88" s="116"/>
      <c r="E88" s="116"/>
      <c r="F88" s="116"/>
      <c r="G88" s="116"/>
      <c r="H88" s="116"/>
      <c r="I88" s="116"/>
      <c r="J88" s="116"/>
      <c r="K88" s="116"/>
      <c r="L88" s="116"/>
      <c r="M88" s="116"/>
    </row>
    <row r="89" spans="1:13" ht="13">
      <c r="A89" s="2">
        <f t="shared" si="12"/>
        <v>65</v>
      </c>
      <c r="B89" s="291"/>
      <c r="C89" s="247"/>
      <c r="D89" s="116"/>
      <c r="E89" s="116"/>
      <c r="F89" s="116"/>
      <c r="G89" s="116"/>
      <c r="H89" s="116"/>
      <c r="I89" s="116"/>
      <c r="J89" s="116"/>
      <c r="K89" s="116"/>
      <c r="L89" s="116"/>
      <c r="M89" s="116"/>
    </row>
    <row r="90" spans="1:13" ht="13">
      <c r="A90" s="2">
        <f t="shared" si="12"/>
        <v>66</v>
      </c>
      <c r="B90" s="291" t="s">
        <v>1403</v>
      </c>
      <c r="C90" s="116"/>
      <c r="D90" s="116"/>
      <c r="E90" s="116"/>
      <c r="F90" s="3" t="s">
        <v>79</v>
      </c>
      <c r="G90" s="3" t="s">
        <v>651</v>
      </c>
      <c r="H90" s="116"/>
      <c r="I90" s="116"/>
    </row>
    <row r="91" spans="1:13" ht="13">
      <c r="A91" s="2">
        <f>A90+1</f>
        <v>67</v>
      </c>
      <c r="B91" s="246" t="s">
        <v>1404</v>
      </c>
      <c r="C91" s="116"/>
      <c r="D91" s="116"/>
      <c r="E91" s="116"/>
      <c r="F91" s="118">
        <f>M61</f>
        <v>273364703.51621401</v>
      </c>
      <c r="G91" s="246" t="str">
        <f>"Line "&amp;A61&amp;", Col 12"</f>
        <v>Line 37, Col 12</v>
      </c>
      <c r="H91" s="116"/>
      <c r="I91" s="116"/>
    </row>
    <row r="92" spans="1:13" ht="13">
      <c r="A92" s="2">
        <f>A91+1</f>
        <v>68</v>
      </c>
      <c r="B92" s="246" t="s">
        <v>1405</v>
      </c>
      <c r="C92" s="116"/>
      <c r="D92" s="116"/>
      <c r="E92" s="116"/>
      <c r="F92" s="118">
        <f>G77</f>
        <v>0</v>
      </c>
      <c r="G92" s="246" t="str">
        <f>"Line "&amp;A77&amp;""</f>
        <v>Line 53</v>
      </c>
      <c r="H92" s="116"/>
      <c r="I92" s="116"/>
    </row>
    <row r="93" spans="1:13" ht="13">
      <c r="A93" s="2">
        <f>A92+1</f>
        <v>69</v>
      </c>
      <c r="B93" s="246" t="s">
        <v>1406</v>
      </c>
      <c r="C93" s="116"/>
      <c r="D93" s="116"/>
      <c r="E93" s="116"/>
      <c r="F93" s="53">
        <f>H86</f>
        <v>42630023.14138025</v>
      </c>
      <c r="G93" s="246" t="str">
        <f>"Line "&amp;A86&amp;""</f>
        <v>Line 62</v>
      </c>
      <c r="H93" s="116"/>
      <c r="I93" s="116"/>
    </row>
    <row r="94" spans="1:13" ht="13">
      <c r="A94" s="2">
        <f>A93+1</f>
        <v>70</v>
      </c>
      <c r="B94" s="116"/>
      <c r="C94" s="116"/>
      <c r="D94" s="116"/>
      <c r="E94" s="117" t="s">
        <v>1407</v>
      </c>
      <c r="F94" s="118">
        <f>SUM(F91:F93)</f>
        <v>315994726.65759426</v>
      </c>
      <c r="G94" s="246" t="str">
        <f>"Line "&amp;A91&amp;" + Line "&amp;A92&amp;" + Line "&amp;A93&amp;""</f>
        <v>Line 67 + Line 68 + Line 69</v>
      </c>
      <c r="H94" s="116"/>
      <c r="I94" s="116"/>
    </row>
    <row r="95" spans="1:13" ht="13">
      <c r="A95" s="116"/>
      <c r="B95" s="1" t="s">
        <v>228</v>
      </c>
      <c r="C95" s="116"/>
      <c r="D95" s="116"/>
      <c r="E95" s="116"/>
      <c r="F95" s="116"/>
      <c r="G95" s="116"/>
      <c r="H95" s="116"/>
      <c r="I95" s="116"/>
    </row>
    <row r="96" spans="1:13">
      <c r="A96" s="116"/>
      <c r="B96" s="247" t="s">
        <v>1408</v>
      </c>
      <c r="C96" s="116"/>
      <c r="D96" s="116"/>
      <c r="E96" s="116"/>
      <c r="F96" s="116"/>
      <c r="G96" s="116"/>
      <c r="H96" s="116"/>
      <c r="I96" s="116"/>
    </row>
    <row r="97" spans="1:9">
      <c r="A97" s="116"/>
      <c r="B97" s="247" t="str">
        <f>"same account, times the Monthly Depreciation Rate for that account.  Monthly rate = annual rates on Line "&amp;A29&amp;" etc. divided by 12."</f>
        <v>same account, times the Monthly Depreciation Rate for that account.  Monthly rate = annual rates on Line 17a etc. divided by 12.</v>
      </c>
      <c r="C97" s="116"/>
      <c r="D97" s="116"/>
      <c r="E97" s="116"/>
      <c r="F97" s="116"/>
      <c r="G97" s="116"/>
      <c r="H97" s="116"/>
      <c r="I97" s="116"/>
    </row>
    <row r="98" spans="1:9">
      <c r="A98" s="116"/>
      <c r="B98" s="247" t="str">
        <f>"2) Depreciation Expense for each account is equal to the Average BOY/EOY value on Line "&amp;A68&amp;" times the"</f>
        <v>2) Depreciation Expense for each account is equal to the Average BOY/EOY value on Line 44 times the</v>
      </c>
      <c r="C98" s="116"/>
      <c r="D98" s="116"/>
      <c r="E98" s="116"/>
      <c r="F98" s="116"/>
      <c r="G98" s="116"/>
      <c r="H98" s="116"/>
      <c r="I98" s="116"/>
    </row>
    <row r="99" spans="1:9">
      <c r="B99" s="247" t="str">
        <f>"Depreciation Rate on Line "&amp;A72&amp;"."</f>
        <v>Depreciation Rate on Line 48.</v>
      </c>
    </row>
    <row r="100" spans="1:9" ht="13">
      <c r="B100" s="1" t="s">
        <v>433</v>
      </c>
    </row>
    <row r="101" spans="1:9">
      <c r="B101" s="247" t="s">
        <v>1409</v>
      </c>
    </row>
    <row r="102" spans="1:9">
      <c r="B102" s="247" t="s">
        <v>1410</v>
      </c>
    </row>
    <row r="103" spans="1:9">
      <c r="B103" s="247" t="s">
        <v>1411</v>
      </c>
    </row>
    <row r="104" spans="1:9">
      <c r="B104" s="247"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&amp;RTO2024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zoomScaleNormal="100" workbookViewId="0"/>
  </sheetViews>
  <sheetFormatPr defaultColWidth="8.54296875" defaultRowHeight="12.5"/>
  <cols>
    <col min="1" max="1" width="4.54296875" customWidth="1"/>
    <col min="2" max="2" width="2.1796875" customWidth="1"/>
    <col min="4" max="4" width="38.54296875" customWidth="1"/>
    <col min="5" max="7" width="8.54296875" style="247"/>
  </cols>
  <sheetData>
    <row r="1" spans="1:11" ht="13">
      <c r="A1" s="206" t="s">
        <v>1412</v>
      </c>
      <c r="B1" s="247"/>
      <c r="C1" s="247"/>
      <c r="D1" s="247"/>
      <c r="K1" t="s">
        <v>1413</v>
      </c>
    </row>
    <row r="2" spans="1:11">
      <c r="A2" s="247"/>
      <c r="B2" s="247"/>
      <c r="C2" s="247"/>
      <c r="D2" s="247"/>
    </row>
    <row r="3" spans="1:11" ht="13">
      <c r="A3" s="247"/>
      <c r="B3" s="206" t="s">
        <v>639</v>
      </c>
      <c r="C3" s="247"/>
      <c r="D3" s="247"/>
      <c r="E3" s="2" t="s">
        <v>659</v>
      </c>
      <c r="F3" s="2"/>
      <c r="G3" s="2"/>
    </row>
    <row r="4" spans="1:11" ht="13">
      <c r="A4" s="247"/>
      <c r="B4" s="247"/>
      <c r="C4" s="119" t="s">
        <v>244</v>
      </c>
      <c r="D4" s="247"/>
      <c r="E4" s="2" t="s">
        <v>1414</v>
      </c>
      <c r="F4" s="4" t="s">
        <v>1323</v>
      </c>
      <c r="G4" s="4"/>
    </row>
    <row r="5" spans="1:11" ht="13">
      <c r="A5" s="30" t="s">
        <v>273</v>
      </c>
      <c r="B5" s="247"/>
      <c r="C5" s="190" t="s">
        <v>705</v>
      </c>
      <c r="D5" s="190" t="s">
        <v>813</v>
      </c>
      <c r="E5" s="3" t="s">
        <v>1415</v>
      </c>
      <c r="F5" s="3" t="s">
        <v>1416</v>
      </c>
      <c r="G5" s="3" t="s">
        <v>249</v>
      </c>
    </row>
    <row r="6" spans="1:11" ht="15" customHeight="1">
      <c r="A6" s="2">
        <v>1</v>
      </c>
      <c r="B6" s="247"/>
      <c r="C6" s="404">
        <v>350.1</v>
      </c>
      <c r="D6" s="246" t="s">
        <v>1417</v>
      </c>
      <c r="E6" s="272">
        <v>0</v>
      </c>
      <c r="F6" s="272">
        <v>0</v>
      </c>
      <c r="G6" s="272">
        <v>0</v>
      </c>
    </row>
    <row r="7" spans="1:11" ht="15" customHeight="1">
      <c r="A7" s="2">
        <f>A6+1</f>
        <v>2</v>
      </c>
      <c r="B7" s="247"/>
      <c r="C7" s="404">
        <v>350.2</v>
      </c>
      <c r="D7" s="246" t="s">
        <v>1418</v>
      </c>
      <c r="E7" s="272">
        <v>1.66E-2</v>
      </c>
      <c r="F7" s="272">
        <v>0</v>
      </c>
      <c r="G7" s="272">
        <v>1.66E-2</v>
      </c>
    </row>
    <row r="8" spans="1:11" ht="13">
      <c r="A8" s="2">
        <f t="shared" ref="A8:A16" si="0">A7+1</f>
        <v>3</v>
      </c>
      <c r="B8" s="247"/>
      <c r="C8" s="404">
        <v>352</v>
      </c>
      <c r="D8" s="246" t="s">
        <v>1419</v>
      </c>
      <c r="E8" s="272">
        <v>1.7999999999999999E-2</v>
      </c>
      <c r="F8" s="272">
        <v>7.7000000000000002E-3</v>
      </c>
      <c r="G8" s="272">
        <v>2.5700000000000001E-2</v>
      </c>
    </row>
    <row r="9" spans="1:11" ht="13">
      <c r="A9" s="2">
        <f t="shared" si="0"/>
        <v>4</v>
      </c>
      <c r="B9" s="247"/>
      <c r="C9" s="404">
        <v>353</v>
      </c>
      <c r="D9" s="246" t="s">
        <v>1420</v>
      </c>
      <c r="E9" s="272">
        <v>2.1999999999999999E-2</v>
      </c>
      <c r="F9" s="272">
        <v>2.7000000000000001E-3</v>
      </c>
      <c r="G9" s="272">
        <v>2.47E-2</v>
      </c>
    </row>
    <row r="10" spans="1:11" ht="13">
      <c r="A10" s="2">
        <f t="shared" si="0"/>
        <v>5</v>
      </c>
      <c r="B10" s="247"/>
      <c r="C10" s="404">
        <v>354</v>
      </c>
      <c r="D10" s="246" t="s">
        <v>1421</v>
      </c>
      <c r="E10" s="272">
        <v>1.35E-2</v>
      </c>
      <c r="F10" s="272">
        <v>1.09E-2</v>
      </c>
      <c r="G10" s="272">
        <v>2.4400000000000002E-2</v>
      </c>
    </row>
    <row r="11" spans="1:11" ht="13">
      <c r="A11" s="2">
        <f t="shared" si="0"/>
        <v>6</v>
      </c>
      <c r="B11" s="247"/>
      <c r="C11" s="404">
        <v>355</v>
      </c>
      <c r="D11" s="246" t="s">
        <v>1422</v>
      </c>
      <c r="E11" s="272">
        <v>0.02</v>
      </c>
      <c r="F11" s="272">
        <v>1.67E-2</v>
      </c>
      <c r="G11" s="272">
        <v>3.6700000000000003E-2</v>
      </c>
    </row>
    <row r="12" spans="1:11" ht="13">
      <c r="A12" s="2">
        <f t="shared" si="0"/>
        <v>7</v>
      </c>
      <c r="B12" s="247"/>
      <c r="C12" s="404">
        <v>356</v>
      </c>
      <c r="D12" s="246" t="s">
        <v>1423</v>
      </c>
      <c r="E12" s="272">
        <v>0.02</v>
      </c>
      <c r="F12" s="272">
        <v>1.0500000000000001E-2</v>
      </c>
      <c r="G12" s="272">
        <v>3.0499999999999999E-2</v>
      </c>
    </row>
    <row r="13" spans="1:11" ht="13">
      <c r="A13" s="2">
        <f t="shared" si="0"/>
        <v>8</v>
      </c>
      <c r="B13" s="247"/>
      <c r="C13" s="404">
        <v>357</v>
      </c>
      <c r="D13" s="246" t="s">
        <v>1424</v>
      </c>
      <c r="E13" s="272">
        <v>1.6500000000000001E-2</v>
      </c>
      <c r="F13" s="272">
        <v>0</v>
      </c>
      <c r="G13" s="272">
        <v>1.6500000000000001E-2</v>
      </c>
    </row>
    <row r="14" spans="1:11" ht="13">
      <c r="A14" s="2">
        <f t="shared" si="0"/>
        <v>9</v>
      </c>
      <c r="B14" s="247"/>
      <c r="C14" s="404">
        <v>358</v>
      </c>
      <c r="D14" s="246" t="s">
        <v>1425</v>
      </c>
      <c r="E14" s="272">
        <v>3.2599999999999997E-2</v>
      </c>
      <c r="F14" s="272">
        <v>6.1000000000000004E-3</v>
      </c>
      <c r="G14" s="272">
        <v>3.8699999999999998E-2</v>
      </c>
    </row>
    <row r="15" spans="1:11" ht="13">
      <c r="A15" s="2">
        <f t="shared" si="0"/>
        <v>10</v>
      </c>
      <c r="B15" s="247"/>
      <c r="C15" s="404">
        <v>359</v>
      </c>
      <c r="D15" s="246" t="s">
        <v>1426</v>
      </c>
      <c r="E15" s="272">
        <v>1.5599999999999999E-2</v>
      </c>
      <c r="F15" s="272">
        <v>0</v>
      </c>
      <c r="G15" s="272">
        <v>1.5599999999999999E-2</v>
      </c>
    </row>
    <row r="16" spans="1:11" ht="13">
      <c r="A16" s="2">
        <f t="shared" si="0"/>
        <v>11</v>
      </c>
      <c r="B16" s="247"/>
      <c r="C16" s="247"/>
      <c r="D16" s="247"/>
    </row>
    <row r="17" spans="1:7" ht="13">
      <c r="A17" s="247"/>
      <c r="B17" s="206" t="s">
        <v>645</v>
      </c>
      <c r="C17" s="247"/>
      <c r="D17" s="247"/>
      <c r="E17" s="2" t="s">
        <v>659</v>
      </c>
      <c r="F17" s="2"/>
      <c r="G17" s="2"/>
    </row>
    <row r="18" spans="1:7" ht="13">
      <c r="A18" s="247"/>
      <c r="B18" s="247"/>
      <c r="C18" s="119" t="s">
        <v>244</v>
      </c>
      <c r="D18" s="247"/>
      <c r="E18" s="2" t="s">
        <v>1414</v>
      </c>
      <c r="F18" s="4" t="s">
        <v>1323</v>
      </c>
      <c r="G18" s="4"/>
    </row>
    <row r="19" spans="1:7" ht="13">
      <c r="A19" s="247"/>
      <c r="B19" s="247"/>
      <c r="C19" s="190" t="s">
        <v>705</v>
      </c>
      <c r="D19" s="190" t="s">
        <v>813</v>
      </c>
      <c r="E19" s="3" t="s">
        <v>1415</v>
      </c>
      <c r="F19" s="3" t="s">
        <v>1416</v>
      </c>
      <c r="G19" s="3" t="s">
        <v>249</v>
      </c>
    </row>
    <row r="20" spans="1:7" ht="13">
      <c r="A20" s="2">
        <f>A16+1</f>
        <v>12</v>
      </c>
      <c r="B20" s="247"/>
      <c r="C20" s="247">
        <v>360</v>
      </c>
      <c r="D20" s="246" t="s">
        <v>1427</v>
      </c>
      <c r="E20" s="272">
        <v>1.67E-2</v>
      </c>
      <c r="F20" s="272">
        <v>0</v>
      </c>
      <c r="G20" s="272">
        <v>1.67E-2</v>
      </c>
    </row>
    <row r="21" spans="1:7" ht="13">
      <c r="A21" s="2">
        <f>A20+1</f>
        <v>13</v>
      </c>
      <c r="B21" s="247"/>
      <c r="C21" s="247">
        <v>361</v>
      </c>
      <c r="D21" s="246" t="s">
        <v>1419</v>
      </c>
      <c r="E21" s="1027">
        <v>1.4200000000000001E-2</v>
      </c>
      <c r="F21" s="499">
        <v>6.3E-3</v>
      </c>
      <c r="G21" s="499">
        <v>2.0500000000000001E-2</v>
      </c>
    </row>
    <row r="22" spans="1:7" ht="13">
      <c r="A22" s="2">
        <f>A21+1</f>
        <v>14</v>
      </c>
      <c r="B22" s="247"/>
      <c r="C22" s="247">
        <v>362</v>
      </c>
      <c r="D22" s="246" t="s">
        <v>1420</v>
      </c>
      <c r="E22" s="1027">
        <v>1.3299999999999999E-2</v>
      </c>
      <c r="F22" s="499">
        <v>5.3E-3</v>
      </c>
      <c r="G22" s="499">
        <v>1.8599999999999998E-2</v>
      </c>
    </row>
    <row r="23" spans="1:7">
      <c r="A23" s="247"/>
      <c r="B23" s="247"/>
      <c r="C23" s="247"/>
      <c r="D23" s="247"/>
    </row>
    <row r="24" spans="1:7" ht="13">
      <c r="A24" s="247"/>
      <c r="B24" s="206" t="s">
        <v>1428</v>
      </c>
      <c r="C24" s="247"/>
      <c r="D24" s="247"/>
      <c r="E24" s="2" t="s">
        <v>659</v>
      </c>
    </row>
    <row r="25" spans="1:7" ht="13">
      <c r="A25" s="247"/>
      <c r="B25" s="247"/>
      <c r="C25" s="119" t="s">
        <v>244</v>
      </c>
      <c r="D25" s="247"/>
      <c r="E25" s="2" t="s">
        <v>1414</v>
      </c>
      <c r="F25" s="4" t="s">
        <v>1323</v>
      </c>
      <c r="G25" s="4"/>
    </row>
    <row r="26" spans="1:7" ht="13">
      <c r="A26" s="247"/>
      <c r="B26" s="247"/>
      <c r="C26" s="190" t="s">
        <v>705</v>
      </c>
      <c r="D26" s="190" t="s">
        <v>813</v>
      </c>
      <c r="E26" s="3" t="s">
        <v>1415</v>
      </c>
      <c r="F26" s="3" t="s">
        <v>1416</v>
      </c>
      <c r="G26" s="3" t="s">
        <v>249</v>
      </c>
    </row>
    <row r="27" spans="1:7" ht="13">
      <c r="A27" s="2">
        <f>A22+1</f>
        <v>15</v>
      </c>
      <c r="B27" s="247"/>
      <c r="C27" s="247">
        <v>389</v>
      </c>
      <c r="D27" s="246" t="s">
        <v>1427</v>
      </c>
      <c r="E27" s="272">
        <v>1.67E-2</v>
      </c>
      <c r="F27" s="272">
        <v>0</v>
      </c>
      <c r="G27" s="272">
        <v>1.67E-2</v>
      </c>
    </row>
    <row r="28" spans="1:7" ht="13">
      <c r="A28" s="2">
        <f t="shared" ref="A28:A42" si="1">A27+1</f>
        <v>16</v>
      </c>
      <c r="B28" s="247"/>
      <c r="C28" s="247">
        <v>390</v>
      </c>
      <c r="D28" s="246" t="s">
        <v>1419</v>
      </c>
      <c r="E28" s="1027">
        <v>1.5900000000000001E-2</v>
      </c>
      <c r="F28" s="272">
        <v>2.3E-3</v>
      </c>
      <c r="G28" s="1027">
        <v>1.8200000000000001E-2</v>
      </c>
    </row>
    <row r="29" spans="1:7" ht="13">
      <c r="A29" s="2">
        <f t="shared" si="1"/>
        <v>17</v>
      </c>
      <c r="B29" s="247"/>
      <c r="C29" s="247">
        <v>391.1</v>
      </c>
      <c r="D29" s="864" t="s">
        <v>1429</v>
      </c>
      <c r="E29" s="272">
        <v>0.05</v>
      </c>
      <c r="F29" s="272">
        <v>0</v>
      </c>
      <c r="G29" s="272">
        <v>0.05</v>
      </c>
    </row>
    <row r="30" spans="1:7" ht="13">
      <c r="A30" s="2">
        <f t="shared" si="1"/>
        <v>18</v>
      </c>
      <c r="B30" s="247"/>
      <c r="C30" s="247">
        <v>391.5</v>
      </c>
      <c r="D30" s="864" t="s">
        <v>1430</v>
      </c>
      <c r="E30" s="272">
        <v>0.2</v>
      </c>
      <c r="F30" s="272">
        <v>0</v>
      </c>
      <c r="G30" s="272">
        <v>0.2</v>
      </c>
    </row>
    <row r="31" spans="1:7" ht="13">
      <c r="A31" s="2">
        <f t="shared" si="1"/>
        <v>19</v>
      </c>
      <c r="B31" s="247"/>
      <c r="C31" s="247">
        <v>391.6</v>
      </c>
      <c r="D31" s="864" t="s">
        <v>1431</v>
      </c>
      <c r="E31" s="272">
        <v>0.2</v>
      </c>
      <c r="F31" s="272">
        <v>0</v>
      </c>
      <c r="G31" s="272">
        <v>0.2</v>
      </c>
    </row>
    <row r="32" spans="1:7" ht="13">
      <c r="A32" s="2">
        <f t="shared" si="1"/>
        <v>20</v>
      </c>
      <c r="B32" s="247"/>
      <c r="C32" s="247">
        <v>391.2</v>
      </c>
      <c r="D32" s="864" t="s">
        <v>1432</v>
      </c>
      <c r="E32" s="499">
        <v>0.19070000000000001</v>
      </c>
      <c r="F32" s="1027">
        <v>0</v>
      </c>
      <c r="G32" s="499">
        <v>0.19070000000000001</v>
      </c>
    </row>
    <row r="33" spans="1:7" ht="13">
      <c r="A33" s="2">
        <f t="shared" si="1"/>
        <v>21</v>
      </c>
      <c r="B33" s="247"/>
      <c r="C33" s="247">
        <v>391.3</v>
      </c>
      <c r="D33" s="864" t="s">
        <v>1433</v>
      </c>
      <c r="E33" s="499">
        <v>0.19070000000000001</v>
      </c>
      <c r="F33" s="1027">
        <v>0</v>
      </c>
      <c r="G33" s="499">
        <v>0.19070000000000001</v>
      </c>
    </row>
    <row r="34" spans="1:7" ht="13">
      <c r="A34" s="2">
        <f t="shared" si="1"/>
        <v>22</v>
      </c>
      <c r="B34" s="247"/>
      <c r="C34" s="245">
        <v>391.7</v>
      </c>
      <c r="D34" s="864" t="s">
        <v>1434</v>
      </c>
      <c r="E34" s="499">
        <v>0.19070000000000001</v>
      </c>
      <c r="F34" s="1027">
        <v>0</v>
      </c>
      <c r="G34" s="499">
        <v>0.19070000000000001</v>
      </c>
    </row>
    <row r="35" spans="1:7" ht="13">
      <c r="A35" s="2">
        <f t="shared" si="1"/>
        <v>23</v>
      </c>
      <c r="B35" s="247"/>
      <c r="C35" s="245">
        <v>391.4</v>
      </c>
      <c r="D35" s="864" t="s">
        <v>1435</v>
      </c>
      <c r="E35" s="499">
        <v>0.11360000000000001</v>
      </c>
      <c r="F35" s="1027">
        <v>0</v>
      </c>
      <c r="G35" s="499">
        <v>0.11360000000000001</v>
      </c>
    </row>
    <row r="36" spans="1:7" ht="13">
      <c r="A36" s="2">
        <f t="shared" si="1"/>
        <v>24</v>
      </c>
      <c r="B36" s="247"/>
      <c r="C36" s="247">
        <v>391.4</v>
      </c>
      <c r="D36" s="864" t="s">
        <v>1436</v>
      </c>
      <c r="E36" s="499">
        <v>0.11360000000000001</v>
      </c>
      <c r="F36" s="1027">
        <v>0</v>
      </c>
      <c r="G36" s="499">
        <v>0.11360000000000001</v>
      </c>
    </row>
    <row r="37" spans="1:7" ht="13">
      <c r="A37" s="2">
        <f t="shared" si="1"/>
        <v>25</v>
      </c>
      <c r="B37" s="247"/>
      <c r="C37" s="245">
        <v>391.4</v>
      </c>
      <c r="D37" s="864" t="s">
        <v>1437</v>
      </c>
      <c r="E37" s="499">
        <v>0.11360000000000001</v>
      </c>
      <c r="F37" s="1027">
        <v>0</v>
      </c>
      <c r="G37" s="499">
        <v>0.11360000000000001</v>
      </c>
    </row>
    <row r="38" spans="1:7" ht="13">
      <c r="A38" s="2">
        <f t="shared" si="1"/>
        <v>26</v>
      </c>
      <c r="B38" s="247"/>
      <c r="C38" s="245">
        <v>391.4</v>
      </c>
      <c r="D38" s="864" t="s">
        <v>1438</v>
      </c>
      <c r="E38" s="499">
        <v>0.11360000000000001</v>
      </c>
      <c r="F38" s="1027">
        <v>0</v>
      </c>
      <c r="G38" s="499">
        <v>0.11360000000000001</v>
      </c>
    </row>
    <row r="39" spans="1:7" ht="13">
      <c r="A39" s="2">
        <f t="shared" si="1"/>
        <v>27</v>
      </c>
      <c r="B39" s="247"/>
      <c r="C39" s="245">
        <v>391.4</v>
      </c>
      <c r="D39" s="864" t="s">
        <v>1439</v>
      </c>
      <c r="E39" s="499">
        <v>0.11360000000000001</v>
      </c>
      <c r="F39" s="1027">
        <v>0</v>
      </c>
      <c r="G39" s="499">
        <v>0.11360000000000001</v>
      </c>
    </row>
    <row r="40" spans="1:7" ht="13">
      <c r="A40" s="2">
        <f t="shared" si="1"/>
        <v>28</v>
      </c>
      <c r="B40" s="247"/>
      <c r="C40" s="245">
        <v>393</v>
      </c>
      <c r="D40" s="246" t="s">
        <v>1440</v>
      </c>
      <c r="E40" s="272">
        <v>0.05</v>
      </c>
      <c r="F40" s="272">
        <v>0</v>
      </c>
      <c r="G40" s="272">
        <v>0.05</v>
      </c>
    </row>
    <row r="41" spans="1:7" ht="13">
      <c r="A41" s="2">
        <f t="shared" si="1"/>
        <v>29</v>
      </c>
      <c r="B41" s="247"/>
      <c r="C41" s="245">
        <v>395</v>
      </c>
      <c r="D41" s="246" t="s">
        <v>1441</v>
      </c>
      <c r="E41" s="272">
        <v>6.6699999999999995E-2</v>
      </c>
      <c r="F41" s="272">
        <v>0</v>
      </c>
      <c r="G41" s="272">
        <v>6.6699999999999995E-2</v>
      </c>
    </row>
    <row r="42" spans="1:7" ht="13">
      <c r="A42" s="2">
        <f t="shared" si="1"/>
        <v>30</v>
      </c>
      <c r="B42" s="247"/>
      <c r="C42" s="245">
        <v>398</v>
      </c>
      <c r="D42" s="246" t="s">
        <v>1442</v>
      </c>
      <c r="E42" s="272">
        <v>0.05</v>
      </c>
      <c r="F42" s="272">
        <v>0</v>
      </c>
      <c r="G42" s="272">
        <v>0.05</v>
      </c>
    </row>
    <row r="43" spans="1:7" ht="13">
      <c r="A43" s="2">
        <f>A42+1</f>
        <v>31</v>
      </c>
      <c r="B43" s="247"/>
      <c r="C43" s="245">
        <v>397</v>
      </c>
      <c r="D43" s="246" t="s">
        <v>1443</v>
      </c>
      <c r="E43" s="272">
        <v>0.2</v>
      </c>
      <c r="F43" s="272">
        <v>0</v>
      </c>
      <c r="G43" s="272">
        <v>0.2</v>
      </c>
    </row>
    <row r="44" spans="1:7" ht="13">
      <c r="A44" s="2">
        <f t="shared" ref="A44:A53" si="2">A43+1</f>
        <v>32</v>
      </c>
      <c r="B44" s="247"/>
      <c r="C44" s="245">
        <v>397</v>
      </c>
      <c r="D44" s="246" t="s">
        <v>1444</v>
      </c>
      <c r="E44" s="272">
        <v>0.1429</v>
      </c>
      <c r="F44" s="272">
        <v>0</v>
      </c>
      <c r="G44" s="272">
        <v>0.1429</v>
      </c>
    </row>
    <row r="45" spans="1:7" ht="13">
      <c r="A45" s="2">
        <f t="shared" si="2"/>
        <v>33</v>
      </c>
      <c r="B45" s="247"/>
      <c r="C45" s="245">
        <v>397</v>
      </c>
      <c r="D45" s="246" t="s">
        <v>1445</v>
      </c>
      <c r="E45" s="272">
        <v>0.1</v>
      </c>
      <c r="F45" s="272">
        <v>0</v>
      </c>
      <c r="G45" s="272">
        <v>0.1</v>
      </c>
    </row>
    <row r="46" spans="1:7" ht="13">
      <c r="A46" s="2">
        <f t="shared" si="2"/>
        <v>34</v>
      </c>
      <c r="B46" s="247"/>
      <c r="C46" s="245">
        <v>397</v>
      </c>
      <c r="D46" s="246" t="s">
        <v>1446</v>
      </c>
      <c r="E46" s="272">
        <v>6.6699999999999995E-2</v>
      </c>
      <c r="F46" s="272">
        <v>0</v>
      </c>
      <c r="G46" s="272">
        <v>6.6699999999999995E-2</v>
      </c>
    </row>
    <row r="47" spans="1:7" ht="13">
      <c r="A47" s="2">
        <f t="shared" si="2"/>
        <v>35</v>
      </c>
      <c r="B47" s="247"/>
      <c r="C47" s="245">
        <v>397</v>
      </c>
      <c r="D47" s="246" t="s">
        <v>1447</v>
      </c>
      <c r="E47" s="554">
        <v>0.05</v>
      </c>
      <c r="F47" s="272">
        <v>0</v>
      </c>
      <c r="G47" s="554">
        <v>0.05</v>
      </c>
    </row>
    <row r="48" spans="1:7" ht="13">
      <c r="A48" s="2">
        <f t="shared" si="2"/>
        <v>36</v>
      </c>
      <c r="B48" s="247"/>
      <c r="C48" s="245">
        <v>397</v>
      </c>
      <c r="D48" s="246" t="s">
        <v>1448</v>
      </c>
      <c r="E48" s="272">
        <v>0.04</v>
      </c>
      <c r="F48" s="272">
        <v>0</v>
      </c>
      <c r="G48" s="272">
        <v>0.04</v>
      </c>
    </row>
    <row r="49" spans="1:7" ht="13">
      <c r="A49" s="2">
        <f t="shared" si="2"/>
        <v>37</v>
      </c>
      <c r="B49" s="247"/>
      <c r="C49" s="245">
        <v>397</v>
      </c>
      <c r="D49" s="246" t="s">
        <v>1449</v>
      </c>
      <c r="E49" s="272">
        <v>2.5000000000000001E-2</v>
      </c>
      <c r="F49" s="272">
        <v>0</v>
      </c>
      <c r="G49" s="272">
        <v>2.5000000000000001E-2</v>
      </c>
    </row>
    <row r="50" spans="1:7" ht="13">
      <c r="A50" s="2">
        <f t="shared" si="2"/>
        <v>38</v>
      </c>
      <c r="B50" s="247"/>
      <c r="C50" s="245">
        <v>392</v>
      </c>
      <c r="D50" s="246" t="s">
        <v>1450</v>
      </c>
      <c r="E50" s="272">
        <v>0.1429</v>
      </c>
      <c r="F50" s="272">
        <v>0</v>
      </c>
      <c r="G50" s="272">
        <v>0.1429</v>
      </c>
    </row>
    <row r="51" spans="1:7" ht="13">
      <c r="A51" s="2">
        <f t="shared" si="2"/>
        <v>39</v>
      </c>
      <c r="B51" s="247"/>
      <c r="C51" s="245">
        <v>394.4</v>
      </c>
      <c r="D51" s="246" t="s">
        <v>1451</v>
      </c>
      <c r="E51" s="272">
        <v>0.1</v>
      </c>
      <c r="F51" s="272">
        <v>0</v>
      </c>
      <c r="G51" s="272">
        <v>0.1</v>
      </c>
    </row>
    <row r="52" spans="1:7" ht="13">
      <c r="A52" s="2">
        <f t="shared" si="2"/>
        <v>40</v>
      </c>
      <c r="B52" s="247"/>
      <c r="C52" s="245">
        <v>394.5</v>
      </c>
      <c r="D52" s="246" t="s">
        <v>1452</v>
      </c>
      <c r="E52" s="272">
        <v>0.1</v>
      </c>
      <c r="F52" s="272">
        <v>0</v>
      </c>
      <c r="G52" s="272">
        <v>0.1</v>
      </c>
    </row>
    <row r="53" spans="1:7" ht="13">
      <c r="A53" s="2">
        <f t="shared" si="2"/>
        <v>41</v>
      </c>
      <c r="B53" s="247"/>
      <c r="C53" s="245">
        <v>396</v>
      </c>
      <c r="D53" s="246" t="s">
        <v>1453</v>
      </c>
      <c r="E53" s="272">
        <v>6.6699999999999995E-2</v>
      </c>
      <c r="F53" s="272">
        <v>0</v>
      </c>
      <c r="G53" s="272">
        <v>6.6699999999999995E-2</v>
      </c>
    </row>
    <row r="54" spans="1:7">
      <c r="A54" s="247"/>
      <c r="B54" s="247"/>
      <c r="C54" s="247"/>
      <c r="D54" s="247"/>
    </row>
    <row r="55" spans="1:7" ht="13">
      <c r="A55" s="247"/>
      <c r="B55" s="206" t="s">
        <v>1454</v>
      </c>
      <c r="C55" s="247"/>
      <c r="D55" s="247"/>
      <c r="E55" s="2" t="s">
        <v>659</v>
      </c>
    </row>
    <row r="56" spans="1:7" ht="13">
      <c r="A56" s="247"/>
      <c r="B56" s="247"/>
      <c r="C56" s="119" t="s">
        <v>244</v>
      </c>
      <c r="D56" s="247"/>
      <c r="E56" s="2" t="s">
        <v>1414</v>
      </c>
      <c r="F56" s="4" t="s">
        <v>1323</v>
      </c>
      <c r="G56" s="4"/>
    </row>
    <row r="57" spans="1:7" ht="13">
      <c r="A57" s="247"/>
      <c r="B57" s="247"/>
      <c r="C57" s="190" t="s">
        <v>705</v>
      </c>
      <c r="D57" s="190" t="s">
        <v>813</v>
      </c>
      <c r="E57" s="3" t="s">
        <v>1415</v>
      </c>
      <c r="F57" s="3" t="s">
        <v>1416</v>
      </c>
      <c r="G57" s="3" t="s">
        <v>249</v>
      </c>
    </row>
    <row r="58" spans="1:7" ht="13">
      <c r="A58" s="2">
        <f>A53+1</f>
        <v>42</v>
      </c>
      <c r="B58" s="247"/>
      <c r="C58" s="245">
        <v>302</v>
      </c>
      <c r="D58" s="246" t="s">
        <v>1455</v>
      </c>
      <c r="E58" s="499">
        <v>2.06E-2</v>
      </c>
      <c r="F58" s="272">
        <v>0</v>
      </c>
      <c r="G58" s="499">
        <v>2.06E-2</v>
      </c>
    </row>
    <row r="59" spans="1:7" ht="13">
      <c r="A59" s="2">
        <f t="shared" ref="A59:A64" si="3">A58+1</f>
        <v>43</v>
      </c>
      <c r="B59" s="247"/>
      <c r="C59" s="245">
        <v>303</v>
      </c>
      <c r="D59" s="246" t="s">
        <v>1456</v>
      </c>
      <c r="E59" s="272">
        <v>2.5000000000000001E-2</v>
      </c>
      <c r="F59" s="272">
        <v>0</v>
      </c>
      <c r="G59" s="272">
        <v>2.5000000000000001E-2</v>
      </c>
    </row>
    <row r="60" spans="1:7" ht="13">
      <c r="A60" s="2">
        <f t="shared" si="3"/>
        <v>44</v>
      </c>
      <c r="B60" s="247"/>
      <c r="C60" s="245">
        <v>301</v>
      </c>
      <c r="D60" s="246" t="s">
        <v>1457</v>
      </c>
      <c r="E60" s="272">
        <v>0.05</v>
      </c>
      <c r="F60" s="272">
        <v>0</v>
      </c>
      <c r="G60" s="272">
        <v>0.05</v>
      </c>
    </row>
    <row r="61" spans="1:7" ht="13">
      <c r="A61" s="2">
        <f t="shared" si="3"/>
        <v>45</v>
      </c>
      <c r="B61" s="247"/>
      <c r="C61" s="245">
        <v>303</v>
      </c>
      <c r="D61" s="246" t="s">
        <v>1458</v>
      </c>
      <c r="E61" s="499">
        <v>0.21479999999999999</v>
      </c>
      <c r="F61" s="272">
        <v>0</v>
      </c>
      <c r="G61" s="499">
        <v>0.21479999999999999</v>
      </c>
    </row>
    <row r="62" spans="1:7" ht="13">
      <c r="A62" s="2">
        <f t="shared" si="3"/>
        <v>46</v>
      </c>
      <c r="B62" s="247"/>
      <c r="C62" s="245">
        <v>303</v>
      </c>
      <c r="D62" s="246" t="s">
        <v>1459</v>
      </c>
      <c r="E62" s="1027">
        <v>0.1429</v>
      </c>
      <c r="F62" s="272">
        <v>0</v>
      </c>
      <c r="G62" s="272">
        <v>0.1429</v>
      </c>
    </row>
    <row r="63" spans="1:7" ht="13">
      <c r="A63" s="2">
        <f t="shared" si="3"/>
        <v>47</v>
      </c>
      <c r="B63" s="247"/>
      <c r="C63" s="245">
        <v>303</v>
      </c>
      <c r="D63" s="246" t="s">
        <v>1460</v>
      </c>
      <c r="E63" s="499">
        <v>0.1</v>
      </c>
      <c r="F63" s="272">
        <v>0</v>
      </c>
      <c r="G63" s="499">
        <v>0.1</v>
      </c>
    </row>
    <row r="64" spans="1:7" ht="13">
      <c r="A64" s="2">
        <f t="shared" si="3"/>
        <v>48</v>
      </c>
      <c r="B64" s="247"/>
      <c r="C64" s="245">
        <v>303</v>
      </c>
      <c r="D64" s="246" t="s">
        <v>1461</v>
      </c>
      <c r="E64" s="499">
        <v>6.6699999999999995E-2</v>
      </c>
      <c r="F64" s="272">
        <v>0</v>
      </c>
      <c r="G64" s="499">
        <v>6.6699999999999995E-2</v>
      </c>
    </row>
    <row r="65" spans="1:7" ht="13">
      <c r="A65" s="2"/>
      <c r="B65" s="247"/>
      <c r="C65" s="245"/>
      <c r="D65" s="246"/>
      <c r="E65" s="499"/>
      <c r="F65" s="272"/>
      <c r="G65" s="499"/>
    </row>
    <row r="66" spans="1:7" ht="13">
      <c r="A66" s="247"/>
      <c r="B66" s="247" t="s">
        <v>1462</v>
      </c>
      <c r="C66" s="247"/>
      <c r="D66" s="247"/>
    </row>
    <row r="67" spans="1:7">
      <c r="A67" s="247"/>
      <c r="B67" s="247" t="s">
        <v>1463</v>
      </c>
      <c r="C67" s="247"/>
      <c r="D67" s="247"/>
    </row>
  </sheetData>
  <pageMargins left="0.7" right="0.7" top="0.75" bottom="0.75" header="0.3" footer="0.3"/>
  <pageSetup scale="75" orientation="portrait" cellComments="asDisplayed" r:id="rId1"/>
  <headerFooter>
    <oddHeader>&amp;CSchedule 18
Depreciation Rates
&amp;RTO2024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zoomScaleNormal="100" zoomScaleSheetLayoutView="40" zoomScalePageLayoutView="80" workbookViewId="0"/>
  </sheetViews>
  <sheetFormatPr defaultColWidth="9.453125" defaultRowHeight="12.5"/>
  <cols>
    <col min="1" max="1" width="5.54296875" style="255" customWidth="1"/>
    <col min="2" max="2" width="50.54296875" style="255" customWidth="1"/>
    <col min="3" max="3" width="18.1796875" style="255" customWidth="1"/>
    <col min="4" max="4" width="13.7265625" style="255" customWidth="1"/>
    <col min="5" max="5" width="15.26953125" style="255" customWidth="1"/>
    <col min="6" max="6" width="8.7265625" style="255" customWidth="1"/>
    <col min="7" max="7" width="13.7265625" style="460" customWidth="1"/>
    <col min="8" max="9" width="13.7265625" style="461" customWidth="1"/>
    <col min="10" max="10" width="15" style="255" customWidth="1"/>
    <col min="11" max="12" width="14.54296875" style="255" customWidth="1"/>
    <col min="13" max="13" width="14.7265625" style="247" customWidth="1"/>
    <col min="14" max="14" width="10.54296875" style="247" bestFit="1" customWidth="1"/>
    <col min="15" max="16384" width="9.453125" style="247"/>
  </cols>
  <sheetData>
    <row r="1" spans="1:13" ht="12.75" customHeight="1">
      <c r="A1" s="133" t="s">
        <v>1464</v>
      </c>
      <c r="C1" s="216"/>
      <c r="D1" s="217"/>
      <c r="E1" s="217"/>
      <c r="F1" s="217"/>
      <c r="G1" s="217"/>
      <c r="H1" s="217"/>
      <c r="I1" s="217"/>
      <c r="J1" s="217"/>
      <c r="K1" s="247"/>
      <c r="L1" s="247"/>
    </row>
    <row r="2" spans="1:13" ht="12.75" customHeight="1">
      <c r="A2" s="15"/>
      <c r="B2" s="700" t="s">
        <v>195</v>
      </c>
      <c r="C2" s="279" t="s">
        <v>1465</v>
      </c>
      <c r="D2" s="218"/>
      <c r="E2" s="217"/>
      <c r="F2" s="218"/>
      <c r="G2" s="383" t="s">
        <v>96</v>
      </c>
      <c r="H2" s="254"/>
      <c r="I2" s="217"/>
      <c r="J2" s="217"/>
      <c r="K2" s="217"/>
      <c r="L2" s="217"/>
    </row>
    <row r="3" spans="1:13" ht="12.75" customHeight="1">
      <c r="A3" s="219"/>
      <c r="B3" s="220" t="s">
        <v>1466</v>
      </c>
      <c r="C3" s="221"/>
      <c r="D3" s="221"/>
      <c r="E3" s="221"/>
      <c r="F3" s="221"/>
      <c r="G3" s="221"/>
      <c r="H3" s="221"/>
      <c r="I3" s="221"/>
      <c r="J3" s="221"/>
      <c r="K3" s="221"/>
      <c r="L3" s="222"/>
    </row>
    <row r="4" spans="1:13" ht="12.75" customHeight="1">
      <c r="A4" s="131"/>
      <c r="B4" s="15"/>
      <c r="C4" s="19"/>
      <c r="D4" s="19"/>
      <c r="E4" s="19"/>
      <c r="F4" s="19"/>
      <c r="G4" s="19"/>
      <c r="H4" s="19"/>
      <c r="I4" s="19"/>
      <c r="J4" s="19"/>
      <c r="K4" s="19"/>
      <c r="L4" s="217"/>
    </row>
    <row r="5" spans="1:13" ht="12.75" customHeight="1">
      <c r="A5" s="221"/>
      <c r="B5" s="223" t="s">
        <v>336</v>
      </c>
      <c r="C5" s="223" t="s">
        <v>337</v>
      </c>
      <c r="D5" s="223" t="s">
        <v>338</v>
      </c>
      <c r="E5" s="223" t="s">
        <v>339</v>
      </c>
      <c r="F5" s="223" t="s">
        <v>340</v>
      </c>
      <c r="G5" s="223" t="s">
        <v>341</v>
      </c>
      <c r="H5" s="223" t="s">
        <v>342</v>
      </c>
      <c r="I5" s="223" t="s">
        <v>343</v>
      </c>
      <c r="J5" s="223" t="s">
        <v>1467</v>
      </c>
      <c r="K5" s="223" t="s">
        <v>344</v>
      </c>
      <c r="L5" s="223" t="s">
        <v>589</v>
      </c>
      <c r="M5" s="223" t="s">
        <v>590</v>
      </c>
    </row>
    <row r="6" spans="1:13" ht="12.75" customHeight="1">
      <c r="A6" s="131"/>
      <c r="B6" s="15"/>
      <c r="C6" s="655" t="s">
        <v>1468</v>
      </c>
      <c r="D6" s="19"/>
      <c r="E6" s="19"/>
      <c r="F6" s="458" t="s">
        <v>165</v>
      </c>
      <c r="G6" s="655" t="s">
        <v>1469</v>
      </c>
      <c r="H6" s="135"/>
      <c r="I6" s="135"/>
      <c r="J6" s="656" t="s">
        <v>1470</v>
      </c>
      <c r="K6" s="655" t="s">
        <v>1471</v>
      </c>
      <c r="L6" s="655" t="s">
        <v>1472</v>
      </c>
      <c r="M6" s="656" t="s">
        <v>2924</v>
      </c>
    </row>
    <row r="7" spans="1:13" ht="12.75" customHeight="1">
      <c r="C7" s="893"/>
      <c r="D7" s="459"/>
      <c r="E7" s="459"/>
      <c r="F7" s="247"/>
      <c r="J7" s="474" t="s">
        <v>1473</v>
      </c>
    </row>
    <row r="8" spans="1:13" ht="13">
      <c r="A8" s="131"/>
      <c r="B8" s="1116" t="s">
        <v>1474</v>
      </c>
      <c r="C8" s="1118" t="s">
        <v>1475</v>
      </c>
      <c r="D8" s="1118"/>
      <c r="E8" s="1118"/>
      <c r="F8" s="224"/>
      <c r="G8" s="1113" t="s">
        <v>1476</v>
      </c>
      <c r="H8" s="1113"/>
      <c r="I8" s="1113"/>
      <c r="J8" s="885"/>
      <c r="K8" s="882"/>
      <c r="L8" s="883" t="s">
        <v>1477</v>
      </c>
      <c r="M8" s="884"/>
    </row>
    <row r="9" spans="1:13" ht="28.5" customHeight="1">
      <c r="A9" s="30"/>
      <c r="B9" s="1117"/>
      <c r="C9" s="225" t="s">
        <v>249</v>
      </c>
      <c r="D9" s="225" t="s">
        <v>804</v>
      </c>
      <c r="E9" s="225" t="s">
        <v>1478</v>
      </c>
      <c r="F9" s="225" t="s">
        <v>1479</v>
      </c>
      <c r="G9" s="225" t="s">
        <v>249</v>
      </c>
      <c r="H9" s="225" t="s">
        <v>804</v>
      </c>
      <c r="I9" s="225" t="s">
        <v>1478</v>
      </c>
      <c r="J9" s="1009" t="s">
        <v>1480</v>
      </c>
      <c r="K9" s="225" t="s">
        <v>249</v>
      </c>
      <c r="L9" s="225" t="s">
        <v>804</v>
      </c>
      <c r="M9" s="225" t="s">
        <v>1478</v>
      </c>
    </row>
    <row r="10" spans="1:13" ht="13">
      <c r="A10" s="30" t="s">
        <v>273</v>
      </c>
      <c r="B10" s="151" t="s">
        <v>1481</v>
      </c>
      <c r="C10" s="19"/>
      <c r="D10" s="19"/>
      <c r="E10" s="19"/>
      <c r="F10" s="19"/>
      <c r="G10" s="19"/>
      <c r="H10" s="19"/>
      <c r="I10" s="19"/>
      <c r="K10" s="19"/>
      <c r="L10" s="19"/>
      <c r="M10" s="19"/>
    </row>
    <row r="11" spans="1:13" ht="13">
      <c r="A11" s="2">
        <v>1</v>
      </c>
      <c r="B11" s="257" t="s">
        <v>1482</v>
      </c>
      <c r="C11" s="462">
        <f>SUM(D11:E11)</f>
        <v>5515014.5200000005</v>
      </c>
      <c r="D11" s="1047">
        <v>1373590.9199999997</v>
      </c>
      <c r="E11" s="1047">
        <v>4141423.6000000006</v>
      </c>
      <c r="F11" s="1048"/>
      <c r="G11" s="463">
        <f t="shared" ref="G11:G42" si="0">SUM(H11:I11)</f>
        <v>0</v>
      </c>
      <c r="H11" s="1047"/>
      <c r="I11" s="1047"/>
      <c r="J11" s="462">
        <f>'35-Other Formula Revenue'!G17</f>
        <v>29582.6720314505</v>
      </c>
      <c r="K11" s="462">
        <f>SUM(L11:M11)</f>
        <v>5544597.1920314506</v>
      </c>
      <c r="L11" s="462">
        <f>D11+H11</f>
        <v>1373590.9199999997</v>
      </c>
      <c r="M11" s="462">
        <f t="shared" ref="M11:M40" si="1">E11+I11+J11</f>
        <v>4171006.2720314511</v>
      </c>
    </row>
    <row r="12" spans="1:13" ht="13">
      <c r="A12" s="2">
        <f>A11+1</f>
        <v>2</v>
      </c>
      <c r="B12" s="257" t="s">
        <v>1483</v>
      </c>
      <c r="C12" s="462">
        <f>SUM(D12:E12)</f>
        <v>301537.65000000002</v>
      </c>
      <c r="D12" s="1047">
        <v>0</v>
      </c>
      <c r="E12" s="1047">
        <v>301537.65000000002</v>
      </c>
      <c r="F12" s="1048"/>
      <c r="G12" s="463">
        <f t="shared" si="0"/>
        <v>0</v>
      </c>
      <c r="H12" s="1047"/>
      <c r="I12" s="1047"/>
      <c r="J12" s="462">
        <f>'35-Other Formula Revenue'!G18</f>
        <v>0</v>
      </c>
      <c r="K12" s="462">
        <f t="shared" ref="K12:K42" si="2">SUM(L12:M12)</f>
        <v>301537.65000000002</v>
      </c>
      <c r="L12" s="462">
        <f t="shared" ref="L12:L40" si="3">D12+H12</f>
        <v>0</v>
      </c>
      <c r="M12" s="462">
        <f t="shared" si="1"/>
        <v>301537.65000000002</v>
      </c>
    </row>
    <row r="13" spans="1:13" ht="13">
      <c r="A13" s="2">
        <f t="shared" ref="A13:A44" si="4">A12+1</f>
        <v>3</v>
      </c>
      <c r="B13" s="257" t="s">
        <v>1484</v>
      </c>
      <c r="C13" s="462">
        <f t="shared" ref="C13:C40" si="5">SUM(D13:E13)</f>
        <v>11438896.810000001</v>
      </c>
      <c r="D13" s="1047">
        <v>8942651.0700000003</v>
      </c>
      <c r="E13" s="1047">
        <v>2496245.7399999998</v>
      </c>
      <c r="F13" s="1048" t="s">
        <v>3013</v>
      </c>
      <c r="G13" s="463">
        <f t="shared" si="0"/>
        <v>0</v>
      </c>
      <c r="H13" s="1047"/>
      <c r="I13" s="1047"/>
      <c r="J13" s="462">
        <f>'35-Other Formula Revenue'!G19</f>
        <v>44876.241793629226</v>
      </c>
      <c r="K13" s="462">
        <f t="shared" si="2"/>
        <v>11483773.051793629</v>
      </c>
      <c r="L13" s="462">
        <f t="shared" si="3"/>
        <v>8942651.0700000003</v>
      </c>
      <c r="M13" s="462">
        <f t="shared" si="1"/>
        <v>2541121.981793629</v>
      </c>
    </row>
    <row r="14" spans="1:13" ht="13">
      <c r="A14" s="2">
        <f t="shared" si="4"/>
        <v>4</v>
      </c>
      <c r="B14" s="257" t="s">
        <v>1485</v>
      </c>
      <c r="C14" s="462">
        <f t="shared" si="5"/>
        <v>26548849.809999999</v>
      </c>
      <c r="D14" s="1047">
        <v>0</v>
      </c>
      <c r="E14" s="1047">
        <v>26548849.809999999</v>
      </c>
      <c r="F14" s="1048" t="s">
        <v>1486</v>
      </c>
      <c r="G14" s="463">
        <f t="shared" si="0"/>
        <v>-26548849.809999999</v>
      </c>
      <c r="H14" s="1047">
        <v>0</v>
      </c>
      <c r="I14" s="1047">
        <v>-26548849.809999999</v>
      </c>
      <c r="J14" s="462">
        <f>'35-Other Formula Revenue'!G20</f>
        <v>0</v>
      </c>
      <c r="K14" s="462">
        <f t="shared" si="2"/>
        <v>0</v>
      </c>
      <c r="L14" s="462">
        <f t="shared" si="3"/>
        <v>0</v>
      </c>
      <c r="M14" s="462">
        <f t="shared" si="1"/>
        <v>0</v>
      </c>
    </row>
    <row r="15" spans="1:13" ht="13">
      <c r="A15" s="2">
        <f t="shared" si="4"/>
        <v>5</v>
      </c>
      <c r="B15" s="257" t="s">
        <v>1487</v>
      </c>
      <c r="C15" s="462">
        <f t="shared" si="5"/>
        <v>3588796.32</v>
      </c>
      <c r="D15" s="1047">
        <v>3445278.3</v>
      </c>
      <c r="E15" s="1047">
        <v>143518.01999999996</v>
      </c>
      <c r="F15" s="1048" t="s">
        <v>3013</v>
      </c>
      <c r="G15" s="463">
        <f t="shared" si="0"/>
        <v>0</v>
      </c>
      <c r="H15" s="1047"/>
      <c r="I15" s="1047"/>
      <c r="J15" s="462">
        <f>'35-Other Formula Revenue'!G21</f>
        <v>41943.197887860879</v>
      </c>
      <c r="K15" s="462">
        <f t="shared" si="2"/>
        <v>3630739.5178878605</v>
      </c>
      <c r="L15" s="462">
        <f t="shared" si="3"/>
        <v>3445278.3</v>
      </c>
      <c r="M15" s="462">
        <f t="shared" si="1"/>
        <v>185461.21788786084</v>
      </c>
    </row>
    <row r="16" spans="1:13" ht="13">
      <c r="A16" s="2">
        <f t="shared" si="4"/>
        <v>6</v>
      </c>
      <c r="B16" s="257" t="s">
        <v>1488</v>
      </c>
      <c r="C16" s="462">
        <f t="shared" si="5"/>
        <v>23344544.040000007</v>
      </c>
      <c r="D16" s="1047">
        <v>18775456.170000002</v>
      </c>
      <c r="E16" s="1047">
        <v>4569087.8700000029</v>
      </c>
      <c r="F16" s="1048" t="s">
        <v>3013</v>
      </c>
      <c r="G16" s="463">
        <f t="shared" si="0"/>
        <v>0</v>
      </c>
      <c r="H16" s="1047"/>
      <c r="I16" s="1047"/>
      <c r="J16" s="462">
        <f>'35-Other Formula Revenue'!G22</f>
        <v>0</v>
      </c>
      <c r="K16" s="462">
        <f t="shared" si="2"/>
        <v>23344544.040000007</v>
      </c>
      <c r="L16" s="462">
        <f t="shared" si="3"/>
        <v>18775456.170000002</v>
      </c>
      <c r="M16" s="462">
        <f t="shared" si="1"/>
        <v>4569087.8700000029</v>
      </c>
    </row>
    <row r="17" spans="1:13" ht="13">
      <c r="A17" s="2">
        <f t="shared" si="4"/>
        <v>7</v>
      </c>
      <c r="B17" s="257" t="s">
        <v>1489</v>
      </c>
      <c r="C17" s="462">
        <f t="shared" si="5"/>
        <v>0</v>
      </c>
      <c r="D17" s="1047">
        <v>0</v>
      </c>
      <c r="E17" s="1047">
        <v>0</v>
      </c>
      <c r="F17" s="1048" t="s">
        <v>1490</v>
      </c>
      <c r="G17" s="463">
        <f t="shared" si="0"/>
        <v>0</v>
      </c>
      <c r="H17" s="1047">
        <v>0</v>
      </c>
      <c r="I17" s="1047">
        <v>0</v>
      </c>
      <c r="J17" s="462">
        <f>'35-Other Formula Revenue'!G23</f>
        <v>0</v>
      </c>
      <c r="K17" s="462">
        <f t="shared" si="2"/>
        <v>0</v>
      </c>
      <c r="L17" s="462">
        <f t="shared" si="3"/>
        <v>0</v>
      </c>
      <c r="M17" s="462">
        <f t="shared" si="1"/>
        <v>0</v>
      </c>
    </row>
    <row r="18" spans="1:13" ht="13">
      <c r="A18" s="2">
        <f t="shared" si="4"/>
        <v>8</v>
      </c>
      <c r="B18" s="257" t="s">
        <v>1491</v>
      </c>
      <c r="C18" s="462">
        <f t="shared" si="5"/>
        <v>956877.54</v>
      </c>
      <c r="D18" s="1047">
        <v>0</v>
      </c>
      <c r="E18" s="1047">
        <v>956877.54</v>
      </c>
      <c r="F18" s="1048" t="s">
        <v>3013</v>
      </c>
      <c r="G18" s="463">
        <f t="shared" si="0"/>
        <v>0</v>
      </c>
      <c r="H18" s="1047"/>
      <c r="I18" s="1047"/>
      <c r="J18" s="462">
        <f>'35-Other Formula Revenue'!G24</f>
        <v>0</v>
      </c>
      <c r="K18" s="462">
        <f t="shared" si="2"/>
        <v>956877.54</v>
      </c>
      <c r="L18" s="462">
        <f t="shared" si="3"/>
        <v>0</v>
      </c>
      <c r="M18" s="462">
        <f t="shared" si="1"/>
        <v>956877.54</v>
      </c>
    </row>
    <row r="19" spans="1:13" ht="13">
      <c r="A19" s="2">
        <f t="shared" si="4"/>
        <v>9</v>
      </c>
      <c r="B19" s="257" t="s">
        <v>1492</v>
      </c>
      <c r="C19" s="462">
        <f t="shared" si="5"/>
        <v>21251568.310000002</v>
      </c>
      <c r="D19" s="1047">
        <v>8630290.3399999999</v>
      </c>
      <c r="E19" s="1047">
        <v>12621277.970000001</v>
      </c>
      <c r="F19" s="1048" t="s">
        <v>3013</v>
      </c>
      <c r="G19" s="463">
        <f t="shared" si="0"/>
        <v>0</v>
      </c>
      <c r="H19" s="1047"/>
      <c r="I19" s="1047"/>
      <c r="J19" s="462">
        <f>'35-Other Formula Revenue'!G25</f>
        <v>367808.32999051292</v>
      </c>
      <c r="K19" s="462">
        <f t="shared" si="2"/>
        <v>21619376.639990516</v>
      </c>
      <c r="L19" s="462">
        <f t="shared" si="3"/>
        <v>8630290.3399999999</v>
      </c>
      <c r="M19" s="462">
        <f t="shared" si="1"/>
        <v>12989086.299990514</v>
      </c>
    </row>
    <row r="20" spans="1:13" ht="13">
      <c r="A20" s="2">
        <f t="shared" si="4"/>
        <v>10</v>
      </c>
      <c r="B20" s="257" t="s">
        <v>1493</v>
      </c>
      <c r="C20" s="462">
        <f t="shared" si="5"/>
        <v>2970384.3299999996</v>
      </c>
      <c r="D20" s="1047">
        <v>2429648.3399999994</v>
      </c>
      <c r="E20" s="1047">
        <v>540735.99000000011</v>
      </c>
      <c r="F20" s="1048" t="s">
        <v>3013</v>
      </c>
      <c r="G20" s="463">
        <f>SUM(H20:I20)</f>
        <v>0</v>
      </c>
      <c r="H20" s="1047"/>
      <c r="I20" s="1047"/>
      <c r="J20" s="462">
        <f>'35-Other Formula Revenue'!G26</f>
        <v>0</v>
      </c>
      <c r="K20" s="462">
        <f t="shared" si="2"/>
        <v>2970384.3299999996</v>
      </c>
      <c r="L20" s="462">
        <f t="shared" si="3"/>
        <v>2429648.3399999994</v>
      </c>
      <c r="M20" s="462">
        <f t="shared" si="1"/>
        <v>540735.99000000011</v>
      </c>
    </row>
    <row r="21" spans="1:13" ht="13">
      <c r="A21" s="2">
        <f t="shared" si="4"/>
        <v>11</v>
      </c>
      <c r="B21" s="257" t="s">
        <v>1494</v>
      </c>
      <c r="C21" s="462">
        <f t="shared" si="5"/>
        <v>0</v>
      </c>
      <c r="D21" s="1047">
        <v>0</v>
      </c>
      <c r="E21" s="1047">
        <v>0</v>
      </c>
      <c r="F21" s="1048" t="s">
        <v>3013</v>
      </c>
      <c r="G21" s="463">
        <f t="shared" si="0"/>
        <v>0</v>
      </c>
      <c r="H21" s="1047"/>
      <c r="I21" s="1047"/>
      <c r="J21" s="462">
        <f>'35-Other Formula Revenue'!G27</f>
        <v>0</v>
      </c>
      <c r="K21" s="462">
        <f t="shared" si="2"/>
        <v>0</v>
      </c>
      <c r="L21" s="462">
        <f t="shared" si="3"/>
        <v>0</v>
      </c>
      <c r="M21" s="462">
        <f t="shared" si="1"/>
        <v>0</v>
      </c>
    </row>
    <row r="22" spans="1:13" ht="13">
      <c r="A22" s="2">
        <f t="shared" si="4"/>
        <v>12</v>
      </c>
      <c r="B22" s="257" t="s">
        <v>1495</v>
      </c>
      <c r="C22" s="462">
        <f t="shared" si="5"/>
        <v>22931981.239999998</v>
      </c>
      <c r="D22" s="1047">
        <v>0</v>
      </c>
      <c r="E22" s="1047">
        <v>22931981.239999998</v>
      </c>
      <c r="F22" s="1048" t="s">
        <v>1496</v>
      </c>
      <c r="G22" s="463">
        <f t="shared" si="0"/>
        <v>-22931981.239999998</v>
      </c>
      <c r="H22" s="1047">
        <v>0</v>
      </c>
      <c r="I22" s="1047">
        <v>-22931981.239999998</v>
      </c>
      <c r="J22" s="462">
        <f>'35-Other Formula Revenue'!G28</f>
        <v>0</v>
      </c>
      <c r="K22" s="462">
        <f t="shared" si="2"/>
        <v>0</v>
      </c>
      <c r="L22" s="462">
        <f t="shared" si="3"/>
        <v>0</v>
      </c>
      <c r="M22" s="462">
        <f t="shared" si="1"/>
        <v>0</v>
      </c>
    </row>
    <row r="23" spans="1:13" ht="13">
      <c r="A23" s="2">
        <f t="shared" si="4"/>
        <v>13</v>
      </c>
      <c r="B23" s="257" t="s">
        <v>1497</v>
      </c>
      <c r="C23" s="462">
        <f t="shared" si="5"/>
        <v>336173.91000000003</v>
      </c>
      <c r="D23" s="1047">
        <v>0</v>
      </c>
      <c r="E23" s="1047">
        <v>336173.91000000003</v>
      </c>
      <c r="F23" s="1048" t="s">
        <v>3013</v>
      </c>
      <c r="G23" s="463">
        <f t="shared" si="0"/>
        <v>0</v>
      </c>
      <c r="H23" s="1047"/>
      <c r="I23" s="1047"/>
      <c r="J23" s="462">
        <f>'35-Other Formula Revenue'!G29</f>
        <v>0</v>
      </c>
      <c r="K23" s="462">
        <f t="shared" si="2"/>
        <v>336173.91000000003</v>
      </c>
      <c r="L23" s="462">
        <f t="shared" si="3"/>
        <v>0</v>
      </c>
      <c r="M23" s="462">
        <f t="shared" si="1"/>
        <v>336173.91000000003</v>
      </c>
    </row>
    <row r="24" spans="1:13" ht="13">
      <c r="A24" s="2">
        <f t="shared" si="4"/>
        <v>14</v>
      </c>
      <c r="B24" s="257" t="s">
        <v>1498</v>
      </c>
      <c r="C24" s="462">
        <f t="shared" si="5"/>
        <v>35519273.319999978</v>
      </c>
      <c r="D24" s="1047">
        <v>20149046.089999985</v>
      </c>
      <c r="E24" s="1047">
        <v>15370227.229999989</v>
      </c>
      <c r="F24" s="1048" t="s">
        <v>1499</v>
      </c>
      <c r="G24" s="463">
        <f>SUM(H24:I24)</f>
        <v>-1047126.6900000001</v>
      </c>
      <c r="H24" s="1047">
        <v>-258654.51</v>
      </c>
      <c r="I24" s="1047">
        <v>-788472.18</v>
      </c>
      <c r="J24" s="462">
        <f>'35-Other Formula Revenue'!G30</f>
        <v>175699.35972980576</v>
      </c>
      <c r="K24" s="462">
        <f>SUM(L24:M24)</f>
        <v>34647845.989729777</v>
      </c>
      <c r="L24" s="462">
        <f t="shared" si="3"/>
        <v>19890391.579999983</v>
      </c>
      <c r="M24" s="462">
        <f t="shared" si="1"/>
        <v>14757454.409729796</v>
      </c>
    </row>
    <row r="25" spans="1:13" ht="13">
      <c r="A25" s="2">
        <f t="shared" si="4"/>
        <v>15</v>
      </c>
      <c r="B25" s="257" t="s">
        <v>1500</v>
      </c>
      <c r="C25" s="462">
        <f t="shared" si="5"/>
        <v>185037878.91999996</v>
      </c>
      <c r="D25" s="1047">
        <v>29032.77</v>
      </c>
      <c r="E25" s="1047">
        <v>185008846.14999995</v>
      </c>
      <c r="F25" s="1048" t="s">
        <v>1501</v>
      </c>
      <c r="G25" s="463">
        <f>SUM(H25:I25)</f>
        <v>-185043819.36999997</v>
      </c>
      <c r="H25" s="1047">
        <v>-29034.7</v>
      </c>
      <c r="I25" s="1047">
        <v>-185014784.66999999</v>
      </c>
      <c r="J25" s="462">
        <f>'35-Other Formula Revenue'!G31</f>
        <v>0</v>
      </c>
      <c r="K25" s="462">
        <f t="shared" si="2"/>
        <v>-5940.4500000405314</v>
      </c>
      <c r="L25" s="462">
        <f t="shared" si="3"/>
        <v>-1.930000000000291</v>
      </c>
      <c r="M25" s="462">
        <f t="shared" si="1"/>
        <v>-5938.5200000405312</v>
      </c>
    </row>
    <row r="26" spans="1:13" ht="13">
      <c r="A26" s="2">
        <f t="shared" si="4"/>
        <v>16</v>
      </c>
      <c r="B26" s="257" t="s">
        <v>1502</v>
      </c>
      <c r="C26" s="462">
        <f t="shared" si="5"/>
        <v>5992381.669999999</v>
      </c>
      <c r="D26" s="1047">
        <v>117661.30000000003</v>
      </c>
      <c r="E26" s="1047">
        <v>5874720.3699999992</v>
      </c>
      <c r="F26" s="1048" t="s">
        <v>3013</v>
      </c>
      <c r="G26" s="463">
        <f t="shared" si="0"/>
        <v>0</v>
      </c>
      <c r="H26" s="1047"/>
      <c r="I26" s="1047"/>
      <c r="J26" s="462">
        <f>'35-Other Formula Revenue'!G32</f>
        <v>0</v>
      </c>
      <c r="K26" s="462">
        <f t="shared" si="2"/>
        <v>5992381.669999999</v>
      </c>
      <c r="L26" s="462">
        <f t="shared" si="3"/>
        <v>117661.30000000003</v>
      </c>
      <c r="M26" s="462">
        <f t="shared" si="1"/>
        <v>5874720.3699999992</v>
      </c>
    </row>
    <row r="27" spans="1:13" ht="13">
      <c r="A27" s="2">
        <f t="shared" si="4"/>
        <v>17</v>
      </c>
      <c r="B27" s="257" t="s">
        <v>1503</v>
      </c>
      <c r="C27" s="462">
        <f t="shared" si="5"/>
        <v>15870511.140000001</v>
      </c>
      <c r="D27" s="1047">
        <v>59294.859999999993</v>
      </c>
      <c r="E27" s="1047">
        <v>15811216.280000001</v>
      </c>
      <c r="F27" s="1048" t="s">
        <v>3013</v>
      </c>
      <c r="G27" s="463">
        <f t="shared" si="0"/>
        <v>0</v>
      </c>
      <c r="H27" s="1047"/>
      <c r="I27" s="1047"/>
      <c r="J27" s="462">
        <f>'35-Other Formula Revenue'!G33</f>
        <v>1460615.5451225876</v>
      </c>
      <c r="K27" s="462">
        <f t="shared" si="2"/>
        <v>17331126.685122587</v>
      </c>
      <c r="L27" s="462">
        <f t="shared" si="3"/>
        <v>59294.859999999993</v>
      </c>
      <c r="M27" s="462">
        <f t="shared" si="1"/>
        <v>17271831.825122587</v>
      </c>
    </row>
    <row r="28" spans="1:13" ht="13">
      <c r="A28" s="2">
        <f t="shared" si="4"/>
        <v>18</v>
      </c>
      <c r="B28" s="257" t="s">
        <v>1504</v>
      </c>
      <c r="C28" s="462">
        <f t="shared" si="5"/>
        <v>113004.35999999999</v>
      </c>
      <c r="D28" s="1047">
        <v>0</v>
      </c>
      <c r="E28" s="1047">
        <v>113004.35999999999</v>
      </c>
      <c r="F28" s="1048" t="s">
        <v>3013</v>
      </c>
      <c r="G28" s="463">
        <f t="shared" si="0"/>
        <v>0</v>
      </c>
      <c r="H28" s="1047"/>
      <c r="I28" s="1047"/>
      <c r="J28" s="462">
        <f>'35-Other Formula Revenue'!G34</f>
        <v>0</v>
      </c>
      <c r="K28" s="462">
        <f t="shared" si="2"/>
        <v>113004.35999999999</v>
      </c>
      <c r="L28" s="462">
        <f t="shared" si="3"/>
        <v>0</v>
      </c>
      <c r="M28" s="462">
        <f t="shared" si="1"/>
        <v>113004.35999999999</v>
      </c>
    </row>
    <row r="29" spans="1:13" ht="13">
      <c r="A29" s="2">
        <f t="shared" si="4"/>
        <v>19</v>
      </c>
      <c r="B29" s="257" t="s">
        <v>1505</v>
      </c>
      <c r="C29" s="462">
        <f t="shared" si="5"/>
        <v>438002.55000000005</v>
      </c>
      <c r="D29" s="1047">
        <v>0</v>
      </c>
      <c r="E29" s="1047">
        <v>438002.55000000005</v>
      </c>
      <c r="F29" s="1048" t="s">
        <v>3013</v>
      </c>
      <c r="G29" s="463">
        <f t="shared" si="0"/>
        <v>0</v>
      </c>
      <c r="H29" s="1047"/>
      <c r="I29" s="1047"/>
      <c r="J29" s="462">
        <f>'35-Other Formula Revenue'!G35</f>
        <v>0</v>
      </c>
      <c r="K29" s="462">
        <f t="shared" ref="K29" si="6">SUM(L29:M29)</f>
        <v>438002.55000000005</v>
      </c>
      <c r="L29" s="462">
        <f t="shared" si="3"/>
        <v>0</v>
      </c>
      <c r="M29" s="462">
        <f t="shared" si="1"/>
        <v>438002.55000000005</v>
      </c>
    </row>
    <row r="30" spans="1:13" ht="13">
      <c r="A30" s="2">
        <f t="shared" si="4"/>
        <v>20</v>
      </c>
      <c r="B30" s="257" t="s">
        <v>1506</v>
      </c>
      <c r="C30" s="462">
        <f t="shared" si="5"/>
        <v>1801886.3699999999</v>
      </c>
      <c r="D30" s="1047">
        <v>1516640.5899999999</v>
      </c>
      <c r="E30" s="1047">
        <v>285245.77999999997</v>
      </c>
      <c r="F30" s="1048" t="s">
        <v>3013</v>
      </c>
      <c r="G30" s="463">
        <f t="shared" si="0"/>
        <v>0</v>
      </c>
      <c r="H30" s="1047"/>
      <c r="I30" s="1047"/>
      <c r="J30" s="462">
        <f>'35-Other Formula Revenue'!G36</f>
        <v>6115.946277135281</v>
      </c>
      <c r="K30" s="462">
        <f t="shared" si="2"/>
        <v>1808002.3162771352</v>
      </c>
      <c r="L30" s="462">
        <f t="shared" si="3"/>
        <v>1516640.5899999999</v>
      </c>
      <c r="M30" s="462">
        <f t="shared" si="1"/>
        <v>291361.72627713525</v>
      </c>
    </row>
    <row r="31" spans="1:13" ht="13">
      <c r="A31" s="2">
        <f t="shared" si="4"/>
        <v>21</v>
      </c>
      <c r="B31" s="257" t="s">
        <v>1507</v>
      </c>
      <c r="C31" s="462">
        <f t="shared" si="5"/>
        <v>198150.38</v>
      </c>
      <c r="D31" s="1047">
        <v>0</v>
      </c>
      <c r="E31" s="1047">
        <v>198150.38</v>
      </c>
      <c r="F31" s="1048" t="s">
        <v>3013</v>
      </c>
      <c r="G31" s="463">
        <f t="shared" si="0"/>
        <v>0</v>
      </c>
      <c r="H31" s="1047"/>
      <c r="I31" s="1047"/>
      <c r="J31" s="462">
        <f>'35-Other Formula Revenue'!G37</f>
        <v>0</v>
      </c>
      <c r="K31" s="462">
        <f t="shared" si="2"/>
        <v>198150.38</v>
      </c>
      <c r="L31" s="462">
        <f t="shared" si="3"/>
        <v>0</v>
      </c>
      <c r="M31" s="462">
        <f t="shared" si="1"/>
        <v>198150.38</v>
      </c>
    </row>
    <row r="32" spans="1:13" ht="13">
      <c r="A32" s="2">
        <f t="shared" si="4"/>
        <v>22</v>
      </c>
      <c r="B32" s="257" t="s">
        <v>1508</v>
      </c>
      <c r="C32" s="462">
        <f t="shared" si="5"/>
        <v>43556462.579999998</v>
      </c>
      <c r="D32" s="1047">
        <v>11481.390000000001</v>
      </c>
      <c r="E32" s="1047">
        <v>43544981.189999998</v>
      </c>
      <c r="F32" s="1048" t="s">
        <v>1509</v>
      </c>
      <c r="G32" s="463">
        <f t="shared" si="0"/>
        <v>-40919641</v>
      </c>
      <c r="H32" s="1047">
        <v>0</v>
      </c>
      <c r="I32" s="1047">
        <v>-40919641</v>
      </c>
      <c r="J32" s="462">
        <f>'35-Other Formula Revenue'!G38</f>
        <v>0</v>
      </c>
      <c r="K32" s="462">
        <f t="shared" si="2"/>
        <v>2636821.5799999977</v>
      </c>
      <c r="L32" s="462">
        <f t="shared" si="3"/>
        <v>11481.390000000001</v>
      </c>
      <c r="M32" s="462">
        <f t="shared" si="1"/>
        <v>2625340.1899999976</v>
      </c>
    </row>
    <row r="33" spans="1:13" ht="13">
      <c r="A33" s="2">
        <f t="shared" si="4"/>
        <v>23</v>
      </c>
      <c r="B33" s="257" t="s">
        <v>1510</v>
      </c>
      <c r="C33" s="462">
        <f t="shared" si="5"/>
        <v>667759.44999999995</v>
      </c>
      <c r="D33" s="1047">
        <v>0</v>
      </c>
      <c r="E33" s="1047">
        <v>667759.44999999995</v>
      </c>
      <c r="F33" s="1048" t="s">
        <v>3013</v>
      </c>
      <c r="G33" s="463">
        <f t="shared" si="0"/>
        <v>0</v>
      </c>
      <c r="H33" s="1047"/>
      <c r="I33" s="1047"/>
      <c r="J33" s="462">
        <f>'35-Other Formula Revenue'!G39</f>
        <v>0</v>
      </c>
      <c r="K33" s="462">
        <f t="shared" si="2"/>
        <v>667759.44999999995</v>
      </c>
      <c r="L33" s="462">
        <f t="shared" si="3"/>
        <v>0</v>
      </c>
      <c r="M33" s="462">
        <f t="shared" si="1"/>
        <v>667759.44999999995</v>
      </c>
    </row>
    <row r="34" spans="1:13" ht="13">
      <c r="A34" s="2">
        <f t="shared" si="4"/>
        <v>24</v>
      </c>
      <c r="B34" s="257" t="s">
        <v>1511</v>
      </c>
      <c r="C34" s="462">
        <f t="shared" si="5"/>
        <v>8959175.8900000006</v>
      </c>
      <c r="D34" s="1047">
        <v>5082083.53</v>
      </c>
      <c r="E34" s="1047">
        <v>3877092.3599999994</v>
      </c>
      <c r="F34" s="1048" t="s">
        <v>3013</v>
      </c>
      <c r="G34" s="463">
        <f t="shared" si="0"/>
        <v>0</v>
      </c>
      <c r="H34" s="1047"/>
      <c r="I34" s="1047"/>
      <c r="J34" s="462">
        <f>'35-Other Formula Revenue'!G40</f>
        <v>0</v>
      </c>
      <c r="K34" s="462">
        <f t="shared" si="2"/>
        <v>8959175.8900000006</v>
      </c>
      <c r="L34" s="462">
        <f t="shared" si="3"/>
        <v>5082083.53</v>
      </c>
      <c r="M34" s="462">
        <f t="shared" si="1"/>
        <v>3877092.3599999994</v>
      </c>
    </row>
    <row r="35" spans="1:13" ht="13">
      <c r="A35" s="2">
        <f t="shared" si="4"/>
        <v>25</v>
      </c>
      <c r="B35" s="257" t="s">
        <v>1512</v>
      </c>
      <c r="C35" s="462">
        <f t="shared" si="5"/>
        <v>1031300.9000000001</v>
      </c>
      <c r="D35" s="1047">
        <v>0</v>
      </c>
      <c r="E35" s="1047">
        <v>1031300.9000000001</v>
      </c>
      <c r="F35" s="1048" t="s">
        <v>3013</v>
      </c>
      <c r="G35" s="463">
        <f t="shared" si="0"/>
        <v>0</v>
      </c>
      <c r="H35" s="1047"/>
      <c r="I35" s="1047"/>
      <c r="J35" s="462">
        <f>'35-Other Formula Revenue'!G41</f>
        <v>0</v>
      </c>
      <c r="K35" s="462">
        <f t="shared" si="2"/>
        <v>1031300.9000000001</v>
      </c>
      <c r="L35" s="462">
        <f t="shared" si="3"/>
        <v>0</v>
      </c>
      <c r="M35" s="462">
        <f t="shared" si="1"/>
        <v>1031300.9000000001</v>
      </c>
    </row>
    <row r="36" spans="1:13" ht="13">
      <c r="A36" s="2">
        <f t="shared" si="4"/>
        <v>26</v>
      </c>
      <c r="B36" s="257" t="s">
        <v>1513</v>
      </c>
      <c r="C36" s="462">
        <f t="shared" si="5"/>
        <v>65876131.219999984</v>
      </c>
      <c r="D36" s="1047">
        <v>12990909.209999997</v>
      </c>
      <c r="E36" s="1047">
        <v>52885222.009999983</v>
      </c>
      <c r="F36" s="1048" t="s">
        <v>1499</v>
      </c>
      <c r="G36" s="463">
        <f t="shared" si="0"/>
        <v>-77804.240000000005</v>
      </c>
      <c r="H36" s="1047">
        <v>-4897.91</v>
      </c>
      <c r="I36" s="1047">
        <v>-72906.33</v>
      </c>
      <c r="J36" s="462">
        <f>'35-Other Formula Revenue'!G42</f>
        <v>781859.91864650359</v>
      </c>
      <c r="K36" s="462">
        <f t="shared" si="2"/>
        <v>66580186.898646489</v>
      </c>
      <c r="L36" s="462">
        <f t="shared" si="3"/>
        <v>12986011.299999997</v>
      </c>
      <c r="M36" s="462">
        <f t="shared" si="1"/>
        <v>53594175.598646492</v>
      </c>
    </row>
    <row r="37" spans="1:13" ht="13">
      <c r="A37" s="2">
        <f t="shared" si="4"/>
        <v>27</v>
      </c>
      <c r="B37" s="257" t="s">
        <v>1514</v>
      </c>
      <c r="C37" s="462">
        <f t="shared" si="5"/>
        <v>576949.69999999995</v>
      </c>
      <c r="D37" s="1047">
        <v>0</v>
      </c>
      <c r="E37" s="1047">
        <v>576949.69999999995</v>
      </c>
      <c r="F37" s="1048" t="s">
        <v>3013</v>
      </c>
      <c r="G37" s="463">
        <f t="shared" si="0"/>
        <v>0</v>
      </c>
      <c r="H37" s="1047"/>
      <c r="I37" s="1047"/>
      <c r="J37" s="462">
        <f>'35-Other Formula Revenue'!G43</f>
        <v>0</v>
      </c>
      <c r="K37" s="462">
        <f t="shared" si="2"/>
        <v>576949.69999999995</v>
      </c>
      <c r="L37" s="462">
        <f t="shared" si="3"/>
        <v>0</v>
      </c>
      <c r="M37" s="462">
        <f t="shared" si="1"/>
        <v>576949.69999999995</v>
      </c>
    </row>
    <row r="38" spans="1:13" ht="13">
      <c r="A38" s="2">
        <f t="shared" si="4"/>
        <v>28</v>
      </c>
      <c r="B38" s="257" t="s">
        <v>1515</v>
      </c>
      <c r="C38" s="462">
        <f t="shared" si="5"/>
        <v>411256.04000000004</v>
      </c>
      <c r="D38" s="1047">
        <v>155227.47</v>
      </c>
      <c r="E38" s="1047">
        <v>256028.57</v>
      </c>
      <c r="F38" s="1048" t="s">
        <v>3013</v>
      </c>
      <c r="G38" s="463">
        <f t="shared" si="0"/>
        <v>0</v>
      </c>
      <c r="H38" s="1047"/>
      <c r="I38" s="1047"/>
      <c r="J38" s="462">
        <f>'35-Other Formula Revenue'!G44</f>
        <v>0</v>
      </c>
      <c r="K38" s="462">
        <f t="shared" si="2"/>
        <v>411256.04000000004</v>
      </c>
      <c r="L38" s="462">
        <f t="shared" si="3"/>
        <v>155227.47</v>
      </c>
      <c r="M38" s="462">
        <f t="shared" si="1"/>
        <v>256028.57</v>
      </c>
    </row>
    <row r="39" spans="1:13" ht="13">
      <c r="A39" s="2">
        <f t="shared" si="4"/>
        <v>29</v>
      </c>
      <c r="B39" s="257" t="s">
        <v>1516</v>
      </c>
      <c r="C39" s="462">
        <f t="shared" si="5"/>
        <v>66.42</v>
      </c>
      <c r="D39" s="1047">
        <v>0</v>
      </c>
      <c r="E39" s="1047">
        <v>66.42</v>
      </c>
      <c r="F39" s="1048" t="s">
        <v>3013</v>
      </c>
      <c r="G39" s="463">
        <f t="shared" si="0"/>
        <v>0</v>
      </c>
      <c r="H39" s="1047"/>
      <c r="I39" s="1047"/>
      <c r="J39" s="462">
        <f>'35-Other Formula Revenue'!G45</f>
        <v>0</v>
      </c>
      <c r="K39" s="462">
        <f t="shared" si="2"/>
        <v>66.42</v>
      </c>
      <c r="L39" s="462">
        <f t="shared" si="3"/>
        <v>0</v>
      </c>
      <c r="M39" s="462">
        <f t="shared" si="1"/>
        <v>66.42</v>
      </c>
    </row>
    <row r="40" spans="1:13" ht="13">
      <c r="A40" s="2">
        <f t="shared" si="4"/>
        <v>30</v>
      </c>
      <c r="B40" s="257" t="s">
        <v>1517</v>
      </c>
      <c r="C40" s="462">
        <f t="shared" si="5"/>
        <v>1883867.6800000002</v>
      </c>
      <c r="D40" s="1047">
        <v>827777.12999999989</v>
      </c>
      <c r="E40" s="1047">
        <v>1056090.5500000003</v>
      </c>
      <c r="F40" s="1048" t="s">
        <v>3013</v>
      </c>
      <c r="G40" s="463">
        <f t="shared" si="0"/>
        <v>0</v>
      </c>
      <c r="H40" s="1047"/>
      <c r="I40" s="1047"/>
      <c r="J40" s="462">
        <f>'35-Other Formula Revenue'!G46</f>
        <v>5373.0767881799602</v>
      </c>
      <c r="K40" s="462">
        <f t="shared" si="2"/>
        <v>1889240.7567881802</v>
      </c>
      <c r="L40" s="462">
        <f t="shared" si="3"/>
        <v>827777.12999999989</v>
      </c>
      <c r="M40" s="462">
        <f t="shared" si="1"/>
        <v>1061463.6267881803</v>
      </c>
    </row>
    <row r="41" spans="1:13" ht="13">
      <c r="A41" s="2">
        <f t="shared" si="4"/>
        <v>31</v>
      </c>
      <c r="B41" s="281" t="s">
        <v>822</v>
      </c>
      <c r="C41" s="465" t="s">
        <v>380</v>
      </c>
      <c r="D41" s="465" t="s">
        <v>380</v>
      </c>
      <c r="E41" s="465" t="s">
        <v>380</v>
      </c>
      <c r="F41" s="465" t="s">
        <v>380</v>
      </c>
      <c r="G41" s="463">
        <f t="shared" si="0"/>
        <v>0</v>
      </c>
      <c r="H41" s="465" t="s">
        <v>380</v>
      </c>
      <c r="I41" s="465" t="s">
        <v>380</v>
      </c>
      <c r="J41" s="1010">
        <v>0</v>
      </c>
      <c r="K41" s="1010">
        <v>0</v>
      </c>
      <c r="L41" s="1010">
        <v>0</v>
      </c>
      <c r="M41" s="1010">
        <v>0</v>
      </c>
    </row>
    <row r="42" spans="1:13" ht="13">
      <c r="A42" s="2">
        <f t="shared" si="4"/>
        <v>32</v>
      </c>
      <c r="B42" s="257" t="s">
        <v>1518</v>
      </c>
      <c r="C42" s="466">
        <v>0</v>
      </c>
      <c r="D42" s="466">
        <v>0</v>
      </c>
      <c r="E42" s="466">
        <v>0</v>
      </c>
      <c r="F42" s="477"/>
      <c r="G42" s="467">
        <f t="shared" si="0"/>
        <v>-40902.294362717352</v>
      </c>
      <c r="H42" s="468">
        <f>+C64*C144</f>
        <v>-40902.294362717352</v>
      </c>
      <c r="I42" s="468">
        <v>0</v>
      </c>
      <c r="J42" s="887">
        <f>'35-Other Formula Revenue'!G47</f>
        <v>0</v>
      </c>
      <c r="K42" s="887">
        <f t="shared" si="2"/>
        <v>-40902.294362717352</v>
      </c>
      <c r="L42" s="887">
        <f>D42+H42</f>
        <v>-40902.294362717352</v>
      </c>
      <c r="M42" s="887">
        <f>E42+I42+J42</f>
        <v>0</v>
      </c>
    </row>
    <row r="43" spans="1:13" ht="13">
      <c r="A43" s="2">
        <f t="shared" si="4"/>
        <v>33</v>
      </c>
      <c r="B43" s="131" t="s">
        <v>1519</v>
      </c>
      <c r="C43" s="462">
        <f>SUM(C11:C42)</f>
        <v>487118683.06999987</v>
      </c>
      <c r="D43" s="469">
        <f>SUM(D11:D42)</f>
        <v>84536069.479999959</v>
      </c>
      <c r="E43" s="469">
        <f>SUM(E11:E42)</f>
        <v>402582613.58999985</v>
      </c>
      <c r="F43" s="470"/>
      <c r="G43" s="470">
        <f t="shared" ref="G43:I43" si="7">SUM(G11:G42)</f>
        <v>-276610124.64436269</v>
      </c>
      <c r="H43" s="471">
        <f t="shared" si="7"/>
        <v>-333489.41436271736</v>
      </c>
      <c r="I43" s="471">
        <f t="shared" si="7"/>
        <v>-276276635.22999996</v>
      </c>
      <c r="J43" s="471">
        <f>SUM(J11:J42)</f>
        <v>2913874.2882676655</v>
      </c>
      <c r="K43" s="471">
        <f>SUM(K11:K42)</f>
        <v>213422432.71390486</v>
      </c>
      <c r="L43" s="471">
        <f>SUM(L11:L42)</f>
        <v>84202580.065637246</v>
      </c>
      <c r="M43" s="471">
        <f>SUM(M11:M42)</f>
        <v>129219852.64826761</v>
      </c>
    </row>
    <row r="44" spans="1:13" ht="13">
      <c r="A44" s="2">
        <f t="shared" si="4"/>
        <v>34</v>
      </c>
      <c r="D44" s="472"/>
      <c r="E44" s="472"/>
      <c r="F44" s="473"/>
      <c r="G44" s="474"/>
      <c r="H44" s="475"/>
      <c r="I44" s="475"/>
      <c r="J44" s="316"/>
      <c r="K44" s="316"/>
      <c r="L44" s="316"/>
    </row>
    <row r="45" spans="1:13" ht="13">
      <c r="A45" s="2"/>
      <c r="B45" s="131"/>
      <c r="C45" s="472"/>
      <c r="D45" s="472"/>
      <c r="E45" s="472"/>
      <c r="F45" s="473"/>
      <c r="G45" s="476"/>
      <c r="H45" s="472"/>
      <c r="I45" s="472"/>
      <c r="J45" s="472"/>
      <c r="K45" s="472"/>
      <c r="L45" s="472"/>
    </row>
    <row r="46" spans="1:13" ht="13">
      <c r="A46" s="2"/>
      <c r="B46" s="223" t="s">
        <v>336</v>
      </c>
      <c r="C46" s="223" t="s">
        <v>337</v>
      </c>
      <c r="D46" s="223" t="s">
        <v>338</v>
      </c>
      <c r="E46" s="223" t="s">
        <v>339</v>
      </c>
      <c r="F46" s="223" t="s">
        <v>340</v>
      </c>
      <c r="G46" s="223" t="s">
        <v>341</v>
      </c>
      <c r="H46" s="223" t="s">
        <v>342</v>
      </c>
      <c r="I46" s="223" t="s">
        <v>343</v>
      </c>
      <c r="J46" s="223" t="s">
        <v>344</v>
      </c>
      <c r="K46" s="223" t="s">
        <v>589</v>
      </c>
      <c r="L46" s="223" t="s">
        <v>590</v>
      </c>
    </row>
    <row r="47" spans="1:13" ht="13">
      <c r="A47" s="2"/>
      <c r="B47" s="131"/>
      <c r="C47" s="655" t="s">
        <v>1468</v>
      </c>
      <c r="D47" s="19"/>
      <c r="E47" s="19"/>
      <c r="F47" s="458" t="s">
        <v>165</v>
      </c>
      <c r="G47" s="655" t="s">
        <v>1469</v>
      </c>
      <c r="H47" s="135"/>
      <c r="I47" s="135"/>
      <c r="J47" s="655" t="s">
        <v>1471</v>
      </c>
      <c r="K47" s="655" t="s">
        <v>1472</v>
      </c>
      <c r="L47" s="656" t="s">
        <v>1520</v>
      </c>
    </row>
    <row r="48" spans="1:13" ht="13">
      <c r="A48" s="2"/>
      <c r="D48" s="472"/>
      <c r="E48" s="472"/>
      <c r="F48" s="473"/>
      <c r="G48" s="474"/>
      <c r="H48" s="472"/>
      <c r="I48" s="472"/>
      <c r="J48" s="316"/>
      <c r="K48" s="316"/>
      <c r="L48" s="316"/>
    </row>
    <row r="49" spans="1:12" ht="13">
      <c r="A49" s="2"/>
      <c r="B49" s="1116" t="s">
        <v>1474</v>
      </c>
      <c r="C49" s="1118" t="s">
        <v>1475</v>
      </c>
      <c r="D49" s="1118"/>
      <c r="E49" s="1118"/>
      <c r="F49" s="224"/>
      <c r="G49" s="1113" t="s">
        <v>1476</v>
      </c>
      <c r="H49" s="1113"/>
      <c r="I49" s="1114"/>
      <c r="J49" s="1112" t="s">
        <v>1477</v>
      </c>
      <c r="K49" s="1113"/>
      <c r="L49" s="1114"/>
    </row>
    <row r="50" spans="1:12" ht="13">
      <c r="A50" s="2"/>
      <c r="B50" s="1117"/>
      <c r="C50" s="225" t="s">
        <v>249</v>
      </c>
      <c r="D50" s="225" t="s">
        <v>804</v>
      </c>
      <c r="E50" s="225" t="s">
        <v>1478</v>
      </c>
      <c r="F50" s="225" t="s">
        <v>1479</v>
      </c>
      <c r="G50" s="225" t="s">
        <v>249</v>
      </c>
      <c r="H50" s="225" t="s">
        <v>804</v>
      </c>
      <c r="I50" s="225" t="s">
        <v>1478</v>
      </c>
      <c r="J50" s="225" t="s">
        <v>249</v>
      </c>
      <c r="K50" s="225" t="s">
        <v>804</v>
      </c>
      <c r="L50" s="225" t="s">
        <v>1478</v>
      </c>
    </row>
    <row r="51" spans="1:12" ht="13">
      <c r="A51" s="2"/>
      <c r="B51" s="151" t="s">
        <v>1521</v>
      </c>
      <c r="C51" s="19"/>
      <c r="D51" s="19"/>
      <c r="E51" s="19"/>
      <c r="F51" s="19"/>
      <c r="G51" s="19"/>
      <c r="H51" s="19"/>
      <c r="I51" s="19"/>
      <c r="J51" s="19"/>
      <c r="K51" s="19"/>
      <c r="L51" s="19"/>
    </row>
    <row r="52" spans="1:12" ht="13">
      <c r="A52" s="2">
        <f>A44+1</f>
        <v>35</v>
      </c>
      <c r="B52" s="257" t="s">
        <v>1522</v>
      </c>
      <c r="C52" s="316">
        <f t="shared" ref="C52:C56" si="8">SUM(D52:E52)</f>
        <v>39325812.129999995</v>
      </c>
      <c r="D52" s="1047">
        <v>26888770.469999999</v>
      </c>
      <c r="E52" s="1047">
        <v>12437041.659999996</v>
      </c>
      <c r="F52" s="1048"/>
      <c r="G52" s="474">
        <f t="shared" ref="G52:G56" si="9">SUM(H52:I52)</f>
        <v>0</v>
      </c>
      <c r="H52" s="540"/>
      <c r="I52" s="540"/>
      <c r="J52" s="316">
        <f t="shared" ref="J52:J56" si="10">SUM(K52:L52)</f>
        <v>39325812.129999995</v>
      </c>
      <c r="K52" s="316">
        <f t="shared" ref="K52:L57" si="11">D52+H52</f>
        <v>26888770.469999999</v>
      </c>
      <c r="L52" s="316">
        <f t="shared" si="11"/>
        <v>12437041.659999996</v>
      </c>
    </row>
    <row r="53" spans="1:12" ht="13">
      <c r="A53" s="2">
        <f t="shared" ref="A53:A62" si="12">A52+1</f>
        <v>36</v>
      </c>
      <c r="B53" s="257" t="s">
        <v>1523</v>
      </c>
      <c r="C53" s="316">
        <f t="shared" si="8"/>
        <v>1734987.19</v>
      </c>
      <c r="D53" s="1047">
        <v>1491791.7999999998</v>
      </c>
      <c r="E53" s="1047">
        <v>243195.39000000007</v>
      </c>
      <c r="F53" s="1048"/>
      <c r="G53" s="474">
        <f t="shared" si="9"/>
        <v>0</v>
      </c>
      <c r="H53" s="540"/>
      <c r="I53" s="540"/>
      <c r="J53" s="316">
        <f t="shared" si="10"/>
        <v>1734987.19</v>
      </c>
      <c r="K53" s="316">
        <f t="shared" si="11"/>
        <v>1491791.7999999998</v>
      </c>
      <c r="L53" s="316">
        <f t="shared" si="11"/>
        <v>243195.39000000007</v>
      </c>
    </row>
    <row r="54" spans="1:12" ht="13">
      <c r="A54" s="2">
        <f t="shared" si="12"/>
        <v>37</v>
      </c>
      <c r="B54" s="257" t="s">
        <v>1524</v>
      </c>
      <c r="C54" s="316">
        <f t="shared" si="8"/>
        <v>82084.679999999993</v>
      </c>
      <c r="D54" s="1047">
        <v>16885.890000000003</v>
      </c>
      <c r="E54" s="1047">
        <v>65198.789999999994</v>
      </c>
      <c r="F54" s="1048"/>
      <c r="G54" s="474">
        <f t="shared" si="9"/>
        <v>0</v>
      </c>
      <c r="H54" s="540"/>
      <c r="I54" s="540"/>
      <c r="J54" s="316">
        <f t="shared" si="10"/>
        <v>82084.679999999993</v>
      </c>
      <c r="K54" s="316">
        <f t="shared" si="11"/>
        <v>16885.890000000003</v>
      </c>
      <c r="L54" s="316">
        <f t="shared" si="11"/>
        <v>65198.789999999994</v>
      </c>
    </row>
    <row r="55" spans="1:12" ht="13">
      <c r="A55" s="2">
        <f t="shared" si="12"/>
        <v>38</v>
      </c>
      <c r="B55" s="257" t="s">
        <v>1525</v>
      </c>
      <c r="C55" s="316">
        <f t="shared" si="8"/>
        <v>9649374.75</v>
      </c>
      <c r="D55" s="1047">
        <v>5374608.7999999989</v>
      </c>
      <c r="E55" s="1047">
        <v>4274765.95</v>
      </c>
      <c r="F55" s="1048"/>
      <c r="G55" s="474">
        <f t="shared" si="9"/>
        <v>0</v>
      </c>
      <c r="H55" s="540"/>
      <c r="I55" s="540"/>
      <c r="J55" s="316">
        <f t="shared" si="10"/>
        <v>9649374.75</v>
      </c>
      <c r="K55" s="316">
        <f t="shared" si="11"/>
        <v>5374608.7999999989</v>
      </c>
      <c r="L55" s="316">
        <f t="shared" si="11"/>
        <v>4274765.95</v>
      </c>
    </row>
    <row r="56" spans="1:12" ht="13">
      <c r="A56" s="2">
        <f t="shared" si="12"/>
        <v>39</v>
      </c>
      <c r="B56" s="257" t="s">
        <v>1526</v>
      </c>
      <c r="C56" s="316">
        <f t="shared" si="8"/>
        <v>980205791.97999072</v>
      </c>
      <c r="D56" s="1047">
        <v>252121238.16999897</v>
      </c>
      <c r="E56" s="1047">
        <v>728084553.80999172</v>
      </c>
      <c r="F56" s="1048" t="s">
        <v>1499</v>
      </c>
      <c r="G56" s="474">
        <f t="shared" si="9"/>
        <v>-2008589.56</v>
      </c>
      <c r="H56" s="1047">
        <v>-140136.32999999999</v>
      </c>
      <c r="I56" s="1047">
        <v>-1868453.23</v>
      </c>
      <c r="J56" s="316">
        <f t="shared" si="10"/>
        <v>978197202.41999066</v>
      </c>
      <c r="K56" s="316">
        <f t="shared" si="11"/>
        <v>251981101.83999896</v>
      </c>
      <c r="L56" s="316">
        <f t="shared" si="11"/>
        <v>726216100.5799917</v>
      </c>
    </row>
    <row r="57" spans="1:12" ht="13">
      <c r="A57" s="2">
        <f>A56+1</f>
        <v>40</v>
      </c>
      <c r="B57" s="257" t="s">
        <v>1527</v>
      </c>
      <c r="C57" s="466">
        <v>0</v>
      </c>
      <c r="D57" s="466">
        <v>0</v>
      </c>
      <c r="E57" s="466">
        <v>0</v>
      </c>
      <c r="F57" s="477"/>
      <c r="G57" s="466">
        <f>SUM(H57:I57)</f>
        <v>-138327.83787636363</v>
      </c>
      <c r="H57" s="477">
        <f>+C64*C145</f>
        <v>-138327.83787636363</v>
      </c>
      <c r="I57" s="477">
        <v>0</v>
      </c>
      <c r="J57" s="478">
        <f>SUM(K57:L57)</f>
        <v>-138327.83787636363</v>
      </c>
      <c r="K57" s="478">
        <f t="shared" si="11"/>
        <v>-138327.83787636363</v>
      </c>
      <c r="L57" s="478">
        <f t="shared" si="11"/>
        <v>0</v>
      </c>
    </row>
    <row r="58" spans="1:12" ht="13">
      <c r="A58" s="2">
        <f t="shared" si="12"/>
        <v>41</v>
      </c>
      <c r="B58" s="131" t="s">
        <v>1528</v>
      </c>
      <c r="C58" s="472">
        <f>SUM(C52:C57)</f>
        <v>1030998050.7299907</v>
      </c>
      <c r="D58" s="472">
        <f>SUM(D52:D57)</f>
        <v>285893295.12999898</v>
      </c>
      <c r="E58" s="472">
        <f>SUM(E52:E57)</f>
        <v>745104755.59999168</v>
      </c>
      <c r="F58" s="473"/>
      <c r="G58" s="476">
        <f t="shared" ref="G58:L58" si="13">SUM(G52:G57)</f>
        <v>-2146917.3978763637</v>
      </c>
      <c r="H58" s="472">
        <f t="shared" si="13"/>
        <v>-278464.16787636362</v>
      </c>
      <c r="I58" s="472">
        <f t="shared" si="13"/>
        <v>-1868453.23</v>
      </c>
      <c r="J58" s="472">
        <f>SUM(J52:J57)</f>
        <v>1028851133.3321143</v>
      </c>
      <c r="K58" s="472">
        <f t="shared" si="13"/>
        <v>285614830.96212256</v>
      </c>
      <c r="L58" s="472">
        <f t="shared" si="13"/>
        <v>743236302.36999166</v>
      </c>
    </row>
    <row r="59" spans="1:12" ht="13">
      <c r="A59" s="2">
        <f t="shared" si="12"/>
        <v>42</v>
      </c>
      <c r="C59" s="316"/>
      <c r="D59" s="472"/>
      <c r="E59" s="472"/>
      <c r="F59" s="479"/>
      <c r="G59" s="474"/>
      <c r="H59" s="475"/>
      <c r="I59" s="475"/>
      <c r="J59" s="316"/>
      <c r="K59" s="316"/>
      <c r="L59" s="316"/>
    </row>
    <row r="60" spans="1:12" ht="13">
      <c r="A60" s="2">
        <f t="shared" si="12"/>
        <v>43</v>
      </c>
      <c r="B60" s="131" t="s">
        <v>1529</v>
      </c>
      <c r="C60" s="316">
        <f>+C43+C58</f>
        <v>1518116733.7999907</v>
      </c>
      <c r="D60" s="316">
        <f>D58+D43</f>
        <v>370429364.60999894</v>
      </c>
      <c r="E60" s="316">
        <f>E58+E43</f>
        <v>1147687369.1899915</v>
      </c>
      <c r="G60" s="474">
        <f>+G43+G58</f>
        <v>-278757042.04223907</v>
      </c>
      <c r="H60" s="316">
        <f>H58+H43</f>
        <v>-611953.58223908092</v>
      </c>
      <c r="I60" s="316">
        <f>I58+I43</f>
        <v>-278145088.45999998</v>
      </c>
      <c r="J60" s="316">
        <f>J58+K43</f>
        <v>1242273566.0460191</v>
      </c>
      <c r="K60" s="316">
        <f>K58+L43</f>
        <v>369817411.02775979</v>
      </c>
      <c r="L60" s="316">
        <f>L58+M43</f>
        <v>872456155.01825929</v>
      </c>
    </row>
    <row r="61" spans="1:12" ht="13">
      <c r="A61" s="2">
        <f t="shared" si="12"/>
        <v>44</v>
      </c>
      <c r="H61" s="475"/>
      <c r="I61" s="475"/>
    </row>
    <row r="62" spans="1:12" ht="13">
      <c r="A62" s="2">
        <f t="shared" si="12"/>
        <v>45</v>
      </c>
      <c r="B62" s="257" t="s">
        <v>1530</v>
      </c>
      <c r="C62" s="580">
        <v>487118683</v>
      </c>
      <c r="D62" s="316" t="s">
        <v>1531</v>
      </c>
      <c r="E62" s="316" t="str">
        <f>"Must equal Line "&amp;A43&amp;", Column 2."</f>
        <v>Must equal Line 33, Column 2.</v>
      </c>
      <c r="G62" s="226"/>
      <c r="H62" s="227"/>
      <c r="I62" s="227"/>
      <c r="J62" s="227"/>
      <c r="K62" s="227"/>
      <c r="L62" s="227"/>
    </row>
    <row r="63" spans="1:12" ht="13">
      <c r="A63" s="2">
        <f>A62+1</f>
        <v>46</v>
      </c>
      <c r="B63" s="257" t="s">
        <v>1532</v>
      </c>
      <c r="C63" s="580">
        <v>1030998051</v>
      </c>
      <c r="D63" s="316" t="s">
        <v>1533</v>
      </c>
      <c r="E63" s="316" t="str">
        <f>"Must equal Line "&amp;A58&amp;", Column 2."</f>
        <v>Must equal Line 41, Column 2.</v>
      </c>
      <c r="G63" s="474"/>
      <c r="H63" s="316"/>
      <c r="I63" s="316"/>
      <c r="J63" s="316"/>
      <c r="K63" s="316"/>
      <c r="L63" s="316"/>
    </row>
    <row r="64" spans="1:12" ht="13">
      <c r="A64" s="2">
        <f>A63+1</f>
        <v>47</v>
      </c>
      <c r="B64" s="257" t="s">
        <v>1534</v>
      </c>
      <c r="C64" s="480">
        <f>'20-AandG'!E63</f>
        <v>-179230.13223908097</v>
      </c>
      <c r="D64" s="316" t="str">
        <f>"20-AandG, Note 2, "&amp;'20-AandG'!B63&amp;""</f>
        <v>20-AandG, Note 2, f</v>
      </c>
      <c r="E64" s="316"/>
      <c r="F64" s="2"/>
      <c r="G64" s="474"/>
      <c r="H64" s="316"/>
      <c r="I64" s="316"/>
      <c r="J64" s="316"/>
      <c r="K64" s="316"/>
      <c r="L64" s="316"/>
    </row>
    <row r="65" spans="1:12" ht="13">
      <c r="A65" s="228"/>
      <c r="C65" s="228"/>
      <c r="D65" s="316"/>
      <c r="E65" s="316"/>
      <c r="G65" s="474"/>
      <c r="H65" s="316"/>
      <c r="I65" s="316"/>
      <c r="J65" s="316"/>
      <c r="K65" s="316"/>
      <c r="L65" s="316"/>
    </row>
    <row r="66" spans="1:12" ht="13">
      <c r="B66" s="15" t="s">
        <v>1535</v>
      </c>
      <c r="H66" s="255"/>
      <c r="I66" s="255"/>
    </row>
    <row r="67" spans="1:12">
      <c r="H67" s="255"/>
      <c r="I67" s="255"/>
    </row>
    <row r="68" spans="1:12" ht="13">
      <c r="B68" s="48" t="s">
        <v>336</v>
      </c>
      <c r="C68" s="223" t="s">
        <v>337</v>
      </c>
      <c r="D68" s="223" t="s">
        <v>338</v>
      </c>
      <c r="E68" s="223" t="s">
        <v>339</v>
      </c>
      <c r="F68" s="223" t="s">
        <v>340</v>
      </c>
      <c r="G68" s="223" t="s">
        <v>341</v>
      </c>
      <c r="H68" s="223" t="s">
        <v>342</v>
      </c>
      <c r="I68" s="223" t="s">
        <v>343</v>
      </c>
      <c r="J68" s="223" t="s">
        <v>344</v>
      </c>
      <c r="K68" s="48"/>
      <c r="L68" s="48"/>
    </row>
    <row r="69" spans="1:12">
      <c r="C69" s="255" t="s">
        <v>1536</v>
      </c>
      <c r="D69" s="255" t="s">
        <v>1537</v>
      </c>
      <c r="E69" s="255" t="s">
        <v>1538</v>
      </c>
      <c r="F69" s="460" t="s">
        <v>126</v>
      </c>
      <c r="G69" s="656" t="s">
        <v>1469</v>
      </c>
      <c r="H69" s="656" t="s">
        <v>1539</v>
      </c>
      <c r="I69" s="656" t="s">
        <v>1540</v>
      </c>
    </row>
    <row r="70" spans="1:12">
      <c r="H70" s="255"/>
      <c r="I70" s="255"/>
    </row>
    <row r="71" spans="1:12" ht="13">
      <c r="A71" s="131"/>
      <c r="B71" s="1115" t="s">
        <v>1474</v>
      </c>
      <c r="C71" s="1112" t="s">
        <v>1477</v>
      </c>
      <c r="D71" s="1113"/>
      <c r="E71" s="1114"/>
      <c r="F71" s="229" t="s">
        <v>1541</v>
      </c>
      <c r="G71" s="1112" t="s">
        <v>1542</v>
      </c>
      <c r="H71" s="1113"/>
      <c r="I71" s="1114"/>
      <c r="J71" s="507" t="s">
        <v>1543</v>
      </c>
    </row>
    <row r="72" spans="1:12" ht="13">
      <c r="B72" s="1115"/>
      <c r="C72" s="225" t="s">
        <v>249</v>
      </c>
      <c r="D72" s="225" t="s">
        <v>804</v>
      </c>
      <c r="E72" s="225" t="s">
        <v>1478</v>
      </c>
      <c r="F72" s="229" t="s">
        <v>1544</v>
      </c>
      <c r="G72" s="225" t="s">
        <v>249</v>
      </c>
      <c r="H72" s="225" t="s">
        <v>804</v>
      </c>
      <c r="I72" s="225" t="s">
        <v>1478</v>
      </c>
      <c r="J72" s="225" t="s">
        <v>251</v>
      </c>
    </row>
    <row r="73" spans="1:12" ht="13">
      <c r="A73" s="30" t="s">
        <v>273</v>
      </c>
      <c r="B73" s="151" t="s">
        <v>1481</v>
      </c>
      <c r="C73" s="19"/>
      <c r="D73" s="19"/>
      <c r="E73" s="19"/>
      <c r="F73" s="230"/>
      <c r="G73" s="19"/>
      <c r="H73" s="19"/>
      <c r="I73" s="19"/>
    </row>
    <row r="74" spans="1:12" ht="13">
      <c r="A74" s="2">
        <f>A64+1</f>
        <v>48</v>
      </c>
      <c r="B74" s="257" t="s">
        <v>1482</v>
      </c>
      <c r="C74" s="316">
        <f t="shared" ref="C74:C103" si="14">K11</f>
        <v>5544597.1920314506</v>
      </c>
      <c r="D74" s="316">
        <f t="shared" ref="D74:D103" si="15">L11</f>
        <v>1373590.9199999997</v>
      </c>
      <c r="E74" s="316">
        <f t="shared" ref="E74:E103" si="16">M11</f>
        <v>4171006.2720314511</v>
      </c>
      <c r="F74" s="486">
        <f>'27-Allocators'!$D$48</f>
        <v>0.39934776163652536</v>
      </c>
      <c r="G74" s="481">
        <f>SUM(H74:I74)</f>
        <v>2214222.4778139237</v>
      </c>
      <c r="H74" s="481">
        <f>D74*F74</f>
        <v>548540.45930625545</v>
      </c>
      <c r="I74" s="481">
        <f>E74*F74</f>
        <v>1665682.0185076683</v>
      </c>
      <c r="J74" s="319" t="s">
        <v>1545</v>
      </c>
    </row>
    <row r="75" spans="1:12" ht="13">
      <c r="A75" s="2">
        <f t="shared" ref="A75:A107" si="17">A74+1</f>
        <v>49</v>
      </c>
      <c r="B75" s="257" t="s">
        <v>1483</v>
      </c>
      <c r="C75" s="316">
        <f t="shared" si="14"/>
        <v>301537.65000000002</v>
      </c>
      <c r="D75" s="316">
        <f t="shared" si="15"/>
        <v>0</v>
      </c>
      <c r="E75" s="316">
        <f t="shared" si="16"/>
        <v>301537.65000000002</v>
      </c>
      <c r="F75" s="486">
        <v>1</v>
      </c>
      <c r="G75" s="481">
        <f t="shared" ref="G75:G103" si="18">SUM(H75:I75)</f>
        <v>301537.65000000002</v>
      </c>
      <c r="H75" s="481">
        <f t="shared" ref="H75:H103" si="19">D75*F75</f>
        <v>0</v>
      </c>
      <c r="I75" s="481">
        <f t="shared" ref="I75:I103" si="20">E75*F75</f>
        <v>301537.65000000002</v>
      </c>
      <c r="J75" s="647" t="s">
        <v>1546</v>
      </c>
    </row>
    <row r="76" spans="1:12" ht="13">
      <c r="A76" s="2">
        <f t="shared" si="17"/>
        <v>50</v>
      </c>
      <c r="B76" s="257" t="s">
        <v>1484</v>
      </c>
      <c r="C76" s="316">
        <f t="shared" si="14"/>
        <v>11483773.051793629</v>
      </c>
      <c r="D76" s="316">
        <f t="shared" si="15"/>
        <v>8942651.0700000003</v>
      </c>
      <c r="E76" s="316">
        <f t="shared" si="16"/>
        <v>2541121.981793629</v>
      </c>
      <c r="F76" s="486">
        <f>'27-Allocators'!$D$48</f>
        <v>0.39934776163652536</v>
      </c>
      <c r="G76" s="481">
        <f t="shared" si="18"/>
        <v>4586019.063375636</v>
      </c>
      <c r="H76" s="481">
        <f t="shared" si="19"/>
        <v>3571227.6879009786</v>
      </c>
      <c r="I76" s="481">
        <f t="shared" si="20"/>
        <v>1014791.375474657</v>
      </c>
      <c r="J76" s="319" t="s">
        <v>1545</v>
      </c>
    </row>
    <row r="77" spans="1:12" ht="13">
      <c r="A77" s="2">
        <f t="shared" si="17"/>
        <v>51</v>
      </c>
      <c r="B77" s="257" t="s">
        <v>1485</v>
      </c>
      <c r="C77" s="316">
        <f t="shared" si="14"/>
        <v>0</v>
      </c>
      <c r="D77" s="316">
        <f t="shared" si="15"/>
        <v>0</v>
      </c>
      <c r="E77" s="316">
        <f t="shared" si="16"/>
        <v>0</v>
      </c>
      <c r="F77" s="486">
        <v>0</v>
      </c>
      <c r="G77" s="481">
        <f t="shared" si="18"/>
        <v>0</v>
      </c>
      <c r="H77" s="481">
        <f t="shared" si="19"/>
        <v>0</v>
      </c>
      <c r="I77" s="481">
        <f t="shared" si="20"/>
        <v>0</v>
      </c>
      <c r="J77" s="647" t="s">
        <v>1547</v>
      </c>
    </row>
    <row r="78" spans="1:12" ht="13">
      <c r="A78" s="2">
        <f t="shared" si="17"/>
        <v>52</v>
      </c>
      <c r="B78" s="257" t="s">
        <v>1487</v>
      </c>
      <c r="C78" s="316">
        <f t="shared" si="14"/>
        <v>3630739.5178878605</v>
      </c>
      <c r="D78" s="316">
        <f t="shared" si="15"/>
        <v>3445278.3</v>
      </c>
      <c r="E78" s="316">
        <f t="shared" si="16"/>
        <v>185461.21788786084</v>
      </c>
      <c r="F78" s="486">
        <v>1</v>
      </c>
      <c r="G78" s="481">
        <f t="shared" si="18"/>
        <v>3630739.5178878605</v>
      </c>
      <c r="H78" s="481">
        <f t="shared" si="19"/>
        <v>3445278.3</v>
      </c>
      <c r="I78" s="481">
        <f t="shared" si="20"/>
        <v>185461.21788786084</v>
      </c>
      <c r="J78" s="647" t="s">
        <v>1546</v>
      </c>
    </row>
    <row r="79" spans="1:12" ht="13">
      <c r="A79" s="2">
        <f t="shared" si="17"/>
        <v>53</v>
      </c>
      <c r="B79" s="257" t="s">
        <v>1488</v>
      </c>
      <c r="C79" s="316">
        <f t="shared" si="14"/>
        <v>23344544.040000007</v>
      </c>
      <c r="D79" s="316">
        <f t="shared" si="15"/>
        <v>18775456.170000002</v>
      </c>
      <c r="E79" s="316">
        <f t="shared" si="16"/>
        <v>4569087.8700000029</v>
      </c>
      <c r="F79" s="486">
        <f>'27-Allocators'!$D$48</f>
        <v>0.39934776163652536</v>
      </c>
      <c r="G79" s="481">
        <f t="shared" si="18"/>
        <v>9322591.4087992907</v>
      </c>
      <c r="H79" s="481">
        <f t="shared" si="19"/>
        <v>7497936.3951941896</v>
      </c>
      <c r="I79" s="481">
        <f t="shared" si="20"/>
        <v>1824655.0136051006</v>
      </c>
      <c r="J79" s="319" t="s">
        <v>1545</v>
      </c>
    </row>
    <row r="80" spans="1:12" ht="13">
      <c r="A80" s="2">
        <f t="shared" si="17"/>
        <v>54</v>
      </c>
      <c r="B80" s="257" t="s">
        <v>1489</v>
      </c>
      <c r="C80" s="316">
        <f t="shared" si="14"/>
        <v>0</v>
      </c>
      <c r="D80" s="316">
        <f t="shared" si="15"/>
        <v>0</v>
      </c>
      <c r="E80" s="316">
        <f t="shared" si="16"/>
        <v>0</v>
      </c>
      <c r="F80" s="486">
        <v>0</v>
      </c>
      <c r="G80" s="481">
        <f t="shared" si="18"/>
        <v>0</v>
      </c>
      <c r="H80" s="481">
        <f t="shared" si="19"/>
        <v>0</v>
      </c>
      <c r="I80" s="481">
        <f t="shared" si="20"/>
        <v>0</v>
      </c>
      <c r="J80" s="647" t="s">
        <v>1547</v>
      </c>
    </row>
    <row r="81" spans="1:11" ht="13">
      <c r="A81" s="2">
        <f t="shared" si="17"/>
        <v>55</v>
      </c>
      <c r="B81" s="257" t="s">
        <v>1491</v>
      </c>
      <c r="C81" s="316">
        <f t="shared" si="14"/>
        <v>956877.54</v>
      </c>
      <c r="D81" s="316">
        <f t="shared" si="15"/>
        <v>0</v>
      </c>
      <c r="E81" s="316">
        <f t="shared" si="16"/>
        <v>956877.54</v>
      </c>
      <c r="F81" s="486">
        <v>1</v>
      </c>
      <c r="G81" s="481">
        <f t="shared" si="18"/>
        <v>956877.54</v>
      </c>
      <c r="H81" s="481">
        <f t="shared" si="19"/>
        <v>0</v>
      </c>
      <c r="I81" s="481">
        <f t="shared" si="20"/>
        <v>956877.54</v>
      </c>
      <c r="J81" s="647" t="s">
        <v>1546</v>
      </c>
      <c r="K81" s="316"/>
    </row>
    <row r="82" spans="1:11" ht="13">
      <c r="A82" s="2">
        <f t="shared" si="17"/>
        <v>56</v>
      </c>
      <c r="B82" s="257" t="s">
        <v>1492</v>
      </c>
      <c r="C82" s="316">
        <f t="shared" si="14"/>
        <v>21619376.639990516</v>
      </c>
      <c r="D82" s="316">
        <f t="shared" si="15"/>
        <v>8630290.3399999999</v>
      </c>
      <c r="E82" s="316">
        <f t="shared" si="16"/>
        <v>12989086.299990514</v>
      </c>
      <c r="F82" s="486">
        <f>'27-Allocators'!$D$36</f>
        <v>0.47550776950318685</v>
      </c>
      <c r="G82" s="481">
        <f t="shared" si="18"/>
        <v>10280181.564131191</v>
      </c>
      <c r="H82" s="481">
        <f t="shared" si="19"/>
        <v>4103770.1097383001</v>
      </c>
      <c r="I82" s="481">
        <f t="shared" si="20"/>
        <v>6176411.4543928914</v>
      </c>
      <c r="J82" s="319" t="s">
        <v>1548</v>
      </c>
    </row>
    <row r="83" spans="1:11" ht="12.75" customHeight="1">
      <c r="A83" s="2">
        <f t="shared" si="17"/>
        <v>57</v>
      </c>
      <c r="B83" s="257" t="s">
        <v>1493</v>
      </c>
      <c r="C83" s="316">
        <f t="shared" si="14"/>
        <v>2970384.3299999996</v>
      </c>
      <c r="D83" s="316">
        <f t="shared" si="15"/>
        <v>2429648.3399999994</v>
      </c>
      <c r="E83" s="316">
        <f t="shared" si="16"/>
        <v>540735.99000000011</v>
      </c>
      <c r="F83" s="486">
        <f>'27-Allocators'!$D$42</f>
        <v>2.3107750844219281E-2</v>
      </c>
      <c r="G83" s="482">
        <f t="shared" si="18"/>
        <v>68638.901009213208</v>
      </c>
      <c r="H83" s="482">
        <f t="shared" si="19"/>
        <v>56143.708479790963</v>
      </c>
      <c r="I83" s="482">
        <f t="shared" si="20"/>
        <v>12495.192529422251</v>
      </c>
      <c r="J83" s="319" t="s">
        <v>1549</v>
      </c>
      <c r="K83" s="316"/>
    </row>
    <row r="84" spans="1:11" ht="13">
      <c r="A84" s="2">
        <f t="shared" si="17"/>
        <v>58</v>
      </c>
      <c r="B84" s="257" t="s">
        <v>1494</v>
      </c>
      <c r="C84" s="316">
        <f t="shared" si="14"/>
        <v>0</v>
      </c>
      <c r="D84" s="316">
        <f t="shared" si="15"/>
        <v>0</v>
      </c>
      <c r="E84" s="316">
        <f t="shared" si="16"/>
        <v>0</v>
      </c>
      <c r="F84" s="486">
        <v>1</v>
      </c>
      <c r="G84" s="481">
        <f t="shared" si="18"/>
        <v>0</v>
      </c>
      <c r="H84" s="481">
        <f t="shared" si="19"/>
        <v>0</v>
      </c>
      <c r="I84" s="481">
        <f t="shared" si="20"/>
        <v>0</v>
      </c>
      <c r="J84" s="647" t="s">
        <v>1546</v>
      </c>
    </row>
    <row r="85" spans="1:11" ht="13">
      <c r="A85" s="2">
        <f t="shared" si="17"/>
        <v>59</v>
      </c>
      <c r="B85" s="257" t="s">
        <v>1495</v>
      </c>
      <c r="C85" s="316">
        <f t="shared" si="14"/>
        <v>0</v>
      </c>
      <c r="D85" s="316">
        <f t="shared" si="15"/>
        <v>0</v>
      </c>
      <c r="E85" s="316">
        <f t="shared" si="16"/>
        <v>0</v>
      </c>
      <c r="F85" s="486">
        <v>0</v>
      </c>
      <c r="G85" s="481">
        <f t="shared" si="18"/>
        <v>0</v>
      </c>
      <c r="H85" s="481">
        <f t="shared" si="19"/>
        <v>0</v>
      </c>
      <c r="I85" s="481">
        <f t="shared" si="20"/>
        <v>0</v>
      </c>
      <c r="J85" s="647" t="s">
        <v>1547</v>
      </c>
    </row>
    <row r="86" spans="1:11" ht="13">
      <c r="A86" s="2">
        <f t="shared" si="17"/>
        <v>60</v>
      </c>
      <c r="B86" s="257" t="s">
        <v>1497</v>
      </c>
      <c r="C86" s="316">
        <f t="shared" si="14"/>
        <v>336173.91000000003</v>
      </c>
      <c r="D86" s="316">
        <f t="shared" si="15"/>
        <v>0</v>
      </c>
      <c r="E86" s="316">
        <f t="shared" si="16"/>
        <v>336173.91000000003</v>
      </c>
      <c r="F86" s="486">
        <v>0</v>
      </c>
      <c r="G86" s="481">
        <f t="shared" si="18"/>
        <v>0</v>
      </c>
      <c r="H86" s="481">
        <f t="shared" si="19"/>
        <v>0</v>
      </c>
      <c r="I86" s="481">
        <f t="shared" si="20"/>
        <v>0</v>
      </c>
      <c r="J86" s="647" t="s">
        <v>1547</v>
      </c>
    </row>
    <row r="87" spans="1:11" ht="13">
      <c r="A87" s="2">
        <f t="shared" si="17"/>
        <v>61</v>
      </c>
      <c r="B87" s="257" t="s">
        <v>1498</v>
      </c>
      <c r="C87" s="316">
        <f t="shared" si="14"/>
        <v>34647845.989729777</v>
      </c>
      <c r="D87" s="316">
        <f t="shared" si="15"/>
        <v>19890391.579999983</v>
      </c>
      <c r="E87" s="316">
        <f t="shared" si="16"/>
        <v>14757454.409729796</v>
      </c>
      <c r="F87" s="486">
        <f>'27-Allocators'!$D$48</f>
        <v>0.39934776163652536</v>
      </c>
      <c r="G87" s="481">
        <f t="shared" si="18"/>
        <v>13836539.741525648</v>
      </c>
      <c r="H87" s="481">
        <f t="shared" si="19"/>
        <v>7943183.3555469839</v>
      </c>
      <c r="I87" s="481">
        <f t="shared" si="20"/>
        <v>5893356.3859786643</v>
      </c>
      <c r="J87" s="319" t="s">
        <v>1545</v>
      </c>
      <c r="K87" s="316"/>
    </row>
    <row r="88" spans="1:11" ht="13">
      <c r="A88" s="2">
        <f t="shared" si="17"/>
        <v>62</v>
      </c>
      <c r="B88" s="257" t="s">
        <v>1500</v>
      </c>
      <c r="C88" s="316">
        <f t="shared" si="14"/>
        <v>-5940.4500000405314</v>
      </c>
      <c r="D88" s="316">
        <f t="shared" si="15"/>
        <v>-1.930000000000291</v>
      </c>
      <c r="E88" s="316">
        <f t="shared" si="16"/>
        <v>-5938.5200000405312</v>
      </c>
      <c r="F88" s="486">
        <v>0</v>
      </c>
      <c r="G88" s="481">
        <f t="shared" si="18"/>
        <v>0</v>
      </c>
      <c r="H88" s="481">
        <f t="shared" si="19"/>
        <v>0</v>
      </c>
      <c r="I88" s="481">
        <f t="shared" si="20"/>
        <v>0</v>
      </c>
      <c r="J88" s="647" t="s">
        <v>1547</v>
      </c>
    </row>
    <row r="89" spans="1:11" ht="13">
      <c r="A89" s="2">
        <f t="shared" si="17"/>
        <v>63</v>
      </c>
      <c r="B89" s="257" t="s">
        <v>1502</v>
      </c>
      <c r="C89" s="316">
        <f t="shared" si="14"/>
        <v>5992381.669999999</v>
      </c>
      <c r="D89" s="316">
        <f t="shared" si="15"/>
        <v>117661.30000000003</v>
      </c>
      <c r="E89" s="316">
        <f t="shared" si="16"/>
        <v>5874720.3699999992</v>
      </c>
      <c r="F89" s="486">
        <v>1</v>
      </c>
      <c r="G89" s="481">
        <f t="shared" si="18"/>
        <v>5992381.669999999</v>
      </c>
      <c r="H89" s="481">
        <f t="shared" si="19"/>
        <v>117661.30000000003</v>
      </c>
      <c r="I89" s="481">
        <f t="shared" si="20"/>
        <v>5874720.3699999992</v>
      </c>
      <c r="J89" s="647" t="s">
        <v>1546</v>
      </c>
    </row>
    <row r="90" spans="1:11" ht="13">
      <c r="A90" s="2">
        <f t="shared" si="17"/>
        <v>64</v>
      </c>
      <c r="B90" s="257" t="s">
        <v>1503</v>
      </c>
      <c r="C90" s="316">
        <f t="shared" si="14"/>
        <v>17331126.685122587</v>
      </c>
      <c r="D90" s="316">
        <f t="shared" si="15"/>
        <v>59294.859999999993</v>
      </c>
      <c r="E90" s="316">
        <f t="shared" si="16"/>
        <v>17271831.825122587</v>
      </c>
      <c r="F90" s="486">
        <f>'27-Allocators'!$D$36</f>
        <v>0.47550776950318685</v>
      </c>
      <c r="G90" s="481">
        <f t="shared" si="18"/>
        <v>8241085.3930198019</v>
      </c>
      <c r="H90" s="481">
        <f t="shared" si="19"/>
        <v>28195.16662160373</v>
      </c>
      <c r="I90" s="481">
        <f t="shared" si="20"/>
        <v>8212890.2263981979</v>
      </c>
      <c r="J90" s="319" t="s">
        <v>1548</v>
      </c>
      <c r="K90" s="316"/>
    </row>
    <row r="91" spans="1:11" ht="13">
      <c r="A91" s="2">
        <f t="shared" si="17"/>
        <v>65</v>
      </c>
      <c r="B91" s="257" t="s">
        <v>1504</v>
      </c>
      <c r="C91" s="316">
        <f t="shared" si="14"/>
        <v>113004.35999999999</v>
      </c>
      <c r="D91" s="316">
        <f t="shared" si="15"/>
        <v>0</v>
      </c>
      <c r="E91" s="316">
        <f t="shared" si="16"/>
        <v>113004.35999999999</v>
      </c>
      <c r="F91" s="486">
        <v>1</v>
      </c>
      <c r="G91" s="481">
        <f t="shared" si="18"/>
        <v>113004.35999999999</v>
      </c>
      <c r="H91" s="481">
        <f t="shared" si="19"/>
        <v>0</v>
      </c>
      <c r="I91" s="481">
        <f t="shared" si="20"/>
        <v>113004.35999999999</v>
      </c>
      <c r="J91" s="647" t="s">
        <v>1546</v>
      </c>
    </row>
    <row r="92" spans="1:11" ht="13">
      <c r="A92" s="2">
        <f t="shared" si="17"/>
        <v>66</v>
      </c>
      <c r="B92" s="257" t="s">
        <v>1505</v>
      </c>
      <c r="C92" s="316">
        <f t="shared" si="14"/>
        <v>438002.55000000005</v>
      </c>
      <c r="D92" s="316">
        <f t="shared" si="15"/>
        <v>0</v>
      </c>
      <c r="E92" s="316">
        <f t="shared" si="16"/>
        <v>438002.55000000005</v>
      </c>
      <c r="F92" s="486">
        <v>1</v>
      </c>
      <c r="G92" s="481">
        <f t="shared" ref="G92" si="21">SUM(H92:I92)</f>
        <v>438002.55000000005</v>
      </c>
      <c r="H92" s="481">
        <f t="shared" ref="H92" si="22">D92*F92</f>
        <v>0</v>
      </c>
      <c r="I92" s="481">
        <f t="shared" ref="I92" si="23">E92*F92</f>
        <v>438002.55000000005</v>
      </c>
      <c r="J92" s="647" t="s">
        <v>1546</v>
      </c>
    </row>
    <row r="93" spans="1:11" ht="13">
      <c r="A93" s="2">
        <f t="shared" si="17"/>
        <v>67</v>
      </c>
      <c r="B93" s="257" t="s">
        <v>1506</v>
      </c>
      <c r="C93" s="316">
        <f t="shared" si="14"/>
        <v>1808002.3162771352</v>
      </c>
      <c r="D93" s="316">
        <f t="shared" si="15"/>
        <v>1516640.5899999999</v>
      </c>
      <c r="E93" s="316">
        <f t="shared" si="16"/>
        <v>291361.72627713525</v>
      </c>
      <c r="F93" s="486">
        <f>'27-Allocators'!$D$48</f>
        <v>0.39934776163652536</v>
      </c>
      <c r="G93" s="481">
        <f t="shared" si="18"/>
        <v>722021.67803892714</v>
      </c>
      <c r="H93" s="481">
        <f t="shared" si="19"/>
        <v>605667.02482359915</v>
      </c>
      <c r="I93" s="481">
        <f t="shared" si="20"/>
        <v>116354.65321532795</v>
      </c>
      <c r="J93" s="319" t="s">
        <v>1545</v>
      </c>
    </row>
    <row r="94" spans="1:11" ht="13">
      <c r="A94" s="2">
        <f t="shared" si="17"/>
        <v>68</v>
      </c>
      <c r="B94" s="257" t="s">
        <v>1507</v>
      </c>
      <c r="C94" s="316">
        <f t="shared" si="14"/>
        <v>198150.38</v>
      </c>
      <c r="D94" s="316">
        <f t="shared" si="15"/>
        <v>0</v>
      </c>
      <c r="E94" s="316">
        <f t="shared" si="16"/>
        <v>198150.38</v>
      </c>
      <c r="F94" s="486">
        <v>1</v>
      </c>
      <c r="G94" s="481">
        <f t="shared" si="18"/>
        <v>198150.38</v>
      </c>
      <c r="H94" s="481">
        <f t="shared" si="19"/>
        <v>0</v>
      </c>
      <c r="I94" s="481">
        <f t="shared" si="20"/>
        <v>198150.38</v>
      </c>
      <c r="J94" s="647" t="s">
        <v>1546</v>
      </c>
      <c r="K94" s="316"/>
    </row>
    <row r="95" spans="1:11" ht="13">
      <c r="A95" s="2">
        <f t="shared" si="17"/>
        <v>69</v>
      </c>
      <c r="B95" s="257" t="s">
        <v>1508</v>
      </c>
      <c r="C95" s="316">
        <f t="shared" si="14"/>
        <v>2636821.5799999977</v>
      </c>
      <c r="D95" s="316">
        <f t="shared" si="15"/>
        <v>11481.390000000001</v>
      </c>
      <c r="E95" s="316">
        <f t="shared" si="16"/>
        <v>2625340.1899999976</v>
      </c>
      <c r="F95" s="486">
        <f>'27-Allocators'!$D$48</f>
        <v>0.39934776163652536</v>
      </c>
      <c r="G95" s="481">
        <f t="shared" si="18"/>
        <v>1053008.7958078852</v>
      </c>
      <c r="H95" s="481">
        <f t="shared" si="19"/>
        <v>4585.0673969759864</v>
      </c>
      <c r="I95" s="481">
        <f t="shared" si="20"/>
        <v>1048423.7284109092</v>
      </c>
      <c r="J95" s="319" t="s">
        <v>1545</v>
      </c>
    </row>
    <row r="96" spans="1:11" ht="13">
      <c r="A96" s="2">
        <f t="shared" si="17"/>
        <v>70</v>
      </c>
      <c r="B96" s="257" t="s">
        <v>1510</v>
      </c>
      <c r="C96" s="316">
        <f t="shared" si="14"/>
        <v>667759.44999999995</v>
      </c>
      <c r="D96" s="316">
        <f t="shared" si="15"/>
        <v>0</v>
      </c>
      <c r="E96" s="316">
        <f t="shared" si="16"/>
        <v>667759.44999999995</v>
      </c>
      <c r="F96" s="486">
        <v>1</v>
      </c>
      <c r="G96" s="481">
        <f t="shared" si="18"/>
        <v>667759.44999999995</v>
      </c>
      <c r="H96" s="481">
        <f t="shared" si="19"/>
        <v>0</v>
      </c>
      <c r="I96" s="481">
        <f t="shared" si="20"/>
        <v>667759.44999999995</v>
      </c>
      <c r="J96" s="647" t="s">
        <v>1546</v>
      </c>
    </row>
    <row r="97" spans="1:11" ht="13">
      <c r="A97" s="2">
        <f t="shared" si="17"/>
        <v>71</v>
      </c>
      <c r="B97" s="257" t="s">
        <v>1511</v>
      </c>
      <c r="C97" s="316">
        <f t="shared" si="14"/>
        <v>8959175.8900000006</v>
      </c>
      <c r="D97" s="316">
        <f t="shared" si="15"/>
        <v>5082083.53</v>
      </c>
      <c r="E97" s="316">
        <f t="shared" si="16"/>
        <v>3877092.3599999994</v>
      </c>
      <c r="F97" s="486">
        <f>'27-Allocators'!$D$48</f>
        <v>0.39934776163652536</v>
      </c>
      <c r="G97" s="481">
        <f t="shared" si="18"/>
        <v>3577826.8377794246</v>
      </c>
      <c r="H97" s="481">
        <f t="shared" si="19"/>
        <v>2029518.6821553514</v>
      </c>
      <c r="I97" s="481">
        <f t="shared" si="20"/>
        <v>1548308.1556240732</v>
      </c>
      <c r="J97" s="319" t="s">
        <v>1545</v>
      </c>
    </row>
    <row r="98" spans="1:11" ht="13">
      <c r="A98" s="2">
        <f t="shared" si="17"/>
        <v>72</v>
      </c>
      <c r="B98" s="257" t="s">
        <v>1512</v>
      </c>
      <c r="C98" s="316">
        <f t="shared" si="14"/>
        <v>1031300.9000000001</v>
      </c>
      <c r="D98" s="316">
        <f t="shared" si="15"/>
        <v>0</v>
      </c>
      <c r="E98" s="316">
        <f t="shared" si="16"/>
        <v>1031300.9000000001</v>
      </c>
      <c r="F98" s="486">
        <v>1</v>
      </c>
      <c r="G98" s="481">
        <f t="shared" si="18"/>
        <v>1031300.9000000001</v>
      </c>
      <c r="H98" s="481">
        <f t="shared" si="19"/>
        <v>0</v>
      </c>
      <c r="I98" s="481">
        <f t="shared" si="20"/>
        <v>1031300.9000000001</v>
      </c>
      <c r="J98" s="647" t="s">
        <v>1546</v>
      </c>
    </row>
    <row r="99" spans="1:11" ht="13">
      <c r="A99" s="2">
        <f t="shared" si="17"/>
        <v>73</v>
      </c>
      <c r="B99" s="257" t="s">
        <v>1513</v>
      </c>
      <c r="C99" s="316">
        <f t="shared" si="14"/>
        <v>66580186.898646489</v>
      </c>
      <c r="D99" s="316">
        <f t="shared" si="15"/>
        <v>12986011.299999997</v>
      </c>
      <c r="E99" s="316">
        <f t="shared" si="16"/>
        <v>53594175.598646492</v>
      </c>
      <c r="F99" s="486">
        <f>'27-Allocators'!$D$36</f>
        <v>0.47550776950318685</v>
      </c>
      <c r="G99" s="481">
        <f t="shared" si="18"/>
        <v>31659396.165280696</v>
      </c>
      <c r="H99" s="481">
        <f t="shared" si="19"/>
        <v>6174949.2680061786</v>
      </c>
      <c r="I99" s="481">
        <f t="shared" si="20"/>
        <v>25484446.897274517</v>
      </c>
      <c r="J99" s="319" t="s">
        <v>1548</v>
      </c>
    </row>
    <row r="100" spans="1:11" ht="13">
      <c r="A100" s="2">
        <f t="shared" si="17"/>
        <v>74</v>
      </c>
      <c r="B100" s="257" t="s">
        <v>1514</v>
      </c>
      <c r="C100" s="316">
        <f t="shared" si="14"/>
        <v>576949.69999999995</v>
      </c>
      <c r="D100" s="316">
        <f t="shared" si="15"/>
        <v>0</v>
      </c>
      <c r="E100" s="316">
        <f t="shared" si="16"/>
        <v>576949.69999999995</v>
      </c>
      <c r="F100" s="486">
        <v>1</v>
      </c>
      <c r="G100" s="481">
        <f t="shared" si="18"/>
        <v>576949.69999999995</v>
      </c>
      <c r="H100" s="481">
        <f t="shared" si="19"/>
        <v>0</v>
      </c>
      <c r="I100" s="481">
        <f t="shared" si="20"/>
        <v>576949.69999999995</v>
      </c>
      <c r="J100" s="647" t="s">
        <v>1546</v>
      </c>
    </row>
    <row r="101" spans="1:11" ht="13">
      <c r="A101" s="2">
        <f t="shared" si="17"/>
        <v>75</v>
      </c>
      <c r="B101" s="257" t="s">
        <v>1515</v>
      </c>
      <c r="C101" s="316">
        <f t="shared" si="14"/>
        <v>411256.04000000004</v>
      </c>
      <c r="D101" s="316">
        <f t="shared" si="15"/>
        <v>155227.47</v>
      </c>
      <c r="E101" s="316">
        <f t="shared" si="16"/>
        <v>256028.57</v>
      </c>
      <c r="F101" s="486">
        <f>'27-Allocators'!$D$42</f>
        <v>2.3107750844219281E-2</v>
      </c>
      <c r="G101" s="481">
        <f t="shared" si="18"/>
        <v>9503.2021055002788</v>
      </c>
      <c r="H101" s="481">
        <f t="shared" si="19"/>
        <v>3586.957700938523</v>
      </c>
      <c r="I101" s="481">
        <f t="shared" si="20"/>
        <v>5916.2444045617558</v>
      </c>
      <c r="J101" s="319" t="s">
        <v>1549</v>
      </c>
    </row>
    <row r="102" spans="1:11" ht="13">
      <c r="A102" s="2">
        <f t="shared" si="17"/>
        <v>76</v>
      </c>
      <c r="B102" s="257" t="s">
        <v>1516</v>
      </c>
      <c r="C102" s="316">
        <f t="shared" si="14"/>
        <v>66.42</v>
      </c>
      <c r="D102" s="316">
        <f t="shared" si="15"/>
        <v>0</v>
      </c>
      <c r="E102" s="316">
        <f t="shared" si="16"/>
        <v>66.42</v>
      </c>
      <c r="F102" s="486">
        <v>1</v>
      </c>
      <c r="G102" s="481">
        <f t="shared" si="18"/>
        <v>66.42</v>
      </c>
      <c r="H102" s="481">
        <f t="shared" si="19"/>
        <v>0</v>
      </c>
      <c r="I102" s="481">
        <f t="shared" si="20"/>
        <v>66.42</v>
      </c>
      <c r="J102" s="647" t="s">
        <v>1546</v>
      </c>
    </row>
    <row r="103" spans="1:11" ht="13">
      <c r="A103" s="2">
        <f t="shared" si="17"/>
        <v>77</v>
      </c>
      <c r="B103" s="257" t="s">
        <v>1517</v>
      </c>
      <c r="C103" s="316">
        <f t="shared" si="14"/>
        <v>1889240.7567881802</v>
      </c>
      <c r="D103" s="316">
        <f t="shared" si="15"/>
        <v>827777.12999999989</v>
      </c>
      <c r="E103" s="316">
        <f t="shared" si="16"/>
        <v>1061463.6267881803</v>
      </c>
      <c r="F103" s="486">
        <f>'27-Allocators'!$D$48</f>
        <v>0.39934776163652536</v>
      </c>
      <c r="G103" s="481">
        <f t="shared" si="18"/>
        <v>754464.06741585489</v>
      </c>
      <c r="H103" s="481">
        <f t="shared" si="19"/>
        <v>330570.943999407</v>
      </c>
      <c r="I103" s="481">
        <f t="shared" si="20"/>
        <v>423893.12341644795</v>
      </c>
      <c r="J103" s="319" t="s">
        <v>1545</v>
      </c>
    </row>
    <row r="104" spans="1:11" ht="13">
      <c r="A104" s="2">
        <f t="shared" si="17"/>
        <v>78</v>
      </c>
      <c r="B104" s="257" t="s">
        <v>822</v>
      </c>
      <c r="C104" s="657" t="s">
        <v>380</v>
      </c>
      <c r="D104" s="657" t="s">
        <v>380</v>
      </c>
      <c r="E104" s="657" t="s">
        <v>380</v>
      </c>
      <c r="F104" s="657" t="s">
        <v>380</v>
      </c>
      <c r="G104" s="657" t="s">
        <v>380</v>
      </c>
      <c r="H104" s="657" t="s">
        <v>380</v>
      </c>
      <c r="I104" s="657" t="s">
        <v>380</v>
      </c>
    </row>
    <row r="105" spans="1:11" ht="13">
      <c r="A105" s="2">
        <f t="shared" si="17"/>
        <v>79</v>
      </c>
      <c r="B105" s="257" t="s">
        <v>1550</v>
      </c>
      <c r="C105" s="478">
        <f>K42</f>
        <v>-40902.294362717352</v>
      </c>
      <c r="D105" s="478">
        <f>L42</f>
        <v>-40902.294362717352</v>
      </c>
      <c r="E105" s="478">
        <f>M42</f>
        <v>0</v>
      </c>
      <c r="F105" s="483"/>
      <c r="G105" s="484">
        <f>SUM(H105:I105)</f>
        <v>-17702.627225443099</v>
      </c>
      <c r="H105" s="484">
        <f>D105*C149</f>
        <v>-17702.627225443099</v>
      </c>
      <c r="I105" s="484">
        <v>0</v>
      </c>
    </row>
    <row r="106" spans="1:11" ht="13">
      <c r="A106" s="2">
        <f t="shared" si="17"/>
        <v>80</v>
      </c>
      <c r="B106" s="131" t="s">
        <v>1551</v>
      </c>
      <c r="C106" s="475">
        <f>SUM(C74:C105)</f>
        <v>213422432.71390486</v>
      </c>
      <c r="D106" s="475">
        <f>SUM(D74:D105)</f>
        <v>84202580.065637246</v>
      </c>
      <c r="E106" s="475">
        <f>SUM(E74:E105)</f>
        <v>129219852.64826761</v>
      </c>
      <c r="F106" s="485"/>
      <c r="G106" s="475">
        <f>SUM(G74:G105)</f>
        <v>100214566.80676542</v>
      </c>
      <c r="H106" s="475">
        <f>SUM(H74:H105)</f>
        <v>36443111.799645111</v>
      </c>
      <c r="I106" s="475">
        <f>SUM(I74:I105)</f>
        <v>63771455.007120304</v>
      </c>
      <c r="K106" s="316"/>
    </row>
    <row r="107" spans="1:11" ht="13">
      <c r="A107" s="2">
        <f t="shared" si="17"/>
        <v>81</v>
      </c>
      <c r="C107" s="316"/>
      <c r="D107" s="316"/>
      <c r="E107" s="316"/>
      <c r="F107" s="485"/>
      <c r="G107" s="486"/>
      <c r="H107" s="481"/>
      <c r="I107" s="481"/>
      <c r="J107" s="481"/>
      <c r="K107" s="316"/>
    </row>
    <row r="108" spans="1:11" ht="13">
      <c r="A108" s="2"/>
      <c r="B108" s="131"/>
      <c r="C108" s="231"/>
      <c r="D108" s="231"/>
      <c r="E108" s="231"/>
      <c r="F108" s="232"/>
      <c r="G108" s="233"/>
      <c r="H108" s="231"/>
      <c r="I108" s="231"/>
      <c r="J108" s="231"/>
    </row>
    <row r="109" spans="1:11" ht="13">
      <c r="A109" s="2"/>
      <c r="B109" s="48" t="s">
        <v>336</v>
      </c>
      <c r="C109" s="223" t="s">
        <v>337</v>
      </c>
      <c r="D109" s="223" t="s">
        <v>338</v>
      </c>
      <c r="E109" s="223" t="s">
        <v>339</v>
      </c>
      <c r="F109" s="223" t="s">
        <v>340</v>
      </c>
      <c r="G109" s="223" t="s">
        <v>341</v>
      </c>
      <c r="H109" s="223" t="s">
        <v>342</v>
      </c>
      <c r="I109" s="223" t="s">
        <v>343</v>
      </c>
      <c r="J109" s="223" t="s">
        <v>344</v>
      </c>
    </row>
    <row r="110" spans="1:11" ht="13">
      <c r="A110" s="2"/>
      <c r="C110" s="255" t="s">
        <v>1536</v>
      </c>
      <c r="D110" s="255" t="s">
        <v>1537</v>
      </c>
      <c r="E110" s="255" t="s">
        <v>1538</v>
      </c>
      <c r="F110" s="460" t="s">
        <v>126</v>
      </c>
      <c r="G110" s="656" t="s">
        <v>1469</v>
      </c>
      <c r="H110" s="656" t="s">
        <v>1539</v>
      </c>
      <c r="I110" s="656" t="s">
        <v>1540</v>
      </c>
    </row>
    <row r="111" spans="1:11" ht="13">
      <c r="A111" s="2"/>
      <c r="H111" s="255"/>
      <c r="I111" s="255"/>
    </row>
    <row r="112" spans="1:11" ht="13">
      <c r="A112" s="2"/>
      <c r="B112" s="1115" t="s">
        <v>1474</v>
      </c>
      <c r="C112" s="1112" t="s">
        <v>1477</v>
      </c>
      <c r="D112" s="1113"/>
      <c r="E112" s="1114"/>
      <c r="F112" s="229" t="s">
        <v>1541</v>
      </c>
      <c r="G112" s="1112" t="s">
        <v>1542</v>
      </c>
      <c r="H112" s="1113"/>
      <c r="I112" s="1114"/>
      <c r="J112" s="507" t="s">
        <v>1543</v>
      </c>
    </row>
    <row r="113" spans="1:10" ht="13">
      <c r="A113" s="2"/>
      <c r="B113" s="1115"/>
      <c r="C113" s="225" t="s">
        <v>249</v>
      </c>
      <c r="D113" s="225" t="s">
        <v>804</v>
      </c>
      <c r="E113" s="225" t="s">
        <v>1478</v>
      </c>
      <c r="F113" s="229" t="s">
        <v>1544</v>
      </c>
      <c r="G113" s="225" t="s">
        <v>249</v>
      </c>
      <c r="H113" s="225" t="s">
        <v>804</v>
      </c>
      <c r="I113" s="225" t="s">
        <v>1478</v>
      </c>
      <c r="J113" s="225" t="s">
        <v>251</v>
      </c>
    </row>
    <row r="114" spans="1:10" ht="12.75" customHeight="1">
      <c r="A114" s="2"/>
      <c r="B114" s="151" t="s">
        <v>1521</v>
      </c>
      <c r="C114" s="316"/>
      <c r="D114" s="316"/>
      <c r="E114" s="316"/>
      <c r="F114" s="485"/>
      <c r="G114" s="486"/>
      <c r="H114" s="481"/>
      <c r="I114" s="481"/>
      <c r="J114" s="481"/>
    </row>
    <row r="115" spans="1:10" ht="12.75" customHeight="1">
      <c r="A115" s="2">
        <f>A107+1</f>
        <v>82</v>
      </c>
      <c r="B115" s="257" t="s">
        <v>1522</v>
      </c>
      <c r="C115" s="316">
        <f t="shared" ref="C115:E118" si="24">J52</f>
        <v>39325812.129999995</v>
      </c>
      <c r="D115" s="316">
        <f t="shared" si="24"/>
        <v>26888770.469999999</v>
      </c>
      <c r="E115" s="316">
        <f t="shared" si="24"/>
        <v>12437041.659999996</v>
      </c>
      <c r="F115" s="486">
        <f>'27-Allocators'!$D$54</f>
        <v>0</v>
      </c>
      <c r="G115" s="481">
        <f>SUM(H115:I115)</f>
        <v>0</v>
      </c>
      <c r="H115" s="481">
        <f>D115*F115</f>
        <v>0</v>
      </c>
      <c r="I115" s="481">
        <f>E115*F115</f>
        <v>0</v>
      </c>
      <c r="J115" s="319" t="s">
        <v>1552</v>
      </c>
    </row>
    <row r="116" spans="1:10" ht="12.75" customHeight="1">
      <c r="A116" s="2">
        <f t="shared" ref="A116:A124" si="25">A115+1</f>
        <v>83</v>
      </c>
      <c r="B116" s="257" t="s">
        <v>1523</v>
      </c>
      <c r="C116" s="316">
        <f t="shared" si="24"/>
        <v>1734987.19</v>
      </c>
      <c r="D116" s="316">
        <f t="shared" si="24"/>
        <v>1491791.7999999998</v>
      </c>
      <c r="E116" s="316">
        <f t="shared" si="24"/>
        <v>243195.39000000007</v>
      </c>
      <c r="F116" s="486">
        <f>'27-Allocators'!$D$54</f>
        <v>0</v>
      </c>
      <c r="G116" s="481">
        <f>SUM(H116:I116)</f>
        <v>0</v>
      </c>
      <c r="H116" s="481">
        <f t="shared" ref="H116:H119" si="26">D116*F116</f>
        <v>0</v>
      </c>
      <c r="I116" s="481">
        <f t="shared" ref="I116:I119" si="27">E116*F116</f>
        <v>0</v>
      </c>
      <c r="J116" s="319" t="s">
        <v>1552</v>
      </c>
    </row>
    <row r="117" spans="1:10" ht="12.75" customHeight="1">
      <c r="A117" s="2">
        <f t="shared" si="25"/>
        <v>84</v>
      </c>
      <c r="B117" s="257" t="s">
        <v>1524</v>
      </c>
      <c r="C117" s="316">
        <f t="shared" si="24"/>
        <v>82084.679999999993</v>
      </c>
      <c r="D117" s="316">
        <f t="shared" si="24"/>
        <v>16885.890000000003</v>
      </c>
      <c r="E117" s="316">
        <f t="shared" si="24"/>
        <v>65198.789999999994</v>
      </c>
      <c r="F117" s="486">
        <f>'27-Allocators'!$D$54</f>
        <v>0</v>
      </c>
      <c r="G117" s="481">
        <f t="shared" ref="G117:G119" si="28">SUM(H117:I117)</f>
        <v>0</v>
      </c>
      <c r="H117" s="481">
        <f t="shared" si="26"/>
        <v>0</v>
      </c>
      <c r="I117" s="481">
        <f t="shared" si="27"/>
        <v>0</v>
      </c>
      <c r="J117" s="319" t="s">
        <v>1552</v>
      </c>
    </row>
    <row r="118" spans="1:10" ht="12.75" customHeight="1">
      <c r="A118" s="2">
        <f t="shared" si="25"/>
        <v>85</v>
      </c>
      <c r="B118" s="257" t="s">
        <v>1525</v>
      </c>
      <c r="C118" s="316">
        <f t="shared" si="24"/>
        <v>9649374.75</v>
      </c>
      <c r="D118" s="316">
        <f t="shared" si="24"/>
        <v>5374608.7999999989</v>
      </c>
      <c r="E118" s="316">
        <f t="shared" si="24"/>
        <v>4274765.95</v>
      </c>
      <c r="F118" s="486">
        <f>'27-Allocators'!$D$54</f>
        <v>0</v>
      </c>
      <c r="G118" s="481">
        <f t="shared" si="28"/>
        <v>0</v>
      </c>
      <c r="H118" s="481">
        <f t="shared" si="26"/>
        <v>0</v>
      </c>
      <c r="I118" s="481">
        <f t="shared" si="27"/>
        <v>0</v>
      </c>
      <c r="J118" s="319" t="s">
        <v>1552</v>
      </c>
    </row>
    <row r="119" spans="1:10" ht="12.75" customHeight="1">
      <c r="A119" s="644">
        <f t="shared" si="25"/>
        <v>86</v>
      </c>
      <c r="B119" s="487" t="s">
        <v>1526</v>
      </c>
      <c r="C119" s="488">
        <f t="shared" ref="C119:E120" si="29">J56</f>
        <v>978197202.41999066</v>
      </c>
      <c r="D119" s="643">
        <f t="shared" si="29"/>
        <v>251981101.83999896</v>
      </c>
      <c r="E119" s="643">
        <f t="shared" si="29"/>
        <v>726216100.5799917</v>
      </c>
      <c r="F119" s="645">
        <v>0</v>
      </c>
      <c r="G119" s="481">
        <f t="shared" si="28"/>
        <v>0</v>
      </c>
      <c r="H119" s="481">
        <f t="shared" si="26"/>
        <v>0</v>
      </c>
      <c r="I119" s="481">
        <f t="shared" si="27"/>
        <v>0</v>
      </c>
      <c r="J119" s="658" t="s">
        <v>1547</v>
      </c>
    </row>
    <row r="120" spans="1:10" ht="12.75" customHeight="1">
      <c r="A120" s="2">
        <f t="shared" si="25"/>
        <v>87</v>
      </c>
      <c r="B120" s="257" t="s">
        <v>1553</v>
      </c>
      <c r="C120" s="478">
        <f t="shared" si="29"/>
        <v>-138327.83787636363</v>
      </c>
      <c r="D120" s="478">
        <f t="shared" si="29"/>
        <v>-138327.83787636363</v>
      </c>
      <c r="E120" s="478">
        <f t="shared" si="29"/>
        <v>0</v>
      </c>
      <c r="F120" s="646">
        <v>0</v>
      </c>
      <c r="G120" s="484">
        <f>SUM(H120:I120)</f>
        <v>0</v>
      </c>
      <c r="H120" s="484">
        <f>D120*F120</f>
        <v>0</v>
      </c>
      <c r="I120" s="484">
        <f>E120*F120</f>
        <v>0</v>
      </c>
      <c r="J120" s="508" t="s">
        <v>1547</v>
      </c>
    </row>
    <row r="121" spans="1:10" ht="13">
      <c r="A121" s="2">
        <f t="shared" si="25"/>
        <v>88</v>
      </c>
      <c r="B121" s="131" t="s">
        <v>1554</v>
      </c>
      <c r="C121" s="316">
        <f>SUM(C115:C120)</f>
        <v>1028851133.3321143</v>
      </c>
      <c r="D121" s="316">
        <f>SUM(D115:D120)</f>
        <v>285614830.96212256</v>
      </c>
      <c r="E121" s="316">
        <f>SUM(E115:E120)</f>
        <v>743236302.36999166</v>
      </c>
      <c r="F121" s="232"/>
      <c r="G121" s="475">
        <f>SUM(G115:G120)</f>
        <v>0</v>
      </c>
      <c r="H121" s="475">
        <f>SUM(H115:H120)</f>
        <v>0</v>
      </c>
      <c r="I121" s="475">
        <f>SUM(I115:I120)</f>
        <v>0</v>
      </c>
    </row>
    <row r="122" spans="1:10" ht="13">
      <c r="A122" s="2">
        <f t="shared" si="25"/>
        <v>89</v>
      </c>
      <c r="B122" s="874"/>
      <c r="C122" s="875"/>
      <c r="D122" s="875"/>
      <c r="E122" s="875"/>
      <c r="F122" s="876"/>
      <c r="G122" s="877"/>
      <c r="H122" s="878"/>
      <c r="I122" s="877"/>
      <c r="J122" s="879"/>
    </row>
    <row r="123" spans="1:10" ht="13">
      <c r="A123" s="2">
        <f t="shared" si="25"/>
        <v>90</v>
      </c>
      <c r="C123" s="316"/>
      <c r="D123" s="316"/>
      <c r="E123" s="316"/>
      <c r="F123" s="485"/>
      <c r="G123" s="481"/>
      <c r="H123" s="481"/>
      <c r="I123" s="481"/>
    </row>
    <row r="124" spans="1:10" ht="13">
      <c r="A124" s="2">
        <f t="shared" si="25"/>
        <v>91</v>
      </c>
      <c r="B124" s="131" t="s">
        <v>1555</v>
      </c>
      <c r="C124" s="316">
        <f>+C106+C121</f>
        <v>1242273566.0460191</v>
      </c>
      <c r="D124" s="316">
        <f>+D106+D121</f>
        <v>369817411.02775979</v>
      </c>
      <c r="E124" s="316">
        <f>+E106+E121</f>
        <v>872456155.01825929</v>
      </c>
      <c r="F124" s="19"/>
      <c r="G124" s="481">
        <f>+G106+G121</f>
        <v>100214566.80676542</v>
      </c>
      <c r="H124" s="316">
        <f>+H106+H121</f>
        <v>36443111.799645111</v>
      </c>
      <c r="I124" s="316">
        <f>+I106+I121</f>
        <v>63771455.007120304</v>
      </c>
    </row>
    <row r="125" spans="1:10" ht="13">
      <c r="A125" s="2">
        <f>A124+1</f>
        <v>92</v>
      </c>
      <c r="B125" s="255" t="str">
        <f>"Line "&amp;A106&amp;" + Line "&amp;A121&amp;""</f>
        <v>Line 80 + Line 88</v>
      </c>
      <c r="C125" s="875"/>
      <c r="D125" s="875"/>
      <c r="E125" s="875"/>
      <c r="F125" s="875"/>
      <c r="G125" s="875"/>
      <c r="H125" s="875"/>
      <c r="I125" s="875"/>
    </row>
    <row r="127" spans="1:10" ht="13">
      <c r="B127" s="234" t="s">
        <v>228</v>
      </c>
    </row>
    <row r="128" spans="1:10">
      <c r="B128" s="489" t="s">
        <v>1556</v>
      </c>
      <c r="H128" s="490"/>
      <c r="I128" s="490"/>
    </row>
    <row r="129" spans="2:10">
      <c r="B129" s="491" t="s">
        <v>1557</v>
      </c>
      <c r="H129" s="490"/>
      <c r="I129" s="490"/>
    </row>
    <row r="130" spans="2:10">
      <c r="B130" s="492" t="s">
        <v>1558</v>
      </c>
      <c r="H130" s="490"/>
      <c r="I130" s="490"/>
    </row>
    <row r="131" spans="2:10">
      <c r="B131" s="318" t="s">
        <v>1559</v>
      </c>
      <c r="H131" s="490"/>
      <c r="I131" s="490"/>
    </row>
    <row r="132" spans="2:10">
      <c r="B132" s="318" t="s">
        <v>1560</v>
      </c>
      <c r="H132" s="490"/>
      <c r="I132" s="490"/>
    </row>
    <row r="133" spans="2:10">
      <c r="B133" s="318" t="s">
        <v>1561</v>
      </c>
      <c r="H133" s="490"/>
      <c r="I133" s="490"/>
    </row>
    <row r="134" spans="2:10">
      <c r="B134" s="509" t="s">
        <v>1562</v>
      </c>
      <c r="H134" s="490"/>
      <c r="I134" s="490"/>
    </row>
    <row r="135" spans="2:10">
      <c r="B135" s="318" t="s">
        <v>1563</v>
      </c>
      <c r="H135" s="490"/>
      <c r="I135" s="490"/>
    </row>
    <row r="136" spans="2:10">
      <c r="B136" s="318" t="s">
        <v>1564</v>
      </c>
      <c r="H136" s="490"/>
      <c r="I136" s="490"/>
    </row>
    <row r="137" spans="2:10">
      <c r="B137" s="828"/>
      <c r="C137" s="330"/>
      <c r="D137" s="330"/>
      <c r="E137" s="464"/>
      <c r="F137" s="464"/>
      <c r="G137" s="829"/>
      <c r="H137" s="830"/>
      <c r="I137" s="830"/>
      <c r="J137" s="464"/>
    </row>
    <row r="138" spans="2:10">
      <c r="B138" s="255" t="s">
        <v>1565</v>
      </c>
      <c r="H138" s="490"/>
      <c r="I138" s="490"/>
    </row>
    <row r="139" spans="2:10">
      <c r="B139" s="255" t="s">
        <v>1566</v>
      </c>
      <c r="H139" s="490"/>
      <c r="I139" s="490"/>
    </row>
    <row r="140" spans="2:10">
      <c r="H140" s="490"/>
      <c r="I140" s="490"/>
    </row>
    <row r="141" spans="2:10">
      <c r="B141" s="268" t="s">
        <v>1567</v>
      </c>
      <c r="C141" s="865">
        <v>47</v>
      </c>
      <c r="H141" s="490"/>
      <c r="I141" s="490"/>
    </row>
    <row r="142" spans="2:10">
      <c r="H142" s="490"/>
      <c r="I142" s="490"/>
    </row>
    <row r="143" spans="2:10" ht="13">
      <c r="B143" s="493"/>
      <c r="C143" s="18" t="s">
        <v>511</v>
      </c>
      <c r="D143" s="18" t="s">
        <v>470</v>
      </c>
      <c r="H143" s="490"/>
      <c r="I143" s="490"/>
    </row>
    <row r="144" spans="2:10">
      <c r="B144" s="493" t="s">
        <v>1568</v>
      </c>
      <c r="C144" s="494">
        <f>D43/D60</f>
        <v>0.22821103712715246</v>
      </c>
      <c r="D144" s="493" t="str">
        <f>"Line "&amp;A43&amp;", Col 3 / Line "&amp;A60&amp;", Col 3"</f>
        <v>Line 33, Col 3 / Line 43, Col 3</v>
      </c>
      <c r="H144" s="490"/>
      <c r="I144" s="490"/>
    </row>
    <row r="145" spans="2:11">
      <c r="B145" s="493" t="s">
        <v>1569</v>
      </c>
      <c r="C145" s="494">
        <f>D58/D60</f>
        <v>0.77178896287284759</v>
      </c>
      <c r="D145" s="493" t="str">
        <f>"Line "&amp;A58&amp;", Col 3 / Line "&amp;A60&amp;", Col 3"</f>
        <v>Line 41, Col 3 / Line 43, Col 3</v>
      </c>
      <c r="H145" s="490"/>
      <c r="I145" s="490"/>
    </row>
    <row r="146" spans="2:11">
      <c r="H146" s="490"/>
      <c r="I146" s="490"/>
    </row>
    <row r="147" spans="2:11">
      <c r="B147" s="255" t="s">
        <v>1570</v>
      </c>
      <c r="H147" s="490"/>
      <c r="I147" s="490"/>
    </row>
    <row r="148" spans="2:11">
      <c r="B148" s="255" t="s">
        <v>1571</v>
      </c>
      <c r="H148" s="490"/>
      <c r="I148" s="490"/>
    </row>
    <row r="149" spans="2:11">
      <c r="B149" s="255" t="s">
        <v>1572</v>
      </c>
      <c r="C149" s="510">
        <f>(SUM(H74:H103)/SUM(D74:D103))</f>
        <v>0.43280279263696109</v>
      </c>
      <c r="H149" s="490"/>
      <c r="I149" s="490"/>
    </row>
    <row r="150" spans="2:11">
      <c r="B150" s="255" t="s">
        <v>1573</v>
      </c>
      <c r="H150" s="490"/>
      <c r="I150" s="490"/>
    </row>
    <row r="151" spans="2:11">
      <c r="B151" s="255" t="s">
        <v>1574</v>
      </c>
      <c r="H151" s="490"/>
      <c r="I151" s="490"/>
    </row>
    <row r="152" spans="2:11">
      <c r="B152" s="255" t="s">
        <v>1575</v>
      </c>
      <c r="H152" s="490"/>
      <c r="I152" s="490"/>
    </row>
    <row r="153" spans="2:11">
      <c r="B153" s="319" t="s">
        <v>1576</v>
      </c>
      <c r="C153" s="319"/>
      <c r="D153" s="319"/>
      <c r="E153" s="319"/>
      <c r="F153" s="319"/>
      <c r="G153" s="353"/>
      <c r="H153" s="868"/>
      <c r="I153" s="868"/>
      <c r="J153" s="319"/>
      <c r="K153" s="319"/>
    </row>
    <row r="154" spans="2:11">
      <c r="B154" s="255" t="s">
        <v>1577</v>
      </c>
    </row>
    <row r="155" spans="2:11">
      <c r="B155" s="255" t="s">
        <v>1578</v>
      </c>
    </row>
  </sheetData>
  <mergeCells count="13">
    <mergeCell ref="B8:B9"/>
    <mergeCell ref="C8:E8"/>
    <mergeCell ref="G8:I8"/>
    <mergeCell ref="B71:B72"/>
    <mergeCell ref="C71:E71"/>
    <mergeCell ref="B49:B50"/>
    <mergeCell ref="C49:E49"/>
    <mergeCell ref="G49:I49"/>
    <mergeCell ref="J49:L49"/>
    <mergeCell ref="G112:I112"/>
    <mergeCell ref="G71:I71"/>
    <mergeCell ref="B112:B113"/>
    <mergeCell ref="C112:E112"/>
  </mergeCells>
  <pageMargins left="0.7" right="0.7" top="0.75" bottom="0.75" header="0.3" footer="0.3"/>
  <pageSetup scale="59" orientation="landscape" cellComments="asDisplayed" r:id="rId1"/>
  <headerFooter>
    <oddHeader>&amp;CSchedule 19
Operations and Maintenance
&amp;RTO2024 Annual Update 
Attachment 1</oddHeader>
    <oddFooter>&amp;R&amp;A</oddFooter>
  </headerFooter>
  <rowBreaks count="3" manualBreakCount="3">
    <brk id="45" max="12"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3"/>
  <sheetViews>
    <sheetView zoomScaleNormal="10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81640625" bestFit="1" customWidth="1"/>
  </cols>
  <sheetData>
    <row r="1" spans="1:24" ht="13">
      <c r="A1" s="1" t="s">
        <v>45</v>
      </c>
      <c r="F1" s="27" t="s">
        <v>635</v>
      </c>
      <c r="G1" s="54"/>
      <c r="H1" s="37"/>
      <c r="I1" s="37"/>
    </row>
    <row r="2" spans="1:24" ht="13">
      <c r="E2" s="48" t="s">
        <v>336</v>
      </c>
      <c r="F2" s="48" t="s">
        <v>337</v>
      </c>
      <c r="G2" s="48" t="s">
        <v>338</v>
      </c>
      <c r="H2" s="48" t="s">
        <v>1579</v>
      </c>
      <c r="I2" s="48" t="s">
        <v>339</v>
      </c>
      <c r="J2" s="37"/>
    </row>
    <row r="3" spans="1:24">
      <c r="E3" s="894"/>
      <c r="G3" s="37" t="s">
        <v>576</v>
      </c>
      <c r="H3" s="248" t="s">
        <v>350</v>
      </c>
      <c r="I3" s="253" t="s">
        <v>1580</v>
      </c>
    </row>
    <row r="4" spans="1:24" ht="13">
      <c r="E4" s="2" t="s">
        <v>1581</v>
      </c>
      <c r="F4" s="19" t="s">
        <v>658</v>
      </c>
      <c r="G4" s="2" t="s">
        <v>1582</v>
      </c>
      <c r="H4" s="2" t="s">
        <v>1583</v>
      </c>
      <c r="J4" s="2"/>
    </row>
    <row r="5" spans="1:24" ht="13">
      <c r="A5" s="32" t="s">
        <v>99</v>
      </c>
      <c r="B5" s="3"/>
      <c r="C5" s="3" t="s">
        <v>1584</v>
      </c>
      <c r="D5" s="3" t="s">
        <v>813</v>
      </c>
      <c r="E5" s="3" t="s">
        <v>79</v>
      </c>
      <c r="F5" s="18" t="s">
        <v>651</v>
      </c>
      <c r="G5" s="3" t="s">
        <v>1585</v>
      </c>
      <c r="H5" s="3" t="s">
        <v>248</v>
      </c>
      <c r="I5" s="3" t="s">
        <v>200</v>
      </c>
      <c r="J5" s="3" t="s">
        <v>100</v>
      </c>
      <c r="K5" s="3"/>
      <c r="L5" s="3"/>
      <c r="M5" s="3"/>
      <c r="N5" s="3"/>
      <c r="O5" s="3"/>
      <c r="P5" s="3"/>
      <c r="Q5" s="3"/>
      <c r="R5" s="3"/>
      <c r="S5" s="3"/>
      <c r="T5" s="3"/>
      <c r="U5" s="3"/>
      <c r="V5" s="3"/>
      <c r="W5" s="3"/>
      <c r="X5" s="3"/>
    </row>
    <row r="6" spans="1:24" ht="13">
      <c r="A6" s="2">
        <v>1</v>
      </c>
      <c r="C6" s="37">
        <v>920</v>
      </c>
      <c r="D6" t="s">
        <v>1586</v>
      </c>
      <c r="E6" s="5">
        <v>470443853</v>
      </c>
      <c r="F6" s="37" t="s">
        <v>1587</v>
      </c>
      <c r="G6" s="6">
        <f>D37</f>
        <v>182278145.12718177</v>
      </c>
      <c r="H6" s="249">
        <f>'35-Other Formula Revenue'!D55</f>
        <v>161890.45721713582</v>
      </c>
      <c r="I6" s="249">
        <f>(E6-G6)+H6</f>
        <v>288327598.33003539</v>
      </c>
      <c r="J6" s="894"/>
    </row>
    <row r="7" spans="1:24" ht="13">
      <c r="A7" s="2">
        <f>A6+1</f>
        <v>2</v>
      </c>
      <c r="C7" s="37">
        <v>921</v>
      </c>
      <c r="D7" t="s">
        <v>1588</v>
      </c>
      <c r="E7" s="5">
        <v>296213929</v>
      </c>
      <c r="F7" s="37" t="s">
        <v>1589</v>
      </c>
      <c r="G7" s="6">
        <f t="shared" ref="G7:G19" si="0">D38</f>
        <v>3654682.2599999993</v>
      </c>
      <c r="H7" s="249">
        <f>'35-Other Formula Revenue'!D56</f>
        <v>169749.45753880357</v>
      </c>
      <c r="I7" s="249">
        <f t="shared" ref="I7:I19" si="1">(E7-G7)+H7</f>
        <v>292728996.19753879</v>
      </c>
    </row>
    <row r="8" spans="1:24" ht="13">
      <c r="A8" s="2">
        <f>A7+1</f>
        <v>3</v>
      </c>
      <c r="C8" s="37">
        <v>922</v>
      </c>
      <c r="D8" t="s">
        <v>1590</v>
      </c>
      <c r="E8" s="5">
        <v>-245635404</v>
      </c>
      <c r="F8" s="37" t="s">
        <v>1591</v>
      </c>
      <c r="G8" s="6">
        <f t="shared" si="0"/>
        <v>-90227482.519999996</v>
      </c>
      <c r="H8" s="249">
        <f>'35-Other Formula Revenue'!D57</f>
        <v>-73973.150968079382</v>
      </c>
      <c r="I8" s="249">
        <f t="shared" si="1"/>
        <v>-155481894.63096809</v>
      </c>
      <c r="J8" s="37" t="s">
        <v>1592</v>
      </c>
    </row>
    <row r="9" spans="1:24" ht="13">
      <c r="A9" s="2">
        <f t="shared" ref="A9:A20" si="2">A8+1</f>
        <v>4</v>
      </c>
      <c r="B9" s="2"/>
      <c r="C9" s="37">
        <v>923</v>
      </c>
      <c r="D9" t="s">
        <v>1593</v>
      </c>
      <c r="E9" s="5">
        <v>64855632</v>
      </c>
      <c r="F9" s="37" t="s">
        <v>1594</v>
      </c>
      <c r="G9" s="6">
        <f t="shared" si="0"/>
        <v>1772201.6799999997</v>
      </c>
      <c r="H9" s="249">
        <f>'35-Other Formula Revenue'!D58</f>
        <v>27578.784226409658</v>
      </c>
      <c r="I9" s="249">
        <f t="shared" si="1"/>
        <v>63111009.10422641</v>
      </c>
    </row>
    <row r="10" spans="1:24" ht="13">
      <c r="A10" s="2">
        <f t="shared" si="2"/>
        <v>5</v>
      </c>
      <c r="B10" s="2"/>
      <c r="C10" s="37">
        <v>924</v>
      </c>
      <c r="D10" t="s">
        <v>1595</v>
      </c>
      <c r="E10" s="5">
        <v>14791518</v>
      </c>
      <c r="F10" s="37" t="s">
        <v>1596</v>
      </c>
      <c r="G10" s="6">
        <f t="shared" si="0"/>
        <v>0</v>
      </c>
      <c r="H10" s="249">
        <f>'35-Other Formula Revenue'!D59</f>
        <v>0</v>
      </c>
      <c r="I10" s="249">
        <f t="shared" si="1"/>
        <v>14791518</v>
      </c>
    </row>
    <row r="11" spans="1:24" ht="13">
      <c r="A11" s="2">
        <f t="shared" si="2"/>
        <v>6</v>
      </c>
      <c r="B11" s="2"/>
      <c r="C11" s="37">
        <v>925</v>
      </c>
      <c r="D11" t="s">
        <v>1597</v>
      </c>
      <c r="E11" s="5">
        <v>2265570136</v>
      </c>
      <c r="F11" s="37" t="s">
        <v>1598</v>
      </c>
      <c r="G11" s="6">
        <f t="shared" si="0"/>
        <v>399446647.53999996</v>
      </c>
      <c r="H11" s="249">
        <f>'35-Other Formula Revenue'!D60</f>
        <v>379054.55140620656</v>
      </c>
      <c r="I11" s="249">
        <f t="shared" si="1"/>
        <v>1866502543.0114062</v>
      </c>
    </row>
    <row r="12" spans="1:24" ht="13">
      <c r="A12" s="2">
        <f t="shared" si="2"/>
        <v>7</v>
      </c>
      <c r="B12" s="2"/>
      <c r="C12" s="37">
        <v>926</v>
      </c>
      <c r="D12" t="s">
        <v>1599</v>
      </c>
      <c r="E12" s="5">
        <v>43317369</v>
      </c>
      <c r="F12" s="37" t="s">
        <v>1600</v>
      </c>
      <c r="G12" s="6">
        <f t="shared" si="0"/>
        <v>7706810.6306500016</v>
      </c>
      <c r="H12" s="249">
        <f>'35-Other Formula Revenue'!D61</f>
        <v>45331.085022092426</v>
      </c>
      <c r="I12" s="249">
        <f t="shared" si="1"/>
        <v>35655889.454372093</v>
      </c>
    </row>
    <row r="13" spans="1:24" ht="13">
      <c r="A13" s="2">
        <f t="shared" si="2"/>
        <v>8</v>
      </c>
      <c r="B13" s="2"/>
      <c r="C13" s="37">
        <v>927</v>
      </c>
      <c r="D13" t="s">
        <v>1601</v>
      </c>
      <c r="E13" s="5">
        <v>147313508</v>
      </c>
      <c r="F13" s="37" t="s">
        <v>1602</v>
      </c>
      <c r="G13" s="6">
        <f t="shared" si="0"/>
        <v>147313508</v>
      </c>
      <c r="H13" s="249">
        <f>'35-Other Formula Revenue'!D62</f>
        <v>34764.685480807042</v>
      </c>
      <c r="I13" s="249">
        <f>(E13-G13)+H13-H13</f>
        <v>0</v>
      </c>
      <c r="J13" s="294" t="s">
        <v>1603</v>
      </c>
      <c r="L13" s="894"/>
    </row>
    <row r="14" spans="1:24" ht="13">
      <c r="A14" s="2">
        <f t="shared" si="2"/>
        <v>9</v>
      </c>
      <c r="B14" s="2"/>
      <c r="C14" s="37">
        <v>928</v>
      </c>
      <c r="D14" s="247" t="s">
        <v>1604</v>
      </c>
      <c r="E14" s="5">
        <v>13111553</v>
      </c>
      <c r="F14" s="37" t="s">
        <v>1605</v>
      </c>
      <c r="G14" s="6">
        <f t="shared" si="0"/>
        <v>10299121.539999999</v>
      </c>
      <c r="H14" s="249">
        <f>'35-Other Formula Revenue'!D63</f>
        <v>625.86599710856376</v>
      </c>
      <c r="I14" s="249">
        <f t="shared" si="1"/>
        <v>2813057.3259971095</v>
      </c>
    </row>
    <row r="15" spans="1:24" ht="13">
      <c r="A15" s="2">
        <f t="shared" si="2"/>
        <v>10</v>
      </c>
      <c r="B15" s="2"/>
      <c r="C15" s="37">
        <v>929</v>
      </c>
      <c r="D15" t="s">
        <v>1606</v>
      </c>
      <c r="E15" s="5">
        <v>0</v>
      </c>
      <c r="F15" s="37" t="s">
        <v>1607</v>
      </c>
      <c r="G15" s="6">
        <f t="shared" si="0"/>
        <v>0</v>
      </c>
      <c r="H15" s="249">
        <f>'35-Other Formula Revenue'!D64</f>
        <v>0</v>
      </c>
      <c r="I15" s="249">
        <f t="shared" si="1"/>
        <v>0</v>
      </c>
    </row>
    <row r="16" spans="1:24" ht="13">
      <c r="A16" s="2">
        <f t="shared" si="2"/>
        <v>11</v>
      </c>
      <c r="B16" s="2"/>
      <c r="C16" s="37">
        <v>930.1</v>
      </c>
      <c r="D16" t="s">
        <v>1608</v>
      </c>
      <c r="E16" s="5">
        <v>13573810</v>
      </c>
      <c r="F16" s="37" t="s">
        <v>1609</v>
      </c>
      <c r="G16" s="6">
        <f t="shared" si="0"/>
        <v>0</v>
      </c>
      <c r="H16" s="249">
        <f>'35-Other Formula Revenue'!D65</f>
        <v>4658.5583585868717</v>
      </c>
      <c r="I16" s="249">
        <f t="shared" si="1"/>
        <v>13578468.558358587</v>
      </c>
    </row>
    <row r="17" spans="1:9" ht="13">
      <c r="A17" s="2">
        <f t="shared" si="2"/>
        <v>12</v>
      </c>
      <c r="B17" s="2"/>
      <c r="C17" s="37">
        <v>930.2</v>
      </c>
      <c r="D17" t="s">
        <v>1610</v>
      </c>
      <c r="E17" s="5">
        <v>30094484</v>
      </c>
      <c r="F17" s="37" t="s">
        <v>1611</v>
      </c>
      <c r="G17" s="6">
        <f t="shared" si="0"/>
        <v>17490511.919999965</v>
      </c>
      <c r="H17" s="249">
        <f>'35-Other Formula Revenue'!D66</f>
        <v>1681.7371162307861</v>
      </c>
      <c r="I17" s="249">
        <f t="shared" si="1"/>
        <v>12605653.817116266</v>
      </c>
    </row>
    <row r="18" spans="1:9" ht="13">
      <c r="A18" s="2">
        <f t="shared" si="2"/>
        <v>13</v>
      </c>
      <c r="B18" s="2"/>
      <c r="C18" s="37">
        <v>931</v>
      </c>
      <c r="D18" t="s">
        <v>1612</v>
      </c>
      <c r="E18" s="5">
        <v>9270433</v>
      </c>
      <c r="F18" s="37" t="s">
        <v>1613</v>
      </c>
      <c r="G18" s="6">
        <f t="shared" si="0"/>
        <v>0</v>
      </c>
      <c r="H18" s="249">
        <f>'35-Other Formula Revenue'!D67</f>
        <v>6180.029105715299</v>
      </c>
      <c r="I18" s="249">
        <f t="shared" si="1"/>
        <v>9276613.0291057155</v>
      </c>
    </row>
    <row r="19" spans="1:9" ht="13">
      <c r="A19" s="2">
        <f t="shared" si="2"/>
        <v>14</v>
      </c>
      <c r="B19" s="2"/>
      <c r="C19" s="37">
        <v>935</v>
      </c>
      <c r="D19" t="s">
        <v>1614</v>
      </c>
      <c r="E19" s="60">
        <v>24197033</v>
      </c>
      <c r="F19" s="37" t="s">
        <v>1615</v>
      </c>
      <c r="G19" s="6">
        <f t="shared" si="0"/>
        <v>1048532.57</v>
      </c>
      <c r="H19" s="249">
        <f>'35-Other Formula Revenue'!D68</f>
        <v>14102.920005060651</v>
      </c>
      <c r="I19" s="53">
        <f t="shared" si="1"/>
        <v>23162603.35000506</v>
      </c>
    </row>
    <row r="20" spans="1:9" ht="13">
      <c r="A20" s="2">
        <f t="shared" si="2"/>
        <v>15</v>
      </c>
      <c r="E20" s="6">
        <f>SUM(E6:E19)</f>
        <v>3147117854</v>
      </c>
      <c r="H20" s="245" t="s">
        <v>1616</v>
      </c>
      <c r="I20" s="249">
        <f>SUM(I6:I19)</f>
        <v>2467072055.5471931</v>
      </c>
    </row>
    <row r="22" spans="1:9" ht="13">
      <c r="F22" s="3" t="s">
        <v>79</v>
      </c>
      <c r="G22" s="3" t="s">
        <v>651</v>
      </c>
      <c r="H22" s="895"/>
      <c r="I22" s="896"/>
    </row>
    <row r="23" spans="1:9" ht="13">
      <c r="A23" s="2">
        <f>A20+1</f>
        <v>16</v>
      </c>
      <c r="E23" s="245" t="s">
        <v>1617</v>
      </c>
      <c r="F23" s="6">
        <f>I20</f>
        <v>2467072055.5471931</v>
      </c>
      <c r="G23" s="246" t="str">
        <f>"Line "&amp;A20&amp;""</f>
        <v>Line 15</v>
      </c>
    </row>
    <row r="24" spans="1:9" ht="13">
      <c r="A24" s="2">
        <f t="shared" ref="A24:A30" si="3">A23+1</f>
        <v>17</v>
      </c>
      <c r="E24" s="245" t="s">
        <v>1618</v>
      </c>
      <c r="F24" s="53">
        <f>E10</f>
        <v>14791518</v>
      </c>
      <c r="G24" s="246" t="str">
        <f>"Line "&amp;A10&amp;""</f>
        <v>Line 5</v>
      </c>
    </row>
    <row r="25" spans="1:9" ht="13">
      <c r="A25" s="2">
        <f t="shared" si="3"/>
        <v>18</v>
      </c>
      <c r="E25" s="245" t="s">
        <v>1619</v>
      </c>
      <c r="F25" s="6">
        <f>F23-F24</f>
        <v>2452280537.5471931</v>
      </c>
      <c r="G25" s="246" t="str">
        <f>"Line "&amp;A23&amp;" - Line "&amp;A24&amp;""</f>
        <v>Line 16 - Line 17</v>
      </c>
    </row>
    <row r="26" spans="1:9" ht="13">
      <c r="A26" s="2">
        <f t="shared" si="3"/>
        <v>19</v>
      </c>
      <c r="E26" s="25" t="s">
        <v>1620</v>
      </c>
      <c r="F26" s="29">
        <f>'27-Allocators'!G15</f>
        <v>5.9842511582503061E-2</v>
      </c>
      <c r="G26" s="246" t="str">
        <f>"27-Allocators, Line "&amp;'27-Allocators'!A15&amp;""</f>
        <v>27-Allocators, Line 9</v>
      </c>
    </row>
    <row r="27" spans="1:9" ht="13">
      <c r="A27" s="2">
        <f t="shared" si="3"/>
        <v>20</v>
      </c>
      <c r="E27" s="245" t="s">
        <v>1621</v>
      </c>
      <c r="F27" s="6">
        <f>F25*F26</f>
        <v>146750626.47171474</v>
      </c>
      <c r="G27" s="246" t="str">
        <f>"Line "&amp;A25&amp;" * Line "&amp;A26&amp;""</f>
        <v>Line 18 * Line 19</v>
      </c>
    </row>
    <row r="28" spans="1:9" ht="13">
      <c r="A28" s="2">
        <f t="shared" si="3"/>
        <v>21</v>
      </c>
      <c r="E28" s="245" t="s">
        <v>1622</v>
      </c>
      <c r="F28" s="7">
        <f>'27-Allocators'!G28</f>
        <v>0.18233907928586837</v>
      </c>
      <c r="G28" s="12" t="str">
        <f>"27-Allocators, Line "&amp;'27-Allocators'!A28&amp;""</f>
        <v>27-Allocators, Line 22</v>
      </c>
    </row>
    <row r="29" spans="1:9" ht="13">
      <c r="A29" s="2">
        <f t="shared" si="3"/>
        <v>22</v>
      </c>
      <c r="E29" s="245" t="s">
        <v>1623</v>
      </c>
      <c r="F29" s="53">
        <f>I10*F28</f>
        <v>2697071.7733603492</v>
      </c>
      <c r="G29" s="246" t="str">
        <f>"Line "&amp;A10&amp;" Col 4 * Line "&amp;A28&amp;""</f>
        <v>Line 5 Col 4 * Line 21</v>
      </c>
    </row>
    <row r="30" spans="1:9" ht="13">
      <c r="A30" s="2">
        <f t="shared" si="3"/>
        <v>23</v>
      </c>
      <c r="E30" s="245" t="s">
        <v>1624</v>
      </c>
      <c r="F30" s="249">
        <f>F27+F29</f>
        <v>149447698.24507508</v>
      </c>
      <c r="G30" s="246" t="str">
        <f>"Line "&amp;A27&amp;" + Line "&amp;A29&amp;""</f>
        <v>Line 20 + Line 22</v>
      </c>
    </row>
    <row r="32" spans="1:9" ht="13">
      <c r="B32" s="1" t="s">
        <v>1625</v>
      </c>
      <c r="E32" s="48" t="s">
        <v>336</v>
      </c>
      <c r="F32" s="48" t="s">
        <v>337</v>
      </c>
      <c r="G32" s="48" t="s">
        <v>338</v>
      </c>
      <c r="H32" s="48" t="s">
        <v>339</v>
      </c>
    </row>
    <row r="33" spans="1:11" ht="13">
      <c r="B33" s="1"/>
      <c r="C33" s="39" t="s">
        <v>195</v>
      </c>
      <c r="D33" s="254" t="s">
        <v>1626</v>
      </c>
      <c r="E33" s="2" t="s">
        <v>1627</v>
      </c>
      <c r="F33" s="48"/>
      <c r="G33" s="48"/>
      <c r="H33" s="48"/>
    </row>
    <row r="34" spans="1:11" ht="13">
      <c r="E34" s="2" t="s">
        <v>1628</v>
      </c>
    </row>
    <row r="35" spans="1:11" ht="13">
      <c r="D35" s="2" t="s">
        <v>1629</v>
      </c>
      <c r="E35" s="2" t="s">
        <v>1630</v>
      </c>
      <c r="F35" s="2" t="s">
        <v>1631</v>
      </c>
      <c r="G35" s="2"/>
      <c r="H35" s="2"/>
    </row>
    <row r="36" spans="1:11" ht="13">
      <c r="C36" s="3" t="s">
        <v>1584</v>
      </c>
      <c r="D36" s="48" t="s">
        <v>1632</v>
      </c>
      <c r="E36" s="3" t="s">
        <v>1476</v>
      </c>
      <c r="F36" s="3" t="s">
        <v>1633</v>
      </c>
      <c r="G36" s="3" t="s">
        <v>1634</v>
      </c>
      <c r="H36" s="3" t="s">
        <v>1635</v>
      </c>
      <c r="I36" s="3" t="s">
        <v>100</v>
      </c>
    </row>
    <row r="37" spans="1:11" ht="13">
      <c r="A37" s="2">
        <f>A30+1</f>
        <v>24</v>
      </c>
      <c r="C37" s="37">
        <v>920</v>
      </c>
      <c r="D37" s="79">
        <f>SUM(E37:H37)</f>
        <v>182278145.12718177</v>
      </c>
      <c r="E37" s="267">
        <v>9224520.7600000016</v>
      </c>
      <c r="F37" s="59"/>
      <c r="G37" s="6">
        <f>G58</f>
        <v>173053624.36718178</v>
      </c>
      <c r="H37" s="59"/>
      <c r="I37" s="246" t="s">
        <v>1636</v>
      </c>
    </row>
    <row r="38" spans="1:11" ht="13">
      <c r="A38" s="2">
        <f>A37+1</f>
        <v>25</v>
      </c>
      <c r="C38" s="37">
        <v>921</v>
      </c>
      <c r="D38" s="79">
        <f t="shared" ref="D38:D50" si="4">SUM(E38:H38)</f>
        <v>3654682.2599999993</v>
      </c>
      <c r="E38" s="267">
        <v>3654682.2599999993</v>
      </c>
      <c r="F38" s="59"/>
      <c r="G38" s="59">
        <v>0</v>
      </c>
      <c r="H38" s="59"/>
      <c r="I38" s="12"/>
      <c r="K38" s="249"/>
    </row>
    <row r="39" spans="1:11" ht="13">
      <c r="A39" s="2">
        <f t="shared" ref="A39:A50" si="5">A38+1</f>
        <v>26</v>
      </c>
      <c r="C39" s="37">
        <v>922</v>
      </c>
      <c r="D39" s="79">
        <f t="shared" si="4"/>
        <v>-90227482.519999996</v>
      </c>
      <c r="E39" s="267">
        <v>-3765394.52</v>
      </c>
      <c r="F39" s="267"/>
      <c r="G39" s="267">
        <v>-86462088</v>
      </c>
      <c r="H39" s="59"/>
      <c r="I39" s="12"/>
      <c r="K39" s="249"/>
    </row>
    <row r="40" spans="1:11" ht="13">
      <c r="A40" s="2">
        <f t="shared" si="5"/>
        <v>27</v>
      </c>
      <c r="C40" s="37">
        <v>923</v>
      </c>
      <c r="D40" s="79">
        <f t="shared" si="4"/>
        <v>1772201.6799999997</v>
      </c>
      <c r="E40" s="267">
        <v>1772201.6799999997</v>
      </c>
      <c r="F40" s="59"/>
      <c r="G40" s="59">
        <v>0</v>
      </c>
      <c r="H40" s="59"/>
      <c r="I40" s="12"/>
      <c r="J40" s="3"/>
      <c r="K40" s="249"/>
    </row>
    <row r="41" spans="1:11" ht="13">
      <c r="A41" s="2">
        <f t="shared" si="5"/>
        <v>28</v>
      </c>
      <c r="C41" s="37">
        <v>924</v>
      </c>
      <c r="D41" s="79">
        <f t="shared" si="4"/>
        <v>0</v>
      </c>
      <c r="E41" s="267">
        <v>0</v>
      </c>
      <c r="F41" s="59"/>
      <c r="G41" s="59">
        <v>0</v>
      </c>
      <c r="H41" s="59"/>
      <c r="I41" s="12"/>
      <c r="K41" s="249"/>
    </row>
    <row r="42" spans="1:11" ht="13">
      <c r="A42" s="2">
        <f t="shared" si="5"/>
        <v>29</v>
      </c>
      <c r="C42" s="37">
        <v>925</v>
      </c>
      <c r="D42" s="79">
        <f t="shared" si="4"/>
        <v>399446647.53999996</v>
      </c>
      <c r="E42" s="267">
        <v>399446647.53999996</v>
      </c>
      <c r="F42" s="59"/>
      <c r="G42" s="59">
        <v>0</v>
      </c>
      <c r="H42" s="59"/>
      <c r="I42" s="246" t="s">
        <v>1637</v>
      </c>
      <c r="K42" s="249"/>
    </row>
    <row r="43" spans="1:11" ht="13">
      <c r="A43" s="2">
        <f t="shared" si="5"/>
        <v>30</v>
      </c>
      <c r="C43" s="37">
        <v>926</v>
      </c>
      <c r="D43" s="79">
        <f>SUM(E43:H43)</f>
        <v>7706810.6306500016</v>
      </c>
      <c r="E43" s="267">
        <v>7706810.6306500016</v>
      </c>
      <c r="F43" s="59"/>
      <c r="G43" s="59">
        <v>0</v>
      </c>
      <c r="H43" s="6">
        <f>E71</f>
        <v>0</v>
      </c>
      <c r="I43" s="246" t="s">
        <v>347</v>
      </c>
      <c r="K43" s="249"/>
    </row>
    <row r="44" spans="1:11" ht="13">
      <c r="A44" s="2">
        <f t="shared" si="5"/>
        <v>31</v>
      </c>
      <c r="C44" s="37">
        <v>927</v>
      </c>
      <c r="D44" s="79">
        <f>SUM(E44:H44)</f>
        <v>147313508</v>
      </c>
      <c r="E44" s="6">
        <v>0</v>
      </c>
      <c r="F44" s="6">
        <f>E13</f>
        <v>147313508</v>
      </c>
      <c r="G44" s="6">
        <v>0</v>
      </c>
      <c r="H44" s="6">
        <v>0</v>
      </c>
      <c r="I44" s="12" t="s">
        <v>348</v>
      </c>
      <c r="K44" s="249"/>
    </row>
    <row r="45" spans="1:11" ht="13">
      <c r="A45" s="2">
        <f t="shared" si="5"/>
        <v>32</v>
      </c>
      <c r="C45" s="37">
        <v>928</v>
      </c>
      <c r="D45" s="79">
        <f t="shared" si="4"/>
        <v>10299121.539999999</v>
      </c>
      <c r="E45" s="267">
        <v>10299121.539999999</v>
      </c>
      <c r="F45" s="59"/>
      <c r="G45" s="331">
        <v>0</v>
      </c>
      <c r="H45" s="59"/>
      <c r="I45" s="12"/>
      <c r="K45" s="6"/>
    </row>
    <row r="46" spans="1:11" ht="13">
      <c r="A46" s="2">
        <f t="shared" si="5"/>
        <v>33</v>
      </c>
      <c r="C46" s="37">
        <v>929</v>
      </c>
      <c r="D46" s="79">
        <f t="shared" si="4"/>
        <v>0</v>
      </c>
      <c r="E46" s="267">
        <v>0</v>
      </c>
      <c r="F46" s="59"/>
      <c r="G46" s="331">
        <v>0</v>
      </c>
      <c r="H46" s="59"/>
      <c r="I46" s="12"/>
      <c r="K46" s="6"/>
    </row>
    <row r="47" spans="1:11" ht="13">
      <c r="A47" s="2">
        <f t="shared" si="5"/>
        <v>34</v>
      </c>
      <c r="C47" s="37">
        <v>930.1</v>
      </c>
      <c r="D47" s="79">
        <f t="shared" si="4"/>
        <v>0</v>
      </c>
      <c r="E47" s="267">
        <v>0</v>
      </c>
      <c r="F47" s="59"/>
      <c r="G47" s="331">
        <v>0</v>
      </c>
      <c r="H47" s="59"/>
      <c r="I47" s="12"/>
      <c r="K47" s="6"/>
    </row>
    <row r="48" spans="1:11" ht="13">
      <c r="A48" s="2">
        <f t="shared" si="5"/>
        <v>35</v>
      </c>
      <c r="C48" s="37">
        <v>930.2</v>
      </c>
      <c r="D48" s="79">
        <f t="shared" si="4"/>
        <v>17490511.919999965</v>
      </c>
      <c r="E48" s="267">
        <v>17490511.919999965</v>
      </c>
      <c r="F48" s="59"/>
      <c r="G48" s="331">
        <v>0</v>
      </c>
      <c r="H48" s="59"/>
      <c r="I48" s="12"/>
      <c r="J48" s="249"/>
    </row>
    <row r="49" spans="1:10" ht="13">
      <c r="A49" s="2">
        <f t="shared" si="5"/>
        <v>36</v>
      </c>
      <c r="C49" s="37">
        <v>931</v>
      </c>
      <c r="D49" s="79">
        <f t="shared" si="4"/>
        <v>0</v>
      </c>
      <c r="E49" s="267">
        <v>0</v>
      </c>
      <c r="F49" s="59"/>
      <c r="G49" s="331">
        <v>0</v>
      </c>
      <c r="H49" s="59"/>
      <c r="I49" s="12"/>
      <c r="J49" s="6"/>
    </row>
    <row r="50" spans="1:10" ht="13">
      <c r="A50" s="2">
        <f t="shared" si="5"/>
        <v>37</v>
      </c>
      <c r="C50" s="37">
        <v>935</v>
      </c>
      <c r="D50" s="79">
        <f t="shared" si="4"/>
        <v>1048532.57</v>
      </c>
      <c r="E50" s="267">
        <v>1048532.57</v>
      </c>
      <c r="F50" s="59"/>
      <c r="G50" s="331">
        <v>0</v>
      </c>
      <c r="H50" s="59"/>
      <c r="I50" s="12"/>
    </row>
    <row r="51" spans="1:10" ht="13">
      <c r="A51" s="2"/>
      <c r="C51" s="37"/>
      <c r="D51" s="79"/>
      <c r="E51" s="79"/>
      <c r="F51" s="79"/>
      <c r="G51" s="79"/>
      <c r="H51" s="6"/>
      <c r="I51" s="12"/>
    </row>
    <row r="52" spans="1:10" ht="13">
      <c r="B52" s="1" t="s">
        <v>1638</v>
      </c>
    </row>
    <row r="53" spans="1:10" ht="13">
      <c r="B53" s="1"/>
      <c r="C53" s="247" t="s">
        <v>1639</v>
      </c>
      <c r="G53" s="2"/>
      <c r="H53" s="2"/>
    </row>
    <row r="54" spans="1:10" ht="13">
      <c r="B54" s="1"/>
      <c r="C54" s="319" t="s">
        <v>1640</v>
      </c>
      <c r="D54" s="319"/>
      <c r="E54" s="319"/>
      <c r="G54" s="2"/>
      <c r="H54" s="2"/>
    </row>
    <row r="55" spans="1:10" ht="13">
      <c r="B55" s="1"/>
      <c r="C55" s="39" t="s">
        <v>195</v>
      </c>
      <c r="D55" s="254" t="s">
        <v>1626</v>
      </c>
      <c r="G55" s="3" t="s">
        <v>79</v>
      </c>
      <c r="H55" s="3" t="s">
        <v>651</v>
      </c>
    </row>
    <row r="56" spans="1:10" ht="13">
      <c r="A56" s="2"/>
      <c r="B56" s="2" t="s">
        <v>515</v>
      </c>
      <c r="C56" s="689"/>
      <c r="F56" s="245" t="s">
        <v>1641</v>
      </c>
      <c r="G56" s="267">
        <v>172924175.12</v>
      </c>
      <c r="H56" s="246" t="s">
        <v>894</v>
      </c>
    </row>
    <row r="57" spans="1:10" ht="13">
      <c r="A57" s="2"/>
      <c r="B57" s="2" t="s">
        <v>518</v>
      </c>
      <c r="C57" s="247"/>
      <c r="F57" s="245" t="s">
        <v>1642</v>
      </c>
      <c r="G57" s="53">
        <f>E61</f>
        <v>-129449.24718176201</v>
      </c>
      <c r="H57" s="246" t="str">
        <f>"Note 2, "&amp;B61&amp;""</f>
        <v>Note 2, d</v>
      </c>
    </row>
    <row r="58" spans="1:10" ht="13">
      <c r="A58" s="2"/>
      <c r="B58" s="2" t="s">
        <v>521</v>
      </c>
      <c r="F58" s="245" t="s">
        <v>1643</v>
      </c>
      <c r="G58" s="6">
        <f>G56-G57</f>
        <v>173053624.36718178</v>
      </c>
    </row>
    <row r="59" spans="1:10" ht="13">
      <c r="A59" s="2"/>
      <c r="C59" s="319" t="s">
        <v>1644</v>
      </c>
      <c r="D59" s="319"/>
      <c r="E59" s="319"/>
      <c r="G59" s="6"/>
    </row>
    <row r="60" spans="1:10" ht="13">
      <c r="A60" s="2"/>
      <c r="D60" s="30" t="s">
        <v>1645</v>
      </c>
      <c r="E60" s="3" t="s">
        <v>79</v>
      </c>
      <c r="F60" s="3" t="s">
        <v>651</v>
      </c>
      <c r="G60" s="6"/>
    </row>
    <row r="61" spans="1:10" ht="13">
      <c r="A61" s="2"/>
      <c r="B61" s="2" t="s">
        <v>523</v>
      </c>
      <c r="D61" t="s">
        <v>1646</v>
      </c>
      <c r="E61" s="331">
        <v>-129449.24718176201</v>
      </c>
      <c r="F61" s="246" t="s">
        <v>1647</v>
      </c>
      <c r="G61" s="6"/>
    </row>
    <row r="62" spans="1:10" ht="13">
      <c r="A62" s="2"/>
      <c r="B62" s="2" t="s">
        <v>527</v>
      </c>
      <c r="D62" s="247" t="s">
        <v>415</v>
      </c>
      <c r="E62" s="331">
        <v>-51984.65557916835</v>
      </c>
      <c r="F62" s="246" t="s">
        <v>1647</v>
      </c>
      <c r="G62" s="6"/>
      <c r="I62" s="322"/>
    </row>
    <row r="63" spans="1:10" ht="13">
      <c r="A63" s="2"/>
      <c r="B63" s="2" t="s">
        <v>530</v>
      </c>
      <c r="D63" s="247" t="s">
        <v>1648</v>
      </c>
      <c r="E63" s="808">
        <v>-179230.13223908097</v>
      </c>
      <c r="F63" s="246" t="s">
        <v>1647</v>
      </c>
      <c r="G63" s="6"/>
      <c r="I63" s="6"/>
    </row>
    <row r="64" spans="1:10" ht="13">
      <c r="A64" s="2"/>
      <c r="B64" s="2" t="s">
        <v>533</v>
      </c>
      <c r="D64" s="245" t="s">
        <v>409</v>
      </c>
      <c r="E64" s="6">
        <f>SUM(E61:E63)</f>
        <v>-360664.03500001132</v>
      </c>
      <c r="F64" s="246" t="str">
        <f>"Sum of "&amp;B61&amp;" to "&amp;B63&amp;""</f>
        <v>Sum of d to f</v>
      </c>
      <c r="G64" s="6"/>
    </row>
    <row r="66" spans="1:8" ht="13">
      <c r="B66" s="1" t="s">
        <v>1649</v>
      </c>
    </row>
    <row r="67" spans="1:8" ht="13">
      <c r="E67" s="3" t="s">
        <v>79</v>
      </c>
      <c r="F67" s="30" t="s">
        <v>407</v>
      </c>
    </row>
    <row r="68" spans="1:8" ht="13">
      <c r="A68" s="2"/>
      <c r="B68" s="2" t="s">
        <v>515</v>
      </c>
      <c r="D68" s="245" t="s">
        <v>1650</v>
      </c>
      <c r="E68" s="275">
        <v>0</v>
      </c>
      <c r="F68" s="246" t="s">
        <v>1651</v>
      </c>
    </row>
    <row r="69" spans="1:8" ht="13">
      <c r="A69" s="2"/>
      <c r="B69" s="2" t="s">
        <v>518</v>
      </c>
      <c r="D69" s="245" t="s">
        <v>1652</v>
      </c>
      <c r="E69" s="277">
        <v>0</v>
      </c>
      <c r="F69" s="246" t="s">
        <v>1653</v>
      </c>
    </row>
    <row r="70" spans="1:8" ht="13">
      <c r="A70" s="2"/>
      <c r="B70" s="2" t="s">
        <v>521</v>
      </c>
      <c r="D70" s="245" t="s">
        <v>1654</v>
      </c>
      <c r="E70" s="61">
        <v>0</v>
      </c>
      <c r="F70" s="246" t="s">
        <v>894</v>
      </c>
    </row>
    <row r="71" spans="1:8" ht="13">
      <c r="A71" s="2"/>
      <c r="B71" s="2" t="s">
        <v>523</v>
      </c>
      <c r="D71" s="245" t="s">
        <v>1655</v>
      </c>
      <c r="E71" s="6">
        <f>E70-E69</f>
        <v>0</v>
      </c>
      <c r="F71" s="246" t="str">
        <f>""&amp;B70&amp;" - "&amp;B69&amp;""</f>
        <v>c - b</v>
      </c>
    </row>
    <row r="72" spans="1:8" ht="13">
      <c r="A72" s="2"/>
      <c r="B72" s="1" t="s">
        <v>1656</v>
      </c>
      <c r="D72" s="245"/>
      <c r="E72" s="6"/>
      <c r="F72" s="246"/>
    </row>
    <row r="73" spans="1:8" ht="13">
      <c r="A73" s="2"/>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245"/>
      <c r="E73" s="6"/>
      <c r="F73" s="246"/>
    </row>
    <row r="74" spans="1:8" ht="13">
      <c r="A74" s="2"/>
      <c r="B74" s="1"/>
      <c r="C74" s="247" t="s">
        <v>1657</v>
      </c>
      <c r="D74" s="245"/>
      <c r="E74" s="6"/>
      <c r="F74" s="246"/>
    </row>
    <row r="75" spans="1:8" ht="13">
      <c r="A75" s="2"/>
      <c r="B75" s="1" t="s">
        <v>1658</v>
      </c>
      <c r="C75" s="247"/>
      <c r="D75" s="245"/>
      <c r="E75" s="249"/>
      <c r="F75" s="246"/>
      <c r="G75" s="247"/>
      <c r="H75" s="247"/>
    </row>
    <row r="76" spans="1:8" ht="13">
      <c r="A76" s="2"/>
      <c r="B76" s="1"/>
      <c r="C76" s="247" t="s">
        <v>1659</v>
      </c>
      <c r="D76" s="245"/>
      <c r="E76" s="249"/>
      <c r="F76" s="246"/>
      <c r="G76" s="247"/>
      <c r="H76" s="247"/>
    </row>
    <row r="77" spans="1:8" ht="13">
      <c r="A77" s="2"/>
      <c r="B77" s="1"/>
      <c r="C77" s="247" t="s">
        <v>1660</v>
      </c>
      <c r="D77" s="245"/>
      <c r="E77" s="249"/>
      <c r="F77" s="246"/>
      <c r="G77" s="247"/>
      <c r="H77" s="247"/>
    </row>
    <row r="78" spans="1:8">
      <c r="B78" s="247"/>
      <c r="C78" s="247" t="s">
        <v>1661</v>
      </c>
      <c r="D78" s="247"/>
      <c r="E78" s="247"/>
      <c r="F78" s="247"/>
      <c r="G78" s="247"/>
      <c r="H78" s="247"/>
    </row>
    <row r="79" spans="1:8" ht="13">
      <c r="B79" s="1" t="s">
        <v>433</v>
      </c>
    </row>
    <row r="80" spans="1:8">
      <c r="C80" s="247" t="str">
        <f>"1) Enter amounts of A&amp;G expenses from FERC Form 1 in Lines "&amp;A6&amp;" to "&amp;A19&amp;"."</f>
        <v>1) Enter amounts of A&amp;G expenses from FERC Form 1 in Lines 1 to 14.</v>
      </c>
    </row>
    <row r="81" spans="3:7">
      <c r="C81" s="247" t="s">
        <v>1662</v>
      </c>
      <c r="G81" t="str">
        <f>"Column 3, Line "&amp;A37&amp;""</f>
        <v>Column 3, Line 24</v>
      </c>
    </row>
    <row r="82" spans="3:7">
      <c r="C82" s="246" t="str">
        <f>"is calculated in Note 2.  The PBOPs exclusion in Column 4, Line "&amp;A43&amp;" is calculated in Note 3."</f>
        <v>is calculated in Note 2.  The PBOPs exclusion in Column 4, Line 30 is calculated in Note 3.</v>
      </c>
      <c r="G82" s="247"/>
    </row>
    <row r="83" spans="3:7">
      <c r="C83" s="246" t="s">
        <v>1663</v>
      </c>
    </row>
    <row r="84" spans="3:7">
      <c r="C84" s="246" t="s">
        <v>1664</v>
      </c>
      <c r="D84" s="245"/>
      <c r="E84" s="6"/>
      <c r="F84" s="246"/>
    </row>
    <row r="85" spans="3:7">
      <c r="C85" s="246" t="s">
        <v>1665</v>
      </c>
      <c r="D85" s="245"/>
      <c r="E85" s="6"/>
      <c r="F85" s="246"/>
    </row>
    <row r="86" spans="3:7">
      <c r="C86" s="246" t="s">
        <v>1666</v>
      </c>
    </row>
    <row r="87" spans="3:7">
      <c r="C87" s="246" t="s">
        <v>1667</v>
      </c>
    </row>
    <row r="88" spans="3:7">
      <c r="C88" s="246" t="s">
        <v>1668</v>
      </c>
    </row>
    <row r="89" spans="3:7">
      <c r="C89" s="246" t="s">
        <v>1669</v>
      </c>
    </row>
    <row r="90" spans="3:7">
      <c r="C90" s="246" t="s">
        <v>1670</v>
      </c>
    </row>
    <row r="91" spans="3:7">
      <c r="C91" s="246" t="s">
        <v>1671</v>
      </c>
      <c r="D91" s="247"/>
      <c r="E91" s="511"/>
      <c r="F91" s="511"/>
      <c r="G91" s="511"/>
    </row>
    <row r="92" spans="3:7">
      <c r="C92" s="261" t="s">
        <v>1672</v>
      </c>
      <c r="D92" s="247"/>
      <c r="E92" s="511"/>
      <c r="F92" s="511"/>
      <c r="G92" s="511"/>
    </row>
    <row r="93" spans="3:7">
      <c r="C93" s="261" t="s">
        <v>1673</v>
      </c>
      <c r="D93" s="247"/>
      <c r="E93" s="511"/>
      <c r="F93" s="511"/>
      <c r="G93" s="511"/>
    </row>
    <row r="94" spans="3:7">
      <c r="C94" s="261" t="s">
        <v>1674</v>
      </c>
      <c r="D94" s="247"/>
      <c r="E94" s="511"/>
      <c r="F94" s="511"/>
      <c r="G94" s="511"/>
    </row>
    <row r="95" spans="3:7">
      <c r="C95" s="246" t="s">
        <v>1675</v>
      </c>
      <c r="D95" s="247"/>
      <c r="E95" s="511"/>
      <c r="F95" s="511"/>
      <c r="G95" s="511"/>
    </row>
    <row r="96" spans="3:7">
      <c r="C96" s="261" t="s">
        <v>1676</v>
      </c>
      <c r="D96" s="247"/>
      <c r="E96" s="511"/>
      <c r="F96" s="511"/>
      <c r="G96" s="511"/>
    </row>
    <row r="97" spans="3:10">
      <c r="C97" s="261" t="s">
        <v>1677</v>
      </c>
      <c r="D97" s="247"/>
      <c r="E97" s="511"/>
      <c r="F97" s="511"/>
      <c r="G97" s="511"/>
    </row>
    <row r="98" spans="3:10">
      <c r="C98" s="261" t="s">
        <v>1678</v>
      </c>
      <c r="D98" s="247"/>
      <c r="E98" s="511"/>
      <c r="F98" s="511"/>
      <c r="G98" s="511"/>
    </row>
    <row r="99" spans="3:10">
      <c r="C99" s="261" t="s">
        <v>1679</v>
      </c>
      <c r="D99" s="247"/>
      <c r="E99" s="511"/>
      <c r="F99" s="511"/>
      <c r="G99" s="511"/>
    </row>
    <row r="100" spans="3:10" ht="13">
      <c r="C100" s="345" t="s">
        <v>1680</v>
      </c>
      <c r="D100" s="319"/>
      <c r="E100" s="319"/>
      <c r="F100" s="319"/>
      <c r="G100" s="319"/>
      <c r="H100" s="319"/>
      <c r="I100" s="319"/>
      <c r="J100" s="319"/>
    </row>
    <row r="101" spans="3:10">
      <c r="C101" s="247" t="s">
        <v>1681</v>
      </c>
    </row>
    <row r="102" spans="3:10">
      <c r="C102" s="345" t="s">
        <v>1682</v>
      </c>
      <c r="D102" s="319"/>
      <c r="E102" s="319"/>
      <c r="F102" s="319"/>
      <c r="G102" s="319"/>
      <c r="H102" s="319"/>
      <c r="I102" s="319"/>
    </row>
    <row r="103" spans="3:10">
      <c r="C103" s="247" t="str">
        <f>"4) Determine the PBOPs exclusion.  The authorized amount of PBOPs expense (line "&amp;B68&amp;") may only be revised"</f>
        <v>4) Determine the PBOPs exclusion.  The authorized amount of PBOPs expense (line a) may only be revised</v>
      </c>
    </row>
    <row r="104" spans="3:10">
      <c r="C104" s="247" t="s">
        <v>1683</v>
      </c>
    </row>
    <row r="105" spans="3:10">
      <c r="C105" s="247" t="s">
        <v>1684</v>
      </c>
    </row>
    <row r="106" spans="3:10">
      <c r="C106" s="247" t="s">
        <v>1685</v>
      </c>
      <c r="I106" s="254" t="s">
        <v>3011</v>
      </c>
      <c r="J106" s="254"/>
    </row>
    <row r="107" spans="3:10">
      <c r="C107" s="247" t="s">
        <v>1686</v>
      </c>
    </row>
    <row r="108" spans="3:10">
      <c r="C108" t="s">
        <v>1687</v>
      </c>
    </row>
    <row r="109" spans="3:10">
      <c r="C109" t="s">
        <v>1688</v>
      </c>
    </row>
    <row r="110" spans="3:10">
      <c r="C110" t="s">
        <v>1689</v>
      </c>
    </row>
    <row r="111" spans="3:10">
      <c r="C111" t="s">
        <v>1690</v>
      </c>
    </row>
    <row r="112" spans="3:10">
      <c r="C112" t="s">
        <v>1691</v>
      </c>
    </row>
    <row r="113" spans="3:3">
      <c r="C113" s="695"/>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&amp;RTO2024 Annual Update 
Attachment 1</oddHeader>
    <oddFooter>&amp;R&amp;A</oddFooter>
  </headerFooter>
  <rowBreaks count="2" manualBreakCount="2">
    <brk id="51" max="10" man="1"/>
    <brk id="7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300"/>
  <sheetViews>
    <sheetView zoomScaleNormal="100" zoomScalePageLayoutView="90" workbookViewId="0">
      <selection activeCell="A3" sqref="A3"/>
    </sheetView>
  </sheetViews>
  <sheetFormatPr defaultRowHeight="12.5"/>
  <cols>
    <col min="1" max="1" width="7" style="11" customWidth="1"/>
    <col min="2" max="2" width="8.54296875" style="11" customWidth="1"/>
    <col min="3" max="3" width="9.54296875" style="11" customWidth="1"/>
    <col min="4" max="4" width="51.54296875" style="11" customWidth="1"/>
    <col min="5" max="6" width="16.453125" style="185" customWidth="1"/>
    <col min="7" max="7" width="18.453125" style="185" bestFit="1" customWidth="1"/>
    <col min="8" max="8" width="15.54296875" style="50" bestFit="1" customWidth="1"/>
    <col min="9" max="9" width="16.54296875" style="50" bestFit="1" customWidth="1"/>
    <col min="10" max="10" width="15.54296875" style="185" customWidth="1"/>
    <col min="11" max="11" width="6.54296875" style="165" customWidth="1"/>
    <col min="12" max="12" width="16.453125" style="159" customWidth="1"/>
    <col min="13" max="13" width="17.453125" style="50" bestFit="1" customWidth="1"/>
    <col min="14" max="14" width="18.453125" style="185" bestFit="1" customWidth="1"/>
    <col min="15" max="15" width="8.54296875" style="50" customWidth="1"/>
  </cols>
  <sheetData>
    <row r="1" spans="1:15" ht="13">
      <c r="A1" s="176"/>
      <c r="B1" s="110" t="s">
        <v>1486</v>
      </c>
      <c r="C1" s="110" t="s">
        <v>1490</v>
      </c>
      <c r="D1" s="110" t="s">
        <v>1496</v>
      </c>
      <c r="E1" s="110" t="s">
        <v>1501</v>
      </c>
      <c r="F1" s="110" t="s">
        <v>1509</v>
      </c>
      <c r="G1" s="110" t="s">
        <v>1499</v>
      </c>
      <c r="H1" s="110" t="s">
        <v>1692</v>
      </c>
      <c r="I1" s="110" t="s">
        <v>1693</v>
      </c>
      <c r="J1" s="110" t="s">
        <v>1694</v>
      </c>
      <c r="K1" s="110" t="s">
        <v>1695</v>
      </c>
      <c r="L1" s="110" t="s">
        <v>1696</v>
      </c>
      <c r="M1" s="110" t="s">
        <v>1697</v>
      </c>
      <c r="N1" s="110" t="s">
        <v>1698</v>
      </c>
      <c r="O1" s="110" t="s">
        <v>1699</v>
      </c>
    </row>
    <row r="2" spans="1:15">
      <c r="A2" s="937"/>
      <c r="B2" s="938"/>
      <c r="C2" s="938"/>
      <c r="D2" s="938"/>
      <c r="E2" s="939"/>
      <c r="F2" s="939"/>
      <c r="G2" s="1142" t="s">
        <v>1700</v>
      </c>
      <c r="H2" s="1120"/>
      <c r="I2" s="1121"/>
      <c r="J2" s="1142" t="s">
        <v>1701</v>
      </c>
      <c r="K2" s="1120"/>
      <c r="L2" s="1120"/>
      <c r="M2" s="1121"/>
      <c r="N2" s="940" t="s">
        <v>1702</v>
      </c>
      <c r="O2" s="937"/>
    </row>
    <row r="3" spans="1:15" ht="26.25" customHeight="1">
      <c r="A3" s="111" t="s">
        <v>273</v>
      </c>
      <c r="B3" s="112" t="s">
        <v>1703</v>
      </c>
      <c r="C3" s="112" t="s">
        <v>1704</v>
      </c>
      <c r="D3" s="112" t="s">
        <v>1705</v>
      </c>
      <c r="E3" s="153" t="s">
        <v>1706</v>
      </c>
      <c r="F3" s="154" t="s">
        <v>1707</v>
      </c>
      <c r="G3" s="154" t="s">
        <v>249</v>
      </c>
      <c r="H3" s="111" t="s">
        <v>1544</v>
      </c>
      <c r="I3" s="111" t="s">
        <v>1708</v>
      </c>
      <c r="J3" s="153" t="s">
        <v>249</v>
      </c>
      <c r="K3" s="164" t="s">
        <v>1709</v>
      </c>
      <c r="L3" s="155" t="s">
        <v>1710</v>
      </c>
      <c r="M3" s="111" t="s">
        <v>1157</v>
      </c>
      <c r="N3" s="153" t="s">
        <v>249</v>
      </c>
      <c r="O3" s="111" t="s">
        <v>100</v>
      </c>
    </row>
    <row r="4" spans="1:15">
      <c r="A4" s="515" t="s">
        <v>1711</v>
      </c>
      <c r="B4" s="637">
        <v>450</v>
      </c>
      <c r="C4" s="637" t="s">
        <v>1712</v>
      </c>
      <c r="D4" s="514" t="s">
        <v>1713</v>
      </c>
      <c r="E4" s="549">
        <v>7350071.75</v>
      </c>
      <c r="F4" s="575" t="s">
        <v>1700</v>
      </c>
      <c r="G4" s="941">
        <f>IF(F4=$G$2,E4,0)</f>
        <v>7350071.75</v>
      </c>
      <c r="H4" s="295">
        <v>0</v>
      </c>
      <c r="I4" s="512">
        <f>G4-H4</f>
        <v>7350071.75</v>
      </c>
      <c r="J4" s="941">
        <f>IF(F4=$J$2,E4,0)</f>
        <v>0</v>
      </c>
      <c r="K4" s="942"/>
      <c r="L4" s="575"/>
      <c r="M4" s="512">
        <f>J4-L4</f>
        <v>0</v>
      </c>
      <c r="N4" s="941">
        <f>IF(F4=$N$2,E4,0)</f>
        <v>0</v>
      </c>
      <c r="O4" s="295">
        <v>1</v>
      </c>
    </row>
    <row r="5" spans="1:15">
      <c r="A5" s="515" t="s">
        <v>1714</v>
      </c>
      <c r="B5" s="637">
        <v>450</v>
      </c>
      <c r="C5" s="514" t="s">
        <v>1715</v>
      </c>
      <c r="D5" s="514" t="s">
        <v>1716</v>
      </c>
      <c r="E5" s="549">
        <v>9813784.3800000008</v>
      </c>
      <c r="F5" s="575" t="s">
        <v>1700</v>
      </c>
      <c r="G5" s="941">
        <f>IF(F5=$G$2,E5,0)</f>
        <v>9813784.3800000008</v>
      </c>
      <c r="H5" s="295">
        <v>0</v>
      </c>
      <c r="I5" s="512">
        <f>G5-H5</f>
        <v>9813784.3800000008</v>
      </c>
      <c r="J5" s="941">
        <f>IF(F5=$J$2,E5,0)</f>
        <v>0</v>
      </c>
      <c r="K5" s="942"/>
      <c r="L5" s="575"/>
      <c r="M5" s="512">
        <f>J5-L5</f>
        <v>0</v>
      </c>
      <c r="N5" s="941">
        <f>IF(F5=$N$2,E5,0)</f>
        <v>0</v>
      </c>
      <c r="O5" s="295">
        <v>1</v>
      </c>
    </row>
    <row r="6" spans="1:15">
      <c r="A6" s="603"/>
      <c r="B6" s="843"/>
      <c r="C6" s="845"/>
      <c r="D6" s="604"/>
      <c r="E6" s="943"/>
      <c r="F6" s="943"/>
      <c r="G6" s="575"/>
      <c r="H6" s="605"/>
      <c r="I6" s="407"/>
      <c r="J6" s="575"/>
      <c r="K6" s="944"/>
      <c r="L6" s="575"/>
      <c r="M6" s="407"/>
      <c r="N6" s="575"/>
      <c r="O6" s="605"/>
    </row>
    <row r="7" spans="1:15">
      <c r="A7" s="603"/>
      <c r="B7" s="843"/>
      <c r="C7" s="845"/>
      <c r="D7" s="604"/>
      <c r="E7" s="943"/>
      <c r="F7" s="943"/>
      <c r="G7" s="575"/>
      <c r="H7" s="605"/>
      <c r="I7" s="407"/>
      <c r="J7" s="575"/>
      <c r="K7" s="944"/>
      <c r="L7" s="575"/>
      <c r="M7" s="407"/>
      <c r="N7" s="575"/>
      <c r="O7" s="605"/>
    </row>
    <row r="8" spans="1:15" ht="13">
      <c r="A8" s="515">
        <v>2</v>
      </c>
      <c r="B8" s="1119" t="s">
        <v>1717</v>
      </c>
      <c r="C8" s="1120"/>
      <c r="D8" s="1121"/>
      <c r="E8" s="162">
        <f>SUM(E4:E7)</f>
        <v>17163856.130000003</v>
      </c>
      <c r="F8" s="169"/>
      <c r="G8" s="162">
        <f>SUM(G4:G7)</f>
        <v>17163856.130000003</v>
      </c>
      <c r="H8" s="110">
        <f>SUM(H4:H7)</f>
        <v>0</v>
      </c>
      <c r="I8" s="162">
        <f>SUM(I4:I7)</f>
        <v>17163856.130000003</v>
      </c>
      <c r="J8" s="162">
        <f>SUM(J4:J7)</f>
        <v>0</v>
      </c>
      <c r="K8" s="169"/>
      <c r="L8" s="162">
        <f>SUM(L4:L7)</f>
        <v>0</v>
      </c>
      <c r="M8" s="162">
        <f>SUM(M4:M7)</f>
        <v>0</v>
      </c>
      <c r="N8" s="162">
        <f>SUM(N4:N7)</f>
        <v>0</v>
      </c>
      <c r="O8" s="295"/>
    </row>
    <row r="9" spans="1:15" ht="12.75" customHeight="1">
      <c r="A9" s="515">
        <v>3</v>
      </c>
      <c r="B9" s="1143" t="s">
        <v>1718</v>
      </c>
      <c r="C9" s="1144"/>
      <c r="D9" s="1145"/>
      <c r="E9" s="602">
        <v>17163856</v>
      </c>
      <c r="F9" s="161"/>
      <c r="G9" s="158"/>
      <c r="H9" s="161"/>
      <c r="I9" s="161"/>
      <c r="J9" s="158"/>
      <c r="K9" s="161"/>
      <c r="L9" s="158"/>
      <c r="M9" s="158"/>
      <c r="N9" s="158"/>
      <c r="O9" s="2"/>
    </row>
    <row r="10" spans="1:15" ht="13">
      <c r="A10" s="4"/>
      <c r="B10" s="1"/>
      <c r="C10" s="113"/>
      <c r="D10" s="113"/>
      <c r="E10" s="158"/>
      <c r="F10" s="158"/>
      <c r="G10" s="158"/>
      <c r="H10" s="161"/>
      <c r="I10" s="161"/>
      <c r="J10" s="158"/>
      <c r="K10" s="161"/>
      <c r="L10" s="158"/>
      <c r="M10" s="158"/>
      <c r="N10" s="158"/>
      <c r="O10" s="2"/>
    </row>
    <row r="11" spans="1:15">
      <c r="A11" s="515" t="s">
        <v>1051</v>
      </c>
      <c r="B11" s="637">
        <v>451</v>
      </c>
      <c r="C11" s="514" t="s">
        <v>1719</v>
      </c>
      <c r="D11" s="514" t="s">
        <v>1720</v>
      </c>
      <c r="E11" s="549">
        <v>61532.63</v>
      </c>
      <c r="F11" s="575" t="s">
        <v>1700</v>
      </c>
      <c r="G11" s="816">
        <f t="shared" ref="G11:G20" si="0">IF(F11=$G$2,E11,0)</f>
        <v>61532.63</v>
      </c>
      <c r="H11" s="817">
        <v>0</v>
      </c>
      <c r="I11" s="817">
        <f>G11-H11</f>
        <v>61532.63</v>
      </c>
      <c r="J11" s="816">
        <f t="shared" ref="J11:J20" si="1">IF(F11=$J$2,E11,0)</f>
        <v>0</v>
      </c>
      <c r="K11" s="816"/>
      <c r="L11" s="811"/>
      <c r="M11" s="817">
        <f t="shared" ref="M11:M17" si="2">J11-L11</f>
        <v>0</v>
      </c>
      <c r="N11" s="816">
        <f t="shared" ref="N11:N18" si="3">IF(F11=$N$2,E11,0)</f>
        <v>0</v>
      </c>
      <c r="O11" s="817">
        <v>1</v>
      </c>
    </row>
    <row r="12" spans="1:15">
      <c r="A12" s="515" t="s">
        <v>1721</v>
      </c>
      <c r="B12" s="637">
        <v>451</v>
      </c>
      <c r="C12" s="514" t="s">
        <v>1722</v>
      </c>
      <c r="D12" s="514" t="s">
        <v>1723</v>
      </c>
      <c r="E12" s="549">
        <v>586067.67000000004</v>
      </c>
      <c r="F12" s="575" t="s">
        <v>1700</v>
      </c>
      <c r="G12" s="816">
        <f>IF(F12=$G$2,E12,0)</f>
        <v>586067.67000000004</v>
      </c>
      <c r="H12" s="817">
        <v>0</v>
      </c>
      <c r="I12" s="817">
        <f t="shared" ref="I12:I20" si="4">G12-H12</f>
        <v>586067.67000000004</v>
      </c>
      <c r="J12" s="816">
        <f t="shared" si="1"/>
        <v>0</v>
      </c>
      <c r="K12" s="816"/>
      <c r="L12" s="811"/>
      <c r="M12" s="817">
        <f t="shared" si="2"/>
        <v>0</v>
      </c>
      <c r="N12" s="816">
        <f t="shared" si="3"/>
        <v>0</v>
      </c>
      <c r="O12" s="817">
        <v>1</v>
      </c>
    </row>
    <row r="13" spans="1:15">
      <c r="A13" s="515" t="s">
        <v>1724</v>
      </c>
      <c r="B13" s="637">
        <v>451</v>
      </c>
      <c r="C13" s="514" t="s">
        <v>1725</v>
      </c>
      <c r="D13" s="514" t="s">
        <v>1726</v>
      </c>
      <c r="E13" s="549"/>
      <c r="F13" s="575" t="s">
        <v>1700</v>
      </c>
      <c r="G13" s="816">
        <f t="shared" si="0"/>
        <v>0</v>
      </c>
      <c r="H13" s="817">
        <v>0</v>
      </c>
      <c r="I13" s="817">
        <f t="shared" si="4"/>
        <v>0</v>
      </c>
      <c r="J13" s="816">
        <f t="shared" si="1"/>
        <v>0</v>
      </c>
      <c r="K13" s="816"/>
      <c r="L13" s="811"/>
      <c r="M13" s="817">
        <f t="shared" si="2"/>
        <v>0</v>
      </c>
      <c r="N13" s="816">
        <f t="shared" si="3"/>
        <v>0</v>
      </c>
      <c r="O13" s="817">
        <v>1</v>
      </c>
    </row>
    <row r="14" spans="1:15">
      <c r="A14" s="515" t="s">
        <v>1727</v>
      </c>
      <c r="B14" s="637">
        <v>451</v>
      </c>
      <c r="C14" s="514" t="s">
        <v>1728</v>
      </c>
      <c r="D14" s="514" t="s">
        <v>1729</v>
      </c>
      <c r="E14" s="549">
        <v>1208538.56</v>
      </c>
      <c r="F14" s="575" t="s">
        <v>1700</v>
      </c>
      <c r="G14" s="816">
        <f t="shared" si="0"/>
        <v>1208538.56</v>
      </c>
      <c r="H14" s="817">
        <v>0</v>
      </c>
      <c r="I14" s="817">
        <f t="shared" si="4"/>
        <v>1208538.56</v>
      </c>
      <c r="J14" s="816">
        <f t="shared" si="1"/>
        <v>0</v>
      </c>
      <c r="K14" s="816"/>
      <c r="L14" s="811"/>
      <c r="M14" s="817">
        <f t="shared" si="2"/>
        <v>0</v>
      </c>
      <c r="N14" s="816">
        <f t="shared" si="3"/>
        <v>0</v>
      </c>
      <c r="O14" s="817">
        <v>1</v>
      </c>
    </row>
    <row r="15" spans="1:15">
      <c r="A15" s="515" t="s">
        <v>1730</v>
      </c>
      <c r="B15" s="637">
        <v>451</v>
      </c>
      <c r="C15" s="514" t="s">
        <v>1731</v>
      </c>
      <c r="D15" s="514" t="s">
        <v>1732</v>
      </c>
      <c r="E15" s="549"/>
      <c r="F15" s="575" t="s">
        <v>1700</v>
      </c>
      <c r="G15" s="816">
        <f t="shared" si="0"/>
        <v>0</v>
      </c>
      <c r="H15" s="817">
        <v>0</v>
      </c>
      <c r="I15" s="817">
        <f t="shared" si="4"/>
        <v>0</v>
      </c>
      <c r="J15" s="816">
        <f t="shared" si="1"/>
        <v>0</v>
      </c>
      <c r="K15" s="816"/>
      <c r="L15" s="811"/>
      <c r="M15" s="817">
        <f t="shared" si="2"/>
        <v>0</v>
      </c>
      <c r="N15" s="816">
        <f t="shared" si="3"/>
        <v>0</v>
      </c>
      <c r="O15" s="817">
        <v>1</v>
      </c>
    </row>
    <row r="16" spans="1:15">
      <c r="A16" s="515" t="s">
        <v>1733</v>
      </c>
      <c r="B16" s="637">
        <v>451</v>
      </c>
      <c r="C16" s="514" t="s">
        <v>1734</v>
      </c>
      <c r="D16" s="514" t="s">
        <v>1735</v>
      </c>
      <c r="E16" s="810"/>
      <c r="F16" s="575" t="s">
        <v>1700</v>
      </c>
      <c r="G16" s="816">
        <f t="shared" si="0"/>
        <v>0</v>
      </c>
      <c r="H16" s="817">
        <v>0</v>
      </c>
      <c r="I16" s="817">
        <f t="shared" si="4"/>
        <v>0</v>
      </c>
      <c r="J16" s="816">
        <f t="shared" si="1"/>
        <v>0</v>
      </c>
      <c r="K16" s="816"/>
      <c r="L16" s="811"/>
      <c r="M16" s="817">
        <f t="shared" si="2"/>
        <v>0</v>
      </c>
      <c r="N16" s="816">
        <f t="shared" si="3"/>
        <v>0</v>
      </c>
      <c r="O16" s="817">
        <v>1</v>
      </c>
    </row>
    <row r="17" spans="1:15">
      <c r="A17" s="515" t="s">
        <v>1736</v>
      </c>
      <c r="B17" s="637">
        <v>451</v>
      </c>
      <c r="C17" s="514" t="s">
        <v>1737</v>
      </c>
      <c r="D17" s="514" t="s">
        <v>1738</v>
      </c>
      <c r="E17" s="549"/>
      <c r="F17" s="575" t="s">
        <v>1700</v>
      </c>
      <c r="G17" s="816">
        <f t="shared" si="0"/>
        <v>0</v>
      </c>
      <c r="H17" s="817">
        <v>0</v>
      </c>
      <c r="I17" s="817">
        <f t="shared" si="4"/>
        <v>0</v>
      </c>
      <c r="J17" s="816">
        <f t="shared" si="1"/>
        <v>0</v>
      </c>
      <c r="K17" s="816"/>
      <c r="L17" s="811"/>
      <c r="M17" s="817">
        <f t="shared" si="2"/>
        <v>0</v>
      </c>
      <c r="N17" s="816">
        <f t="shared" si="3"/>
        <v>0</v>
      </c>
      <c r="O17" s="817">
        <v>1</v>
      </c>
    </row>
    <row r="18" spans="1:15">
      <c r="A18" s="515" t="s">
        <v>1739</v>
      </c>
      <c r="B18" s="637">
        <v>451</v>
      </c>
      <c r="C18" s="514" t="s">
        <v>1740</v>
      </c>
      <c r="D18" s="514" t="s">
        <v>1741</v>
      </c>
      <c r="E18" s="810"/>
      <c r="F18" s="575" t="s">
        <v>1701</v>
      </c>
      <c r="G18" s="816">
        <f t="shared" si="0"/>
        <v>0</v>
      </c>
      <c r="H18" s="817">
        <v>0</v>
      </c>
      <c r="I18" s="817">
        <f t="shared" si="4"/>
        <v>0</v>
      </c>
      <c r="J18" s="816">
        <f>IF(F18=$J$2,E18,0)</f>
        <v>0</v>
      </c>
      <c r="K18" s="945" t="s">
        <v>1742</v>
      </c>
      <c r="L18" s="811"/>
      <c r="M18" s="817">
        <f t="shared" ref="M18:M26" si="5">J18-L18</f>
        <v>0</v>
      </c>
      <c r="N18" s="816">
        <f t="shared" si="3"/>
        <v>0</v>
      </c>
      <c r="O18" s="817">
        <v>2</v>
      </c>
    </row>
    <row r="19" spans="1:15">
      <c r="A19" s="515" t="s">
        <v>1743</v>
      </c>
      <c r="B19" s="637">
        <v>451</v>
      </c>
      <c r="C19" s="514" t="s">
        <v>1744</v>
      </c>
      <c r="D19" s="514" t="s">
        <v>1745</v>
      </c>
      <c r="E19" s="549">
        <v>1195396.77</v>
      </c>
      <c r="F19" s="575" t="s">
        <v>1702</v>
      </c>
      <c r="G19" s="816">
        <f>IF(F19=$G$2,E19,0)</f>
        <v>0</v>
      </c>
      <c r="H19" s="817">
        <v>0</v>
      </c>
      <c r="I19" s="817">
        <f t="shared" si="4"/>
        <v>0</v>
      </c>
      <c r="J19" s="816">
        <f>IF(F19=$J$2,E19,0)</f>
        <v>0</v>
      </c>
      <c r="K19" s="816"/>
      <c r="L19" s="811"/>
      <c r="M19" s="817">
        <f t="shared" si="5"/>
        <v>0</v>
      </c>
      <c r="N19" s="816">
        <f t="shared" ref="N19:N27" si="6">IF(F19=$N$2,E19,0)</f>
        <v>1195396.77</v>
      </c>
      <c r="O19" s="817">
        <v>6</v>
      </c>
    </row>
    <row r="20" spans="1:15">
      <c r="A20" s="515" t="s">
        <v>1746</v>
      </c>
      <c r="B20" s="637">
        <v>451</v>
      </c>
      <c r="C20" s="637">
        <v>4182120</v>
      </c>
      <c r="D20" s="296" t="s">
        <v>1747</v>
      </c>
      <c r="E20" s="549"/>
      <c r="F20" s="575" t="s">
        <v>1700</v>
      </c>
      <c r="G20" s="816">
        <f t="shared" si="0"/>
        <v>0</v>
      </c>
      <c r="H20" s="817">
        <v>0</v>
      </c>
      <c r="I20" s="817">
        <f t="shared" si="4"/>
        <v>0</v>
      </c>
      <c r="J20" s="816">
        <f t="shared" si="1"/>
        <v>0</v>
      </c>
      <c r="K20" s="816"/>
      <c r="L20" s="811"/>
      <c r="M20" s="817">
        <f t="shared" si="5"/>
        <v>0</v>
      </c>
      <c r="N20" s="816">
        <f t="shared" si="6"/>
        <v>0</v>
      </c>
      <c r="O20" s="817">
        <v>1</v>
      </c>
    </row>
    <row r="21" spans="1:15">
      <c r="A21" s="515" t="s">
        <v>1748</v>
      </c>
      <c r="B21" s="637">
        <v>451</v>
      </c>
      <c r="C21" s="637">
        <v>4192152</v>
      </c>
      <c r="D21" s="296" t="s">
        <v>1749</v>
      </c>
      <c r="E21" s="549">
        <v>40</v>
      </c>
      <c r="F21" s="575" t="s">
        <v>1702</v>
      </c>
      <c r="G21" s="816">
        <f t="shared" ref="G21:G26" si="7">IF(F21=$G$2,E21,0)</f>
        <v>0</v>
      </c>
      <c r="H21" s="817">
        <v>0</v>
      </c>
      <c r="I21" s="817">
        <f t="shared" ref="I21:I27" si="8">G21-H21</f>
        <v>0</v>
      </c>
      <c r="J21" s="816">
        <f t="shared" ref="J21:J27" si="9">IF(F21=$J$2,E21,0)</f>
        <v>0</v>
      </c>
      <c r="K21" s="816"/>
      <c r="L21" s="811"/>
      <c r="M21" s="817">
        <f t="shared" si="5"/>
        <v>0</v>
      </c>
      <c r="N21" s="816">
        <f t="shared" si="6"/>
        <v>40</v>
      </c>
      <c r="O21" s="817">
        <v>1</v>
      </c>
    </row>
    <row r="22" spans="1:15">
      <c r="A22" s="515" t="s">
        <v>1750</v>
      </c>
      <c r="B22" s="637">
        <v>451</v>
      </c>
      <c r="C22" s="637">
        <v>4192155</v>
      </c>
      <c r="D22" s="296" t="s">
        <v>1751</v>
      </c>
      <c r="E22" s="549">
        <v>13895</v>
      </c>
      <c r="F22" s="575" t="s">
        <v>1702</v>
      </c>
      <c r="G22" s="816">
        <f t="shared" si="7"/>
        <v>0</v>
      </c>
      <c r="H22" s="817">
        <v>0</v>
      </c>
      <c r="I22" s="817">
        <f t="shared" si="8"/>
        <v>0</v>
      </c>
      <c r="J22" s="816">
        <f t="shared" si="9"/>
        <v>0</v>
      </c>
      <c r="K22" s="816"/>
      <c r="L22" s="811"/>
      <c r="M22" s="817">
        <f t="shared" si="5"/>
        <v>0</v>
      </c>
      <c r="N22" s="816">
        <f t="shared" si="6"/>
        <v>13895</v>
      </c>
      <c r="O22" s="817">
        <v>1</v>
      </c>
    </row>
    <row r="23" spans="1:15">
      <c r="A23" s="515" t="s">
        <v>1752</v>
      </c>
      <c r="B23" s="637">
        <v>451</v>
      </c>
      <c r="C23" s="637">
        <v>4192158</v>
      </c>
      <c r="D23" s="296" t="s">
        <v>1753</v>
      </c>
      <c r="E23" s="549">
        <v>1225</v>
      </c>
      <c r="F23" s="575" t="s">
        <v>1702</v>
      </c>
      <c r="G23" s="816">
        <f t="shared" si="7"/>
        <v>0</v>
      </c>
      <c r="H23" s="817">
        <v>0</v>
      </c>
      <c r="I23" s="817">
        <f t="shared" si="8"/>
        <v>0</v>
      </c>
      <c r="J23" s="816">
        <f t="shared" si="9"/>
        <v>0</v>
      </c>
      <c r="K23" s="816"/>
      <c r="L23" s="811"/>
      <c r="M23" s="817">
        <f t="shared" si="5"/>
        <v>0</v>
      </c>
      <c r="N23" s="816">
        <f t="shared" si="6"/>
        <v>1225</v>
      </c>
      <c r="O23" s="817">
        <v>1</v>
      </c>
    </row>
    <row r="24" spans="1:15">
      <c r="A24" s="515" t="s">
        <v>1754</v>
      </c>
      <c r="B24" s="637">
        <v>451</v>
      </c>
      <c r="C24" s="637">
        <v>4192160</v>
      </c>
      <c r="D24" s="296" t="s">
        <v>1755</v>
      </c>
      <c r="E24" s="549">
        <v>101500</v>
      </c>
      <c r="F24" s="575" t="s">
        <v>1702</v>
      </c>
      <c r="G24" s="816">
        <f t="shared" si="7"/>
        <v>0</v>
      </c>
      <c r="H24" s="817">
        <v>0</v>
      </c>
      <c r="I24" s="817">
        <f t="shared" si="8"/>
        <v>0</v>
      </c>
      <c r="J24" s="816">
        <f t="shared" si="9"/>
        <v>0</v>
      </c>
      <c r="K24" s="816"/>
      <c r="L24" s="811"/>
      <c r="M24" s="817">
        <f t="shared" si="5"/>
        <v>0</v>
      </c>
      <c r="N24" s="816">
        <f t="shared" si="6"/>
        <v>101500</v>
      </c>
      <c r="O24" s="817">
        <v>1</v>
      </c>
    </row>
    <row r="25" spans="1:15">
      <c r="A25" s="515" t="s">
        <v>1756</v>
      </c>
      <c r="B25" s="637">
        <v>451</v>
      </c>
      <c r="C25" s="637">
        <v>4192135</v>
      </c>
      <c r="D25" s="704" t="s">
        <v>1757</v>
      </c>
      <c r="E25" s="549">
        <v>3442993.92</v>
      </c>
      <c r="F25" s="575" t="s">
        <v>1700</v>
      </c>
      <c r="G25" s="816">
        <f t="shared" si="7"/>
        <v>3442993.92</v>
      </c>
      <c r="H25" s="817">
        <v>0</v>
      </c>
      <c r="I25" s="817">
        <f t="shared" si="8"/>
        <v>3442993.92</v>
      </c>
      <c r="J25" s="816">
        <f t="shared" si="9"/>
        <v>0</v>
      </c>
      <c r="K25" s="816"/>
      <c r="L25" s="811"/>
      <c r="M25" s="817">
        <f t="shared" si="5"/>
        <v>0</v>
      </c>
      <c r="N25" s="816">
        <f t="shared" si="6"/>
        <v>0</v>
      </c>
      <c r="O25" s="817">
        <v>1</v>
      </c>
    </row>
    <row r="26" spans="1:15">
      <c r="A26" s="515" t="s">
        <v>1758</v>
      </c>
      <c r="B26" s="637">
        <v>451</v>
      </c>
      <c r="C26" s="637">
        <v>4192145</v>
      </c>
      <c r="D26" s="704" t="s">
        <v>1759</v>
      </c>
      <c r="E26" s="549">
        <v>1945395.43</v>
      </c>
      <c r="F26" s="575" t="s">
        <v>1700</v>
      </c>
      <c r="G26" s="816">
        <f t="shared" si="7"/>
        <v>1945395.43</v>
      </c>
      <c r="H26" s="817">
        <v>0</v>
      </c>
      <c r="I26" s="817">
        <f t="shared" si="8"/>
        <v>1945395.43</v>
      </c>
      <c r="J26" s="816">
        <f t="shared" si="9"/>
        <v>0</v>
      </c>
      <c r="K26" s="816"/>
      <c r="L26" s="811"/>
      <c r="M26" s="817">
        <f t="shared" si="5"/>
        <v>0</v>
      </c>
      <c r="N26" s="816">
        <f t="shared" si="6"/>
        <v>0</v>
      </c>
      <c r="O26" s="817">
        <v>1</v>
      </c>
    </row>
    <row r="27" spans="1:15">
      <c r="A27" s="515" t="s">
        <v>1760</v>
      </c>
      <c r="B27" s="637">
        <v>451</v>
      </c>
      <c r="C27" s="637">
        <v>4192150</v>
      </c>
      <c r="D27" s="704" t="s">
        <v>1761</v>
      </c>
      <c r="E27" s="549">
        <v>1756.47</v>
      </c>
      <c r="F27" s="575" t="s">
        <v>1700</v>
      </c>
      <c r="G27" s="816">
        <f>IF(F27=$G$2,E27,0)</f>
        <v>1756.47</v>
      </c>
      <c r="H27" s="817">
        <v>0</v>
      </c>
      <c r="I27" s="817">
        <f t="shared" si="8"/>
        <v>1756.47</v>
      </c>
      <c r="J27" s="816">
        <f t="shared" si="9"/>
        <v>0</v>
      </c>
      <c r="K27" s="816"/>
      <c r="L27" s="811"/>
      <c r="M27" s="817">
        <f>J27-L27</f>
        <v>0</v>
      </c>
      <c r="N27" s="816">
        <f t="shared" si="6"/>
        <v>0</v>
      </c>
      <c r="O27" s="817">
        <v>1</v>
      </c>
    </row>
    <row r="28" spans="1:15">
      <c r="A28" s="515" t="s">
        <v>1762</v>
      </c>
      <c r="B28" s="637">
        <v>451</v>
      </c>
      <c r="C28" s="637" t="s">
        <v>1763</v>
      </c>
      <c r="D28" s="704" t="s">
        <v>1764</v>
      </c>
      <c r="E28" s="575">
        <v>8510350</v>
      </c>
      <c r="F28" s="575" t="s">
        <v>1700</v>
      </c>
      <c r="G28" s="816">
        <f t="shared" ref="G28:G29" si="10">IF(F28=$G$2,E28,0)</f>
        <v>8510350</v>
      </c>
      <c r="H28" s="817">
        <v>0</v>
      </c>
      <c r="I28" s="817">
        <f t="shared" ref="I28:I29" si="11">G28-H28</f>
        <v>8510350</v>
      </c>
      <c r="J28" s="816">
        <f t="shared" ref="J28:J29" si="12">IF(F28=$J$2,E28,0)</f>
        <v>0</v>
      </c>
      <c r="K28" s="816"/>
      <c r="L28" s="811"/>
      <c r="M28" s="817">
        <f t="shared" ref="M28:M29" si="13">J28-L28</f>
        <v>0</v>
      </c>
      <c r="N28" s="816">
        <f t="shared" ref="N28:N29" si="14">IF(F28=$N$2,E28,0)</f>
        <v>0</v>
      </c>
      <c r="O28" s="817">
        <v>1</v>
      </c>
    </row>
    <row r="29" spans="1:15">
      <c r="A29" s="515" t="s">
        <v>1765</v>
      </c>
      <c r="B29" s="637">
        <v>451</v>
      </c>
      <c r="C29" s="637" t="s">
        <v>1766</v>
      </c>
      <c r="D29" s="704" t="s">
        <v>1767</v>
      </c>
      <c r="E29" s="815">
        <v>-1740360</v>
      </c>
      <c r="F29" s="575" t="s">
        <v>1700</v>
      </c>
      <c r="G29" s="816">
        <f t="shared" si="10"/>
        <v>-1740360</v>
      </c>
      <c r="H29" s="817">
        <v>0</v>
      </c>
      <c r="I29" s="817">
        <f t="shared" si="11"/>
        <v>-1740360</v>
      </c>
      <c r="J29" s="816">
        <f t="shared" si="12"/>
        <v>0</v>
      </c>
      <c r="K29" s="816"/>
      <c r="L29" s="811"/>
      <c r="M29" s="817">
        <f t="shared" si="13"/>
        <v>0</v>
      </c>
      <c r="N29" s="816">
        <f t="shared" si="14"/>
        <v>0</v>
      </c>
      <c r="O29" s="817">
        <v>1</v>
      </c>
    </row>
    <row r="30" spans="1:15" s="247" customFormat="1">
      <c r="A30" s="515" t="s">
        <v>1768</v>
      </c>
      <c r="B30" s="637">
        <v>451</v>
      </c>
      <c r="C30" s="637" t="s">
        <v>1769</v>
      </c>
      <c r="D30" s="704" t="s">
        <v>1770</v>
      </c>
      <c r="E30" s="575">
        <v>169000</v>
      </c>
      <c r="F30" s="575" t="s">
        <v>1700</v>
      </c>
      <c r="G30" s="816">
        <f t="shared" ref="G30:G38" si="15">IF(F30=$G$2,E30,0)</f>
        <v>169000</v>
      </c>
      <c r="H30" s="817">
        <v>0</v>
      </c>
      <c r="I30" s="817">
        <f t="shared" ref="I30:I34" si="16">G30-H30</f>
        <v>169000</v>
      </c>
      <c r="J30" s="816">
        <f t="shared" ref="J30:J34" si="17">IF(F30=$J$2,E30,0)</f>
        <v>0</v>
      </c>
      <c r="K30" s="816"/>
      <c r="L30" s="811"/>
      <c r="M30" s="817">
        <f t="shared" ref="M30:M34" si="18">J30-L30</f>
        <v>0</v>
      </c>
      <c r="N30" s="816">
        <f t="shared" ref="N30:N34" si="19">IF(F30=$N$2,E30,0)</f>
        <v>0</v>
      </c>
      <c r="O30" s="817">
        <v>1</v>
      </c>
    </row>
    <row r="31" spans="1:15" s="247" customFormat="1">
      <c r="A31" s="515" t="s">
        <v>1771</v>
      </c>
      <c r="B31" s="637">
        <v>451</v>
      </c>
      <c r="C31" s="637">
        <v>4184531</v>
      </c>
      <c r="D31" s="704" t="s">
        <v>1772</v>
      </c>
      <c r="E31" s="575">
        <v>25725</v>
      </c>
      <c r="F31" s="549" t="s">
        <v>1700</v>
      </c>
      <c r="G31" s="820">
        <f t="shared" si="15"/>
        <v>25725</v>
      </c>
      <c r="H31" s="817">
        <v>0</v>
      </c>
      <c r="I31" s="817">
        <f t="shared" si="16"/>
        <v>25725</v>
      </c>
      <c r="J31" s="820">
        <f t="shared" si="17"/>
        <v>0</v>
      </c>
      <c r="K31" s="820"/>
      <c r="L31" s="811"/>
      <c r="M31" s="817">
        <f t="shared" si="18"/>
        <v>0</v>
      </c>
      <c r="N31" s="820">
        <f t="shared" si="19"/>
        <v>0</v>
      </c>
      <c r="O31" s="817">
        <v>1</v>
      </c>
    </row>
    <row r="32" spans="1:15" s="247" customFormat="1">
      <c r="A32" s="515" t="s">
        <v>1773</v>
      </c>
      <c r="B32" s="637">
        <v>451</v>
      </c>
      <c r="C32" s="637">
        <v>4184532</v>
      </c>
      <c r="D32" s="704" t="s">
        <v>1774</v>
      </c>
      <c r="E32" s="575">
        <v>47975</v>
      </c>
      <c r="F32" s="549" t="s">
        <v>1700</v>
      </c>
      <c r="G32" s="820">
        <f t="shared" si="15"/>
        <v>47975</v>
      </c>
      <c r="H32" s="817">
        <v>0</v>
      </c>
      <c r="I32" s="817">
        <f t="shared" si="16"/>
        <v>47975</v>
      </c>
      <c r="J32" s="820">
        <f t="shared" si="17"/>
        <v>0</v>
      </c>
      <c r="K32" s="820"/>
      <c r="L32" s="811"/>
      <c r="M32" s="817">
        <f t="shared" si="18"/>
        <v>0</v>
      </c>
      <c r="N32" s="820">
        <f t="shared" si="19"/>
        <v>0</v>
      </c>
      <c r="O32" s="817">
        <v>1</v>
      </c>
    </row>
    <row r="33" spans="1:15" s="247" customFormat="1">
      <c r="A33" s="515" t="s">
        <v>1775</v>
      </c>
      <c r="B33" s="637">
        <v>451</v>
      </c>
      <c r="C33" s="637">
        <v>4184534</v>
      </c>
      <c r="D33" s="704" t="s">
        <v>1776</v>
      </c>
      <c r="E33" s="575">
        <v>40500</v>
      </c>
      <c r="F33" s="549" t="s">
        <v>1700</v>
      </c>
      <c r="G33" s="820">
        <f t="shared" si="15"/>
        <v>40500</v>
      </c>
      <c r="H33" s="817">
        <v>0</v>
      </c>
      <c r="I33" s="817">
        <f t="shared" si="16"/>
        <v>40500</v>
      </c>
      <c r="J33" s="820">
        <f t="shared" si="17"/>
        <v>0</v>
      </c>
      <c r="K33" s="820"/>
      <c r="L33" s="811"/>
      <c r="M33" s="817">
        <f t="shared" si="18"/>
        <v>0</v>
      </c>
      <c r="N33" s="820">
        <f t="shared" si="19"/>
        <v>0</v>
      </c>
      <c r="O33" s="817">
        <v>1</v>
      </c>
    </row>
    <row r="34" spans="1:15" s="247" customFormat="1">
      <c r="A34" s="515" t="s">
        <v>1777</v>
      </c>
      <c r="B34" s="637">
        <v>451</v>
      </c>
      <c r="C34" s="637">
        <v>4184535</v>
      </c>
      <c r="D34" s="704" t="s">
        <v>2945</v>
      </c>
      <c r="E34" s="575">
        <v>125900</v>
      </c>
      <c r="F34" s="549" t="s">
        <v>1700</v>
      </c>
      <c r="G34" s="820">
        <f t="shared" si="15"/>
        <v>125900</v>
      </c>
      <c r="H34" s="817">
        <v>0</v>
      </c>
      <c r="I34" s="817">
        <f t="shared" si="16"/>
        <v>125900</v>
      </c>
      <c r="J34" s="820">
        <f t="shared" si="17"/>
        <v>0</v>
      </c>
      <c r="K34" s="820"/>
      <c r="L34" s="811"/>
      <c r="M34" s="817">
        <f t="shared" si="18"/>
        <v>0</v>
      </c>
      <c r="N34" s="820">
        <f t="shared" si="19"/>
        <v>0</v>
      </c>
      <c r="O34" s="817">
        <v>1</v>
      </c>
    </row>
    <row r="35" spans="1:15" s="247" customFormat="1">
      <c r="A35" s="603" t="s">
        <v>3068</v>
      </c>
      <c r="B35" s="843">
        <v>451</v>
      </c>
      <c r="C35" s="843">
        <v>4184520</v>
      </c>
      <c r="D35" s="844" t="s">
        <v>3069</v>
      </c>
      <c r="E35" s="575">
        <v>75200</v>
      </c>
      <c r="F35" s="575" t="s">
        <v>1701</v>
      </c>
      <c r="G35" s="815">
        <f t="shared" si="15"/>
        <v>0</v>
      </c>
      <c r="H35" s="811">
        <v>0</v>
      </c>
      <c r="I35" s="811">
        <f>G35-H35</f>
        <v>0</v>
      </c>
      <c r="J35" s="815">
        <f>IF(F35=$J$2,E35,0)</f>
        <v>75200</v>
      </c>
      <c r="K35" s="815" t="s">
        <v>1486</v>
      </c>
      <c r="L35" s="811"/>
      <c r="M35" s="811">
        <f>J35-L35</f>
        <v>75200</v>
      </c>
      <c r="N35" s="815">
        <f>IF(F35=$N$2,E35,0)</f>
        <v>0</v>
      </c>
      <c r="O35" s="811">
        <v>2</v>
      </c>
    </row>
    <row r="36" spans="1:15" s="247" customFormat="1">
      <c r="A36" s="603" t="s">
        <v>3070</v>
      </c>
      <c r="B36" s="843">
        <v>451</v>
      </c>
      <c r="C36" s="843">
        <v>4184521</v>
      </c>
      <c r="D36" s="844" t="s">
        <v>3071</v>
      </c>
      <c r="E36" s="575">
        <v>78000</v>
      </c>
      <c r="F36" s="575" t="s">
        <v>1701</v>
      </c>
      <c r="G36" s="815">
        <f t="shared" si="15"/>
        <v>0</v>
      </c>
      <c r="H36" s="811">
        <v>0</v>
      </c>
      <c r="I36" s="811">
        <f>G36-H36</f>
        <v>0</v>
      </c>
      <c r="J36" s="815">
        <f>IF(F36=$J$2,E36,0)</f>
        <v>78000</v>
      </c>
      <c r="K36" s="815" t="s">
        <v>1486</v>
      </c>
      <c r="L36" s="811"/>
      <c r="M36" s="811">
        <f>J36-L36</f>
        <v>78000</v>
      </c>
      <c r="N36" s="815">
        <f>IF(F36=$N$2,E36,0)</f>
        <v>0</v>
      </c>
      <c r="O36" s="811">
        <v>2</v>
      </c>
    </row>
    <row r="37" spans="1:15" s="247" customFormat="1">
      <c r="A37" s="603" t="s">
        <v>3072</v>
      </c>
      <c r="B37" s="843">
        <v>451</v>
      </c>
      <c r="C37" s="843">
        <v>4192161</v>
      </c>
      <c r="D37" s="844" t="s">
        <v>3073</v>
      </c>
      <c r="E37" s="575">
        <v>307.02</v>
      </c>
      <c r="F37" s="575" t="s">
        <v>1702</v>
      </c>
      <c r="G37" s="815">
        <f t="shared" si="15"/>
        <v>0</v>
      </c>
      <c r="H37" s="811">
        <v>0</v>
      </c>
      <c r="I37" s="811">
        <f>G37-H37</f>
        <v>0</v>
      </c>
      <c r="J37" s="815">
        <f t="shared" ref="J37:J38" si="20">IF(F37=$J$2,E37,0)</f>
        <v>0</v>
      </c>
      <c r="K37" s="815"/>
      <c r="L37" s="811"/>
      <c r="M37" s="811">
        <f>J37-L37</f>
        <v>0</v>
      </c>
      <c r="N37" s="815">
        <f>IF(F37=$N$2,E37,0)</f>
        <v>307.02</v>
      </c>
      <c r="O37" s="811">
        <v>1</v>
      </c>
    </row>
    <row r="38" spans="1:15" s="247" customFormat="1">
      <c r="A38" s="603" t="s">
        <v>3074</v>
      </c>
      <c r="B38" s="843">
        <v>451</v>
      </c>
      <c r="C38" s="843">
        <v>4192165</v>
      </c>
      <c r="D38" s="844" t="s">
        <v>3075</v>
      </c>
      <c r="E38" s="575">
        <v>1000</v>
      </c>
      <c r="F38" s="575" t="s">
        <v>1702</v>
      </c>
      <c r="G38" s="815">
        <f t="shared" si="15"/>
        <v>0</v>
      </c>
      <c r="H38" s="811">
        <v>0</v>
      </c>
      <c r="I38" s="811">
        <f>G38-H38</f>
        <v>0</v>
      </c>
      <c r="J38" s="815">
        <f t="shared" si="20"/>
        <v>0</v>
      </c>
      <c r="K38" s="815"/>
      <c r="L38" s="811"/>
      <c r="M38" s="811">
        <f>J38-L38</f>
        <v>0</v>
      </c>
      <c r="N38" s="815">
        <f>IF(F38=$N$2,E38,0)</f>
        <v>1000</v>
      </c>
      <c r="O38" s="811">
        <v>1</v>
      </c>
    </row>
    <row r="39" spans="1:15" s="247" customFormat="1">
      <c r="A39" s="603"/>
      <c r="B39" s="843"/>
      <c r="C39" s="843"/>
      <c r="D39" s="844"/>
      <c r="E39" s="575"/>
      <c r="F39" s="575"/>
      <c r="G39" s="852"/>
      <c r="H39" s="853"/>
      <c r="I39" s="853"/>
      <c r="J39" s="852"/>
      <c r="K39" s="815"/>
      <c r="L39" s="811"/>
      <c r="M39" s="853"/>
      <c r="N39" s="852"/>
      <c r="O39" s="853"/>
    </row>
    <row r="40" spans="1:15">
      <c r="A40" s="603"/>
      <c r="B40" s="843"/>
      <c r="C40" s="845"/>
      <c r="D40" s="844"/>
      <c r="E40" s="575"/>
      <c r="F40" s="575"/>
      <c r="G40" s="815"/>
      <c r="H40" s="811"/>
      <c r="I40" s="811"/>
      <c r="J40" s="815"/>
      <c r="K40" s="815"/>
      <c r="L40" s="811"/>
      <c r="M40" s="811"/>
      <c r="N40" s="815"/>
      <c r="O40" s="811"/>
    </row>
    <row r="41" spans="1:15" ht="13">
      <c r="A41" s="515">
        <v>5</v>
      </c>
      <c r="B41" s="1119" t="s">
        <v>1778</v>
      </c>
      <c r="C41" s="1120"/>
      <c r="D41" s="1121"/>
      <c r="E41" s="162">
        <f>SUM(E11:E40)</f>
        <v>15891938.470000003</v>
      </c>
      <c r="F41" s="169"/>
      <c r="G41" s="812">
        <f>SUM(G11:G40)</f>
        <v>14425374.68</v>
      </c>
      <c r="H41" s="813">
        <f>SUM(H11:H40)</f>
        <v>0</v>
      </c>
      <c r="I41" s="812">
        <f>SUM(I11:I40)</f>
        <v>14425374.68</v>
      </c>
      <c r="J41" s="812">
        <f>SUM(J11:J40)</f>
        <v>153200</v>
      </c>
      <c r="K41" s="814"/>
      <c r="L41" s="812">
        <f>SUM(L11:L40)</f>
        <v>0</v>
      </c>
      <c r="M41" s="812">
        <f>SUM(M11:M40)</f>
        <v>153200</v>
      </c>
      <c r="N41" s="812">
        <f>SUM(N11:N40)</f>
        <v>1313363.79</v>
      </c>
      <c r="O41" s="817"/>
    </row>
    <row r="42" spans="1:15" ht="25.5" customHeight="1">
      <c r="A42" s="515">
        <v>6</v>
      </c>
      <c r="B42" s="1143" t="s">
        <v>1779</v>
      </c>
      <c r="C42" s="1144"/>
      <c r="D42" s="1145"/>
      <c r="E42" s="602">
        <v>15891938</v>
      </c>
      <c r="F42" s="161"/>
      <c r="G42" s="158"/>
      <c r="H42" s="946"/>
      <c r="I42" s="946"/>
      <c r="J42" s="158"/>
      <c r="K42" s="161"/>
      <c r="L42" s="158"/>
      <c r="M42" s="158"/>
      <c r="N42" s="161"/>
      <c r="O42" s="248"/>
    </row>
    <row r="43" spans="1:15" ht="13">
      <c r="A43" s="253"/>
      <c r="B43" s="1"/>
      <c r="C43" s="113"/>
      <c r="D43" s="113"/>
      <c r="E43" s="158"/>
      <c r="F43" s="158"/>
      <c r="G43" s="158"/>
      <c r="H43" s="946"/>
      <c r="I43" s="946"/>
      <c r="J43" s="158"/>
      <c r="K43" s="161"/>
      <c r="L43" s="158"/>
      <c r="M43" s="158"/>
      <c r="N43" s="158"/>
      <c r="O43" s="248"/>
    </row>
    <row r="44" spans="1:15">
      <c r="A44" s="515" t="s">
        <v>1780</v>
      </c>
      <c r="B44" s="637">
        <v>453</v>
      </c>
      <c r="C44" s="637">
        <v>4183120</v>
      </c>
      <c r="D44" s="296" t="s">
        <v>1781</v>
      </c>
      <c r="E44" s="575">
        <v>477430.56</v>
      </c>
      <c r="F44" s="575" t="s">
        <v>1701</v>
      </c>
      <c r="G44" s="513">
        <f t="shared" ref="G44:G46" si="21">IF(F44=$G$2,E44,0)</f>
        <v>0</v>
      </c>
      <c r="H44" s="512">
        <v>0</v>
      </c>
      <c r="I44" s="512">
        <f>G44-H44</f>
        <v>0</v>
      </c>
      <c r="J44" s="513">
        <f t="shared" ref="J44:J45" si="22">IF(F44=$J$2,E44,0)</f>
        <v>477430.56</v>
      </c>
      <c r="K44" s="1033" t="s">
        <v>1742</v>
      </c>
      <c r="L44" s="550">
        <v>77950.983289618001</v>
      </c>
      <c r="M44" s="512">
        <f>J44-L44</f>
        <v>399479.57671038201</v>
      </c>
      <c r="N44" s="513">
        <f>IF(F44=$N$2,E44,0)</f>
        <v>0</v>
      </c>
      <c r="O44" s="295">
        <v>2</v>
      </c>
    </row>
    <row r="45" spans="1:15">
      <c r="A45" s="515" t="s">
        <v>1782</v>
      </c>
      <c r="B45" s="637">
        <v>453</v>
      </c>
      <c r="C45" s="637">
        <v>4183110</v>
      </c>
      <c r="D45" s="296" t="s">
        <v>1783</v>
      </c>
      <c r="E45" s="575">
        <v>341093.33</v>
      </c>
      <c r="F45" s="575" t="s">
        <v>1700</v>
      </c>
      <c r="G45" s="820">
        <f t="shared" si="21"/>
        <v>341093.33</v>
      </c>
      <c r="H45" s="512">
        <v>0</v>
      </c>
      <c r="I45" s="817">
        <f t="shared" ref="I45" si="23">G45-H45</f>
        <v>341093.33</v>
      </c>
      <c r="J45" s="820">
        <f t="shared" si="22"/>
        <v>0</v>
      </c>
      <c r="K45" s="513"/>
      <c r="L45" s="407"/>
      <c r="M45" s="817">
        <f t="shared" ref="M45:M46" si="24">J45-L45</f>
        <v>0</v>
      </c>
      <c r="N45" s="513">
        <f>IF(F45=$N$2,E45,0)</f>
        <v>0</v>
      </c>
      <c r="O45" s="295">
        <v>1</v>
      </c>
    </row>
    <row r="46" spans="1:15">
      <c r="A46" s="603" t="s">
        <v>3076</v>
      </c>
      <c r="B46" s="843">
        <v>453</v>
      </c>
      <c r="C46" s="843">
        <v>4183115</v>
      </c>
      <c r="D46" s="604" t="s">
        <v>3077</v>
      </c>
      <c r="E46" s="575">
        <v>79290.720000000001</v>
      </c>
      <c r="F46" s="575" t="s">
        <v>1700</v>
      </c>
      <c r="G46" s="810">
        <f t="shared" si="21"/>
        <v>79290.720000000001</v>
      </c>
      <c r="H46" s="811">
        <v>0</v>
      </c>
      <c r="I46" s="811">
        <f>G46-H46</f>
        <v>79290.720000000001</v>
      </c>
      <c r="J46" s="810">
        <f>IF(F46=$J$2,E46,0)</f>
        <v>0</v>
      </c>
      <c r="K46" s="549"/>
      <c r="L46" s="407"/>
      <c r="M46" s="811">
        <f t="shared" si="24"/>
        <v>0</v>
      </c>
      <c r="N46" s="810">
        <f>IF(F46=$N$2,E46,0)</f>
        <v>0</v>
      </c>
      <c r="O46" s="605">
        <v>1</v>
      </c>
    </row>
    <row r="47" spans="1:15">
      <c r="A47" s="603"/>
      <c r="B47" s="843"/>
      <c r="C47" s="845"/>
      <c r="D47" s="604"/>
      <c r="E47" s="575"/>
      <c r="F47" s="575"/>
      <c r="G47" s="810"/>
      <c r="H47" s="811"/>
      <c r="I47" s="811"/>
      <c r="J47" s="810"/>
      <c r="K47" s="549"/>
      <c r="L47" s="407"/>
      <c r="M47" s="811"/>
      <c r="N47" s="810"/>
      <c r="O47" s="605"/>
    </row>
    <row r="48" spans="1:15">
      <c r="A48" s="603"/>
      <c r="B48" s="843"/>
      <c r="C48" s="845"/>
      <c r="D48" s="604"/>
      <c r="E48" s="575"/>
      <c r="F48" s="575"/>
      <c r="G48" s="944"/>
      <c r="H48" s="605"/>
      <c r="I48" s="407"/>
      <c r="J48" s="575"/>
      <c r="K48" s="575"/>
      <c r="L48" s="407"/>
      <c r="M48" s="407"/>
      <c r="N48" s="575"/>
      <c r="O48" s="605"/>
    </row>
    <row r="49" spans="1:15" ht="13">
      <c r="A49" s="515">
        <v>8</v>
      </c>
      <c r="B49" s="1119" t="s">
        <v>1784</v>
      </c>
      <c r="C49" s="1120"/>
      <c r="D49" s="1121"/>
      <c r="E49" s="162">
        <f>SUM(E44:E48)</f>
        <v>897814.61</v>
      </c>
      <c r="F49" s="169"/>
      <c r="G49" s="162">
        <f>SUM(G44:G48)</f>
        <v>420384.05000000005</v>
      </c>
      <c r="H49" s="110">
        <f>SUM(H44:H48)</f>
        <v>0</v>
      </c>
      <c r="I49" s="162">
        <f>SUM(I44:I48)</f>
        <v>420384.05000000005</v>
      </c>
      <c r="J49" s="162">
        <f>SUM(J44:J48)</f>
        <v>477430.56</v>
      </c>
      <c r="K49" s="169"/>
      <c r="L49" s="162">
        <f>SUM(L44:L48)</f>
        <v>77950.983289618001</v>
      </c>
      <c r="M49" s="162">
        <f>SUM(M44:M48)</f>
        <v>399479.57671038201</v>
      </c>
      <c r="N49" s="162">
        <f>SUM(N44:N48)</f>
        <v>0</v>
      </c>
      <c r="O49" s="110"/>
    </row>
    <row r="50" spans="1:15" ht="25.5" customHeight="1">
      <c r="A50" s="515">
        <v>9</v>
      </c>
      <c r="B50" s="1136" t="s">
        <v>1785</v>
      </c>
      <c r="C50" s="1137"/>
      <c r="D50" s="1137"/>
      <c r="E50" s="172">
        <v>897815</v>
      </c>
      <c r="F50" s="161"/>
      <c r="G50" s="158"/>
      <c r="H50" s="946"/>
      <c r="I50" s="114"/>
      <c r="J50" s="158"/>
      <c r="K50" s="161"/>
      <c r="L50" s="158"/>
      <c r="M50" s="158"/>
      <c r="N50" s="158"/>
      <c r="O50" s="2"/>
    </row>
    <row r="51" spans="1:15" ht="13">
      <c r="A51" s="4"/>
      <c r="B51" s="1"/>
      <c r="C51" s="113"/>
      <c r="D51" s="113"/>
      <c r="E51" s="158"/>
      <c r="F51" s="158"/>
      <c r="G51" s="158"/>
      <c r="H51" s="946"/>
      <c r="I51" s="114"/>
      <c r="J51" s="158"/>
      <c r="K51" s="161"/>
      <c r="L51" s="158"/>
      <c r="M51" s="158"/>
      <c r="N51" s="158"/>
      <c r="O51" s="2"/>
    </row>
    <row r="52" spans="1:15">
      <c r="A52" s="515" t="s">
        <v>1786</v>
      </c>
      <c r="B52" s="637">
        <v>454</v>
      </c>
      <c r="C52" s="514" t="s">
        <v>1787</v>
      </c>
      <c r="D52" s="514" t="s">
        <v>1788</v>
      </c>
      <c r="E52" s="549">
        <v>1103886.82</v>
      </c>
      <c r="F52" s="549" t="s">
        <v>1700</v>
      </c>
      <c r="G52" s="941">
        <f>IF(F52=$G$2,E52,0)</f>
        <v>1103886.82</v>
      </c>
      <c r="H52" s="512">
        <v>0</v>
      </c>
      <c r="I52" s="512">
        <f>G52-H52</f>
        <v>1103886.82</v>
      </c>
      <c r="J52" s="941">
        <f>IF(F52=$J$2,E52,0)</f>
        <v>0</v>
      </c>
      <c r="K52" s="941"/>
      <c r="L52" s="407"/>
      <c r="M52" s="512">
        <f>J52-L52</f>
        <v>0</v>
      </c>
      <c r="N52" s="941">
        <f>IF(F52=$N$2,E52,0)</f>
        <v>0</v>
      </c>
      <c r="O52" s="295">
        <v>4</v>
      </c>
    </row>
    <row r="53" spans="1:15">
      <c r="A53" s="515" t="s">
        <v>1789</v>
      </c>
      <c r="B53" s="637">
        <v>454</v>
      </c>
      <c r="C53" s="514" t="s">
        <v>1790</v>
      </c>
      <c r="D53" s="514" t="s">
        <v>1791</v>
      </c>
      <c r="E53" s="549">
        <v>6556231.2800000003</v>
      </c>
      <c r="F53" s="549" t="s">
        <v>1700</v>
      </c>
      <c r="G53" s="941">
        <f>IF(F53=$G$2,E53,0)</f>
        <v>6556231.2800000003</v>
      </c>
      <c r="H53" s="512">
        <v>0</v>
      </c>
      <c r="I53" s="512">
        <f>G53-H53</f>
        <v>6556231.2800000003</v>
      </c>
      <c r="J53" s="941">
        <f t="shared" ref="J53:J64" si="25">IF(F53=$J$2,E53,0)</f>
        <v>0</v>
      </c>
      <c r="K53" s="941"/>
      <c r="L53" s="407"/>
      <c r="M53" s="512">
        <f t="shared" ref="M53:M55" si="26">J53-L53</f>
        <v>0</v>
      </c>
      <c r="N53" s="941">
        <f>IF(F53=$N$2,E53,0)</f>
        <v>0</v>
      </c>
      <c r="O53" s="295">
        <v>4</v>
      </c>
    </row>
    <row r="54" spans="1:15">
      <c r="A54" s="515" t="s">
        <v>1792</v>
      </c>
      <c r="B54" s="637">
        <v>454</v>
      </c>
      <c r="C54" s="514" t="s">
        <v>1793</v>
      </c>
      <c r="D54" s="514" t="s">
        <v>1794</v>
      </c>
      <c r="E54" s="549">
        <v>1900714.02</v>
      </c>
      <c r="F54" s="549" t="s">
        <v>1700</v>
      </c>
      <c r="G54" s="941">
        <f>IF(F54=$G$2,E54,0)</f>
        <v>1900714.02</v>
      </c>
      <c r="H54" s="512">
        <v>0</v>
      </c>
      <c r="I54" s="512">
        <f>G54-H54</f>
        <v>1900714.02</v>
      </c>
      <c r="J54" s="941">
        <f t="shared" si="25"/>
        <v>0</v>
      </c>
      <c r="K54" s="941"/>
      <c r="L54" s="407"/>
      <c r="M54" s="512">
        <f t="shared" si="26"/>
        <v>0</v>
      </c>
      <c r="N54" s="941">
        <f>IF(F54=$N$2,E54,0)</f>
        <v>0</v>
      </c>
      <c r="O54" s="295">
        <v>4</v>
      </c>
    </row>
    <row r="55" spans="1:15">
      <c r="A55" s="614" t="s">
        <v>1795</v>
      </c>
      <c r="B55" s="637">
        <v>454</v>
      </c>
      <c r="C55" s="637">
        <v>4184120</v>
      </c>
      <c r="D55" s="514" t="s">
        <v>1796</v>
      </c>
      <c r="E55" s="549">
        <v>3682000</v>
      </c>
      <c r="F55" s="549" t="s">
        <v>1700</v>
      </c>
      <c r="G55" s="941">
        <f>IF(F55=$G$2,E55,0)</f>
        <v>3682000</v>
      </c>
      <c r="H55" s="512">
        <v>0</v>
      </c>
      <c r="I55" s="512">
        <f>G55-H55</f>
        <v>3682000</v>
      </c>
      <c r="J55" s="941">
        <f t="shared" si="25"/>
        <v>0</v>
      </c>
      <c r="K55" s="941"/>
      <c r="L55" s="407"/>
      <c r="M55" s="512">
        <f t="shared" si="26"/>
        <v>0</v>
      </c>
      <c r="N55" s="941">
        <f>IF(F55=$N$2,E55,0)</f>
        <v>0</v>
      </c>
      <c r="O55" s="295">
        <v>4</v>
      </c>
    </row>
    <row r="56" spans="1:15">
      <c r="A56" s="613" t="s">
        <v>1797</v>
      </c>
      <c r="B56" s="637">
        <v>454</v>
      </c>
      <c r="C56" s="514" t="s">
        <v>1798</v>
      </c>
      <c r="D56" s="514" t="s">
        <v>1799</v>
      </c>
      <c r="E56" s="549">
        <v>207749.8</v>
      </c>
      <c r="F56" s="549" t="s">
        <v>1701</v>
      </c>
      <c r="G56" s="941">
        <f t="shared" ref="G56:G62" si="27">IF(F56=$G$2,E56,0)</f>
        <v>0</v>
      </c>
      <c r="H56" s="512">
        <v>0</v>
      </c>
      <c r="I56" s="512">
        <f>G56-H56</f>
        <v>0</v>
      </c>
      <c r="J56" s="941">
        <f t="shared" si="25"/>
        <v>207749.8</v>
      </c>
      <c r="K56" s="947" t="s">
        <v>1742</v>
      </c>
      <c r="L56" s="550">
        <v>42700.015621562103</v>
      </c>
      <c r="M56" s="512">
        <f>J56-L56</f>
        <v>165049.78437843788</v>
      </c>
      <c r="N56" s="941">
        <f>IF(F56=$N$2,E56,0)</f>
        <v>0</v>
      </c>
      <c r="O56" s="295">
        <v>2</v>
      </c>
    </row>
    <row r="57" spans="1:15">
      <c r="A57" s="515" t="s">
        <v>1800</v>
      </c>
      <c r="B57" s="637">
        <v>454</v>
      </c>
      <c r="C57" s="514" t="s">
        <v>1801</v>
      </c>
      <c r="D57" s="514" t="s">
        <v>1802</v>
      </c>
      <c r="E57" s="549">
        <v>5304.4</v>
      </c>
      <c r="F57" s="549" t="s">
        <v>1701</v>
      </c>
      <c r="G57" s="941">
        <f t="shared" si="27"/>
        <v>0</v>
      </c>
      <c r="H57" s="512">
        <v>0</v>
      </c>
      <c r="I57" s="512">
        <f t="shared" ref="I57:I59" si="28">G57-H57</f>
        <v>0</v>
      </c>
      <c r="J57" s="941">
        <f t="shared" si="25"/>
        <v>5304.4</v>
      </c>
      <c r="K57" s="947" t="s">
        <v>1742</v>
      </c>
      <c r="L57" s="550">
        <v>1054.467134168</v>
      </c>
      <c r="M57" s="512">
        <f>J57-L57</f>
        <v>4249.9328658319992</v>
      </c>
      <c r="N57" s="941">
        <f t="shared" ref="N57:N62" si="29">IF(F57=$N$2,E57,0)</f>
        <v>0</v>
      </c>
      <c r="O57" s="295">
        <v>2</v>
      </c>
    </row>
    <row r="58" spans="1:15">
      <c r="A58" s="515" t="s">
        <v>1803</v>
      </c>
      <c r="B58" s="637">
        <v>454</v>
      </c>
      <c r="C58" s="514" t="s">
        <v>1804</v>
      </c>
      <c r="D58" s="514" t="s">
        <v>1805</v>
      </c>
      <c r="E58" s="549"/>
      <c r="F58" s="549" t="s">
        <v>1701</v>
      </c>
      <c r="G58" s="941">
        <f t="shared" si="27"/>
        <v>0</v>
      </c>
      <c r="H58" s="512">
        <v>0</v>
      </c>
      <c r="I58" s="512">
        <f t="shared" si="28"/>
        <v>0</v>
      </c>
      <c r="J58" s="941">
        <f t="shared" si="25"/>
        <v>0</v>
      </c>
      <c r="K58" s="947" t="s">
        <v>1742</v>
      </c>
      <c r="L58" s="550"/>
      <c r="M58" s="512">
        <f>J58-L58</f>
        <v>0</v>
      </c>
      <c r="N58" s="941">
        <f t="shared" si="29"/>
        <v>0</v>
      </c>
      <c r="O58" s="295">
        <v>2</v>
      </c>
    </row>
    <row r="59" spans="1:15">
      <c r="A59" s="515" t="s">
        <v>1806</v>
      </c>
      <c r="B59" s="637">
        <v>454</v>
      </c>
      <c r="C59" s="637" t="s">
        <v>1807</v>
      </c>
      <c r="D59" s="514" t="s">
        <v>1808</v>
      </c>
      <c r="E59" s="549">
        <v>19142.759999999998</v>
      </c>
      <c r="F59" s="549" t="s">
        <v>1701</v>
      </c>
      <c r="G59" s="941">
        <f t="shared" si="27"/>
        <v>0</v>
      </c>
      <c r="H59" s="512">
        <v>0</v>
      </c>
      <c r="I59" s="512">
        <f t="shared" si="28"/>
        <v>0</v>
      </c>
      <c r="J59" s="941">
        <f t="shared" si="25"/>
        <v>19142.759999999998</v>
      </c>
      <c r="K59" s="947" t="s">
        <v>1742</v>
      </c>
      <c r="L59" s="703">
        <v>2600.7557803899999</v>
      </c>
      <c r="M59" s="512">
        <f t="shared" ref="M59:M77" si="30">J59-L59</f>
        <v>16542.004219609997</v>
      </c>
      <c r="N59" s="941">
        <f t="shared" si="29"/>
        <v>0</v>
      </c>
      <c r="O59" s="295">
        <v>2</v>
      </c>
    </row>
    <row r="60" spans="1:15">
      <c r="A60" s="515" t="s">
        <v>1809</v>
      </c>
      <c r="B60" s="637">
        <v>454</v>
      </c>
      <c r="C60" s="514" t="s">
        <v>1810</v>
      </c>
      <c r="D60" s="514" t="s">
        <v>1811</v>
      </c>
      <c r="E60" s="810">
        <v>311654.43</v>
      </c>
      <c r="F60" s="549" t="s">
        <v>1700</v>
      </c>
      <c r="G60" s="941">
        <f>IF(F60=$G$2,E60,0)</f>
        <v>311654.43</v>
      </c>
      <c r="H60" s="512">
        <v>0</v>
      </c>
      <c r="I60" s="512">
        <f>G60-H60</f>
        <v>311654.43</v>
      </c>
      <c r="J60" s="941">
        <f>IF(F60=$J$2,E60,0)</f>
        <v>0</v>
      </c>
      <c r="K60" s="941"/>
      <c r="L60" s="407"/>
      <c r="M60" s="512">
        <f t="shared" si="30"/>
        <v>0</v>
      </c>
      <c r="N60" s="941">
        <f t="shared" si="29"/>
        <v>0</v>
      </c>
      <c r="O60" s="295">
        <v>4</v>
      </c>
    </row>
    <row r="61" spans="1:15">
      <c r="A61" s="515" t="s">
        <v>1812</v>
      </c>
      <c r="B61" s="637">
        <v>454</v>
      </c>
      <c r="C61" s="514" t="s">
        <v>1813</v>
      </c>
      <c r="D61" s="514" t="s">
        <v>1814</v>
      </c>
      <c r="E61" s="549">
        <v>50210.01</v>
      </c>
      <c r="F61" s="549" t="s">
        <v>1702</v>
      </c>
      <c r="G61" s="941">
        <f>I61+H61</f>
        <v>3343.9866660000002</v>
      </c>
      <c r="H61" s="512">
        <f>E61*$D$289</f>
        <v>3343.9866660000002</v>
      </c>
      <c r="I61" s="512">
        <v>0</v>
      </c>
      <c r="J61" s="941">
        <f t="shared" si="25"/>
        <v>0</v>
      </c>
      <c r="K61" s="941"/>
      <c r="L61" s="407"/>
      <c r="M61" s="512">
        <f>J61-L61</f>
        <v>0</v>
      </c>
      <c r="N61" s="941">
        <f>IF(F61=$N$2,E61-H61,0)</f>
        <v>46866.023334000005</v>
      </c>
      <c r="O61" s="295" t="s">
        <v>1815</v>
      </c>
    </row>
    <row r="62" spans="1:15">
      <c r="A62" s="515" t="s">
        <v>1816</v>
      </c>
      <c r="B62" s="637">
        <v>454</v>
      </c>
      <c r="C62" s="514" t="s">
        <v>1817</v>
      </c>
      <c r="D62" s="514" t="s">
        <v>1818</v>
      </c>
      <c r="E62" s="549"/>
      <c r="F62" s="549" t="s">
        <v>1700</v>
      </c>
      <c r="G62" s="941">
        <f t="shared" si="27"/>
        <v>0</v>
      </c>
      <c r="H62" s="512">
        <f>E62*$D$289</f>
        <v>0</v>
      </c>
      <c r="I62" s="512">
        <f>G62-H62</f>
        <v>0</v>
      </c>
      <c r="J62" s="941">
        <f t="shared" si="25"/>
        <v>0</v>
      </c>
      <c r="K62" s="941"/>
      <c r="L62" s="407"/>
      <c r="M62" s="512">
        <f t="shared" si="30"/>
        <v>0</v>
      </c>
      <c r="N62" s="941">
        <f t="shared" si="29"/>
        <v>0</v>
      </c>
      <c r="O62" s="295">
        <v>7</v>
      </c>
    </row>
    <row r="63" spans="1:15">
      <c r="A63" s="515" t="s">
        <v>1819</v>
      </c>
      <c r="B63" s="637">
        <v>454</v>
      </c>
      <c r="C63" s="514" t="s">
        <v>1820</v>
      </c>
      <c r="D63" s="514" t="s">
        <v>1821</v>
      </c>
      <c r="E63" s="549">
        <v>1339103.8799999999</v>
      </c>
      <c r="F63" s="549" t="s">
        <v>1702</v>
      </c>
      <c r="G63" s="941">
        <f>I63+H63</f>
        <v>89184.318408000006</v>
      </c>
      <c r="H63" s="512">
        <f>E63*$D$289</f>
        <v>89184.318408000006</v>
      </c>
      <c r="I63" s="512">
        <v>0</v>
      </c>
      <c r="J63" s="941">
        <f>IF(F63=$J$2,E63,0)</f>
        <v>0</v>
      </c>
      <c r="K63" s="941"/>
      <c r="L63" s="407"/>
      <c r="M63" s="512">
        <f>J63-L63</f>
        <v>0</v>
      </c>
      <c r="N63" s="941">
        <f>IF(F63=$N$2,E63-H63,0)</f>
        <v>1249919.5615919998</v>
      </c>
      <c r="O63" s="295" t="s">
        <v>1815</v>
      </c>
    </row>
    <row r="64" spans="1:15">
      <c r="A64" s="515" t="s">
        <v>1822</v>
      </c>
      <c r="B64" s="637">
        <v>454</v>
      </c>
      <c r="C64" s="514" t="s">
        <v>1823</v>
      </c>
      <c r="D64" s="514" t="s">
        <v>1824</v>
      </c>
      <c r="E64" s="549"/>
      <c r="F64" s="549" t="s">
        <v>1700</v>
      </c>
      <c r="G64" s="941">
        <f>I64+H64</f>
        <v>0</v>
      </c>
      <c r="H64" s="512">
        <f>E64*$D$283</f>
        <v>0</v>
      </c>
      <c r="I64" s="512">
        <v>0</v>
      </c>
      <c r="J64" s="941">
        <f t="shared" si="25"/>
        <v>0</v>
      </c>
      <c r="K64" s="941"/>
      <c r="L64" s="407"/>
      <c r="M64" s="512">
        <f t="shared" si="30"/>
        <v>0</v>
      </c>
      <c r="N64" s="941">
        <f t="shared" ref="N64:N75" si="31">IF(F64=$N$2,E64,0)</f>
        <v>0</v>
      </c>
      <c r="O64" s="295">
        <v>7</v>
      </c>
    </row>
    <row r="65" spans="1:15">
      <c r="A65" s="515" t="s">
        <v>1825</v>
      </c>
      <c r="B65" s="637">
        <v>454</v>
      </c>
      <c r="C65" s="514" t="s">
        <v>1826</v>
      </c>
      <c r="D65" s="514" t="s">
        <v>1827</v>
      </c>
      <c r="E65" s="549"/>
      <c r="F65" s="549" t="s">
        <v>1700</v>
      </c>
      <c r="G65" s="941">
        <f t="shared" ref="G65:G75" si="32">IF(F65=$G$2,E65,0)</f>
        <v>0</v>
      </c>
      <c r="H65" s="512">
        <v>0</v>
      </c>
      <c r="I65" s="512">
        <f t="shared" ref="I65:I70" si="33">G65-H65</f>
        <v>0</v>
      </c>
      <c r="J65" s="941">
        <f t="shared" ref="J65:J76" si="34">IF(F65=$J$2,E65,0)</f>
        <v>0</v>
      </c>
      <c r="K65" s="941"/>
      <c r="L65" s="407"/>
      <c r="M65" s="512">
        <f t="shared" si="30"/>
        <v>0</v>
      </c>
      <c r="N65" s="941">
        <f t="shared" si="31"/>
        <v>0</v>
      </c>
      <c r="O65" s="295">
        <v>1</v>
      </c>
    </row>
    <row r="66" spans="1:15">
      <c r="A66" s="515" t="s">
        <v>1828</v>
      </c>
      <c r="B66" s="637">
        <v>454</v>
      </c>
      <c r="C66" s="514" t="s">
        <v>1829</v>
      </c>
      <c r="D66" s="514" t="s">
        <v>1830</v>
      </c>
      <c r="E66" s="549">
        <v>30724992.48</v>
      </c>
      <c r="F66" s="549" t="s">
        <v>1700</v>
      </c>
      <c r="G66" s="941">
        <f t="shared" si="32"/>
        <v>30724992.48</v>
      </c>
      <c r="H66" s="512">
        <v>0</v>
      </c>
      <c r="I66" s="512">
        <f>G66-H66</f>
        <v>30724992.48</v>
      </c>
      <c r="J66" s="941">
        <f t="shared" si="34"/>
        <v>0</v>
      </c>
      <c r="K66" s="941"/>
      <c r="L66" s="407"/>
      <c r="M66" s="512">
        <f t="shared" si="30"/>
        <v>0</v>
      </c>
      <c r="N66" s="941">
        <f t="shared" si="31"/>
        <v>0</v>
      </c>
      <c r="O66" s="295">
        <v>4</v>
      </c>
    </row>
    <row r="67" spans="1:15">
      <c r="A67" s="515" t="s">
        <v>1831</v>
      </c>
      <c r="B67" s="637">
        <v>454</v>
      </c>
      <c r="C67" s="514" t="s">
        <v>1832</v>
      </c>
      <c r="D67" s="514" t="s">
        <v>1833</v>
      </c>
      <c r="E67" s="549">
        <v>8077502.8799999999</v>
      </c>
      <c r="F67" s="549" t="s">
        <v>1700</v>
      </c>
      <c r="G67" s="941">
        <f t="shared" si="32"/>
        <v>8077502.8799999999</v>
      </c>
      <c r="H67" s="512">
        <v>0</v>
      </c>
      <c r="I67" s="512">
        <f>G67-H67</f>
        <v>8077502.8799999999</v>
      </c>
      <c r="J67" s="941">
        <f t="shared" si="34"/>
        <v>0</v>
      </c>
      <c r="K67" s="941"/>
      <c r="L67" s="407"/>
      <c r="M67" s="512">
        <f t="shared" si="30"/>
        <v>0</v>
      </c>
      <c r="N67" s="941">
        <f t="shared" si="31"/>
        <v>0</v>
      </c>
      <c r="O67" s="295">
        <v>4</v>
      </c>
    </row>
    <row r="68" spans="1:15">
      <c r="A68" s="515" t="s">
        <v>1834</v>
      </c>
      <c r="B68" s="637">
        <v>454</v>
      </c>
      <c r="C68" s="514" t="s">
        <v>1835</v>
      </c>
      <c r="D68" s="514" t="s">
        <v>1836</v>
      </c>
      <c r="E68" s="549"/>
      <c r="F68" s="549" t="s">
        <v>1700</v>
      </c>
      <c r="G68" s="941">
        <f t="shared" si="32"/>
        <v>0</v>
      </c>
      <c r="H68" s="512">
        <v>0</v>
      </c>
      <c r="I68" s="512">
        <f>G68-H68</f>
        <v>0</v>
      </c>
      <c r="J68" s="941">
        <f t="shared" si="34"/>
        <v>0</v>
      </c>
      <c r="K68" s="941"/>
      <c r="L68" s="407"/>
      <c r="M68" s="512">
        <f t="shared" si="30"/>
        <v>0</v>
      </c>
      <c r="N68" s="941">
        <f t="shared" si="31"/>
        <v>0</v>
      </c>
      <c r="O68" s="295">
        <v>4</v>
      </c>
    </row>
    <row r="69" spans="1:15">
      <c r="A69" s="515" t="s">
        <v>1837</v>
      </c>
      <c r="B69" s="637">
        <v>454</v>
      </c>
      <c r="C69" s="514" t="s">
        <v>1838</v>
      </c>
      <c r="D69" s="514" t="s">
        <v>1839</v>
      </c>
      <c r="E69" s="549"/>
      <c r="F69" s="549" t="s">
        <v>1700</v>
      </c>
      <c r="G69" s="941">
        <f t="shared" si="32"/>
        <v>0</v>
      </c>
      <c r="H69" s="407"/>
      <c r="I69" s="512">
        <f>G69-H69</f>
        <v>0</v>
      </c>
      <c r="J69" s="941">
        <f t="shared" si="34"/>
        <v>0</v>
      </c>
      <c r="K69" s="941"/>
      <c r="L69" s="407"/>
      <c r="M69" s="512">
        <f t="shared" si="30"/>
        <v>0</v>
      </c>
      <c r="N69" s="941">
        <f t="shared" si="31"/>
        <v>0</v>
      </c>
      <c r="O69" s="295">
        <v>8</v>
      </c>
    </row>
    <row r="70" spans="1:15">
      <c r="A70" s="515" t="s">
        <v>1840</v>
      </c>
      <c r="B70" s="637">
        <v>454</v>
      </c>
      <c r="C70" s="514" t="s">
        <v>1841</v>
      </c>
      <c r="D70" s="514" t="s">
        <v>1842</v>
      </c>
      <c r="E70" s="549">
        <v>23925196.66</v>
      </c>
      <c r="F70" s="549" t="s">
        <v>1701</v>
      </c>
      <c r="G70" s="941">
        <f t="shared" si="32"/>
        <v>0</v>
      </c>
      <c r="H70" s="512">
        <v>0</v>
      </c>
      <c r="I70" s="512">
        <f t="shared" si="33"/>
        <v>0</v>
      </c>
      <c r="J70" s="941">
        <f t="shared" si="34"/>
        <v>23925196.66</v>
      </c>
      <c r="K70" s="947" t="s">
        <v>1742</v>
      </c>
      <c r="L70" s="550">
        <v>3954907.8183772499</v>
      </c>
      <c r="M70" s="512">
        <f t="shared" ref="M70:M75" si="35">J70-L70</f>
        <v>19970288.841622751</v>
      </c>
      <c r="N70" s="941">
        <f t="shared" si="31"/>
        <v>0</v>
      </c>
      <c r="O70" s="295">
        <v>2</v>
      </c>
    </row>
    <row r="71" spans="1:15">
      <c r="A71" s="515" t="s">
        <v>1843</v>
      </c>
      <c r="B71" s="637">
        <v>454</v>
      </c>
      <c r="C71" s="514" t="s">
        <v>1844</v>
      </c>
      <c r="D71" s="514" t="s">
        <v>1845</v>
      </c>
      <c r="E71" s="549"/>
      <c r="F71" s="549" t="s">
        <v>1700</v>
      </c>
      <c r="G71" s="941">
        <f t="shared" si="32"/>
        <v>0</v>
      </c>
      <c r="H71" s="512">
        <v>0</v>
      </c>
      <c r="I71" s="512">
        <f>G71-H71</f>
        <v>0</v>
      </c>
      <c r="J71" s="941">
        <f t="shared" si="34"/>
        <v>0</v>
      </c>
      <c r="K71" s="941"/>
      <c r="L71" s="407"/>
      <c r="M71" s="512">
        <f t="shared" si="35"/>
        <v>0</v>
      </c>
      <c r="N71" s="941">
        <f t="shared" si="31"/>
        <v>0</v>
      </c>
      <c r="O71" s="295">
        <v>4</v>
      </c>
    </row>
    <row r="72" spans="1:15">
      <c r="A72" s="515" t="s">
        <v>1846</v>
      </c>
      <c r="B72" s="637">
        <v>454</v>
      </c>
      <c r="C72" s="515" t="s">
        <v>1847</v>
      </c>
      <c r="D72" s="514" t="s">
        <v>1848</v>
      </c>
      <c r="E72" s="549"/>
      <c r="F72" s="549" t="s">
        <v>1700</v>
      </c>
      <c r="G72" s="941">
        <f t="shared" si="32"/>
        <v>0</v>
      </c>
      <c r="H72" s="512">
        <v>0</v>
      </c>
      <c r="I72" s="512">
        <f>G72-H72</f>
        <v>0</v>
      </c>
      <c r="J72" s="941">
        <f t="shared" si="34"/>
        <v>0</v>
      </c>
      <c r="K72" s="941"/>
      <c r="L72" s="407"/>
      <c r="M72" s="512">
        <f t="shared" si="35"/>
        <v>0</v>
      </c>
      <c r="N72" s="941">
        <f t="shared" si="31"/>
        <v>0</v>
      </c>
      <c r="O72" s="295">
        <v>1</v>
      </c>
    </row>
    <row r="73" spans="1:15">
      <c r="A73" s="515" t="s">
        <v>1849</v>
      </c>
      <c r="B73" s="637">
        <v>454</v>
      </c>
      <c r="C73" s="637">
        <v>4206515</v>
      </c>
      <c r="D73" s="296" t="s">
        <v>1850</v>
      </c>
      <c r="E73" s="549">
        <v>1934300.33</v>
      </c>
      <c r="F73" s="549" t="s">
        <v>1701</v>
      </c>
      <c r="G73" s="941">
        <f t="shared" si="32"/>
        <v>0</v>
      </c>
      <c r="H73" s="512">
        <v>0</v>
      </c>
      <c r="I73" s="512">
        <f>G73-H73</f>
        <v>0</v>
      </c>
      <c r="J73" s="513">
        <f t="shared" si="34"/>
        <v>1934300.33</v>
      </c>
      <c r="K73" s="513" t="s">
        <v>1742</v>
      </c>
      <c r="L73" s="407">
        <v>1128691.04495798</v>
      </c>
      <c r="M73" s="512">
        <f t="shared" si="35"/>
        <v>805609.28504202003</v>
      </c>
      <c r="N73" s="941">
        <f t="shared" si="31"/>
        <v>0</v>
      </c>
      <c r="O73" s="295">
        <v>2</v>
      </c>
    </row>
    <row r="74" spans="1:15">
      <c r="A74" s="515" t="s">
        <v>1851</v>
      </c>
      <c r="B74" s="637">
        <v>454</v>
      </c>
      <c r="C74" s="637">
        <v>4184122</v>
      </c>
      <c r="D74" s="296" t="s">
        <v>1852</v>
      </c>
      <c r="E74" s="549"/>
      <c r="F74" s="549" t="s">
        <v>1700</v>
      </c>
      <c r="G74" s="941">
        <f t="shared" si="32"/>
        <v>0</v>
      </c>
      <c r="H74" s="512">
        <v>0</v>
      </c>
      <c r="I74" s="512">
        <f>G74-H74</f>
        <v>0</v>
      </c>
      <c r="J74" s="513">
        <f t="shared" si="34"/>
        <v>0</v>
      </c>
      <c r="K74" s="941"/>
      <c r="L74" s="407"/>
      <c r="M74" s="512">
        <f t="shared" si="35"/>
        <v>0</v>
      </c>
      <c r="N74" s="941">
        <f t="shared" si="31"/>
        <v>0</v>
      </c>
      <c r="O74" s="295">
        <v>4</v>
      </c>
    </row>
    <row r="75" spans="1:15">
      <c r="A75" s="515" t="s">
        <v>1853</v>
      </c>
      <c r="B75" s="637">
        <v>454</v>
      </c>
      <c r="C75" s="637">
        <v>4184124</v>
      </c>
      <c r="D75" s="296" t="s">
        <v>1854</v>
      </c>
      <c r="E75" s="549">
        <v>149552.46</v>
      </c>
      <c r="F75" s="549" t="s">
        <v>1700</v>
      </c>
      <c r="G75" s="941">
        <f t="shared" si="32"/>
        <v>149552.46</v>
      </c>
      <c r="H75" s="512">
        <v>0</v>
      </c>
      <c r="I75" s="512">
        <f>G75-H75</f>
        <v>149552.46</v>
      </c>
      <c r="J75" s="513">
        <f t="shared" si="34"/>
        <v>0</v>
      </c>
      <c r="K75" s="941"/>
      <c r="L75" s="407"/>
      <c r="M75" s="512">
        <f t="shared" si="35"/>
        <v>0</v>
      </c>
      <c r="N75" s="941">
        <f t="shared" si="31"/>
        <v>0</v>
      </c>
      <c r="O75" s="295">
        <v>4</v>
      </c>
    </row>
    <row r="76" spans="1:15">
      <c r="A76" s="515" t="s">
        <v>1855</v>
      </c>
      <c r="B76" s="637">
        <v>454</v>
      </c>
      <c r="C76" s="637">
        <v>4184821</v>
      </c>
      <c r="D76" s="296" t="s">
        <v>1856</v>
      </c>
      <c r="E76" s="549">
        <v>95520.09</v>
      </c>
      <c r="F76" s="549" t="s">
        <v>1702</v>
      </c>
      <c r="G76" s="941">
        <f>I76+H76</f>
        <v>6361.6379940000006</v>
      </c>
      <c r="H76" s="512">
        <f>E76*$D$289</f>
        <v>6361.6379940000006</v>
      </c>
      <c r="I76" s="512">
        <v>0</v>
      </c>
      <c r="J76" s="941">
        <f t="shared" si="34"/>
        <v>0</v>
      </c>
      <c r="K76" s="941"/>
      <c r="L76" s="407"/>
      <c r="M76" s="512">
        <f t="shared" si="30"/>
        <v>0</v>
      </c>
      <c r="N76" s="941">
        <f>IF(F76=$N$2,E76-H76,0)</f>
        <v>89158.452005999992</v>
      </c>
      <c r="O76" s="295" t="s">
        <v>1815</v>
      </c>
    </row>
    <row r="77" spans="1:15">
      <c r="A77" s="515" t="s">
        <v>1857</v>
      </c>
      <c r="B77" s="637">
        <v>454</v>
      </c>
      <c r="C77" s="637">
        <v>4184811</v>
      </c>
      <c r="D77" s="296" t="s">
        <v>1858</v>
      </c>
      <c r="E77" s="549">
        <v>703837.65</v>
      </c>
      <c r="F77" s="549" t="s">
        <v>1702</v>
      </c>
      <c r="G77" s="941">
        <f>I77+H77</f>
        <v>46875.587490000005</v>
      </c>
      <c r="H77" s="512">
        <f>E77*$D$289</f>
        <v>46875.587490000005</v>
      </c>
      <c r="I77" s="512">
        <v>0</v>
      </c>
      <c r="J77" s="513">
        <f t="shared" ref="J77" si="36">IF(F77=$J$2,E77,0)</f>
        <v>0</v>
      </c>
      <c r="K77" s="941"/>
      <c r="L77" s="407"/>
      <c r="M77" s="512">
        <f t="shared" si="30"/>
        <v>0</v>
      </c>
      <c r="N77" s="941">
        <f t="shared" ref="N77" si="37">IF(F77=$N$2,E77-H77,0)</f>
        <v>656962.06251000008</v>
      </c>
      <c r="O77" s="295" t="s">
        <v>1815</v>
      </c>
    </row>
    <row r="78" spans="1:15">
      <c r="A78" s="515" t="s">
        <v>1859</v>
      </c>
      <c r="B78" s="637">
        <v>454</v>
      </c>
      <c r="C78" s="637">
        <v>4184515</v>
      </c>
      <c r="D78" s="296" t="s">
        <v>1764</v>
      </c>
      <c r="E78" s="549"/>
      <c r="F78" s="549" t="s">
        <v>1702</v>
      </c>
      <c r="G78" s="941">
        <f>IF(F78=$G$2,E78,0)</f>
        <v>0</v>
      </c>
      <c r="H78" s="512">
        <v>0</v>
      </c>
      <c r="I78" s="512">
        <f>G78-H78</f>
        <v>0</v>
      </c>
      <c r="J78" s="513">
        <f>IF(F78=$J$2,E78,0)</f>
        <v>0</v>
      </c>
      <c r="K78" s="941"/>
      <c r="L78" s="407"/>
      <c r="M78" s="512">
        <f>J78-L78</f>
        <v>0</v>
      </c>
      <c r="N78" s="941">
        <f>IF(F78=$N$2,E78-H78,0)</f>
        <v>0</v>
      </c>
      <c r="O78" s="295">
        <v>6</v>
      </c>
    </row>
    <row r="79" spans="1:15">
      <c r="A79" s="515" t="s">
        <v>1860</v>
      </c>
      <c r="B79" s="637">
        <v>454</v>
      </c>
      <c r="C79" s="779">
        <v>4184126</v>
      </c>
      <c r="D79" s="780" t="s">
        <v>1861</v>
      </c>
      <c r="E79" s="549">
        <v>3447505.23</v>
      </c>
      <c r="F79" s="783" t="s">
        <v>1700</v>
      </c>
      <c r="G79" s="941">
        <f>IF(F79=$G$2,E79,0)</f>
        <v>3447505.23</v>
      </c>
      <c r="H79" s="512">
        <v>0</v>
      </c>
      <c r="I79" s="512">
        <f>G79-H79</f>
        <v>3447505.23</v>
      </c>
      <c r="J79" s="513">
        <f>IF(F79=$J$2,E79,0)</f>
        <v>0</v>
      </c>
      <c r="K79" s="941"/>
      <c r="L79" s="407"/>
      <c r="M79" s="512">
        <f t="shared" ref="M79:M83" si="38">J79-L79</f>
        <v>0</v>
      </c>
      <c r="N79" s="941">
        <f t="shared" ref="N79:N80" si="39">IF(F79=$N$2,E79-H79,0)</f>
        <v>0</v>
      </c>
      <c r="O79" s="295">
        <v>4</v>
      </c>
    </row>
    <row r="80" spans="1:15">
      <c r="A80" s="515" t="s">
        <v>1862</v>
      </c>
      <c r="B80" s="637">
        <v>454</v>
      </c>
      <c r="C80" s="781">
        <v>4184526</v>
      </c>
      <c r="D80" s="780" t="s">
        <v>1863</v>
      </c>
      <c r="E80" s="549">
        <v>59740.59</v>
      </c>
      <c r="F80" s="549" t="s">
        <v>1701</v>
      </c>
      <c r="G80" s="941">
        <f>IF(F80=$G$2,E80,0)</f>
        <v>0</v>
      </c>
      <c r="H80" s="512">
        <v>0</v>
      </c>
      <c r="I80" s="512">
        <f>G80-H80</f>
        <v>0</v>
      </c>
      <c r="J80" s="513">
        <f>IF(F80=$J$2,E80,0)</f>
        <v>59740.59</v>
      </c>
      <c r="K80" s="941" t="s">
        <v>1742</v>
      </c>
      <c r="L80" s="407">
        <v>0</v>
      </c>
      <c r="M80" s="512">
        <f t="shared" si="38"/>
        <v>59740.59</v>
      </c>
      <c r="N80" s="941">
        <f t="shared" si="39"/>
        <v>0</v>
      </c>
      <c r="O80" s="295">
        <v>2</v>
      </c>
    </row>
    <row r="81" spans="1:15">
      <c r="A81" s="515" t="s">
        <v>1864</v>
      </c>
      <c r="B81" s="637">
        <v>454</v>
      </c>
      <c r="C81" s="637">
        <v>4197020</v>
      </c>
      <c r="D81" s="704" t="s">
        <v>1865</v>
      </c>
      <c r="E81" s="549">
        <v>-722.02</v>
      </c>
      <c r="F81" s="549" t="s">
        <v>1700</v>
      </c>
      <c r="G81" s="513">
        <f t="shared" ref="G81:G83" si="40">IF(F81=$G$2,E81,0)</f>
        <v>-722.02</v>
      </c>
      <c r="H81" s="512">
        <v>0</v>
      </c>
      <c r="I81" s="512">
        <f>G81-H81</f>
        <v>-722.02</v>
      </c>
      <c r="J81" s="513">
        <f t="shared" ref="J81:J83" si="41">IF(F81=$J$2,E81,0)</f>
        <v>0</v>
      </c>
      <c r="K81" s="513"/>
      <c r="L81" s="407"/>
      <c r="M81" s="512">
        <f t="shared" si="38"/>
        <v>0</v>
      </c>
      <c r="N81" s="513">
        <f t="shared" ref="N81:N83" si="42">IF(F81=$N$2,E81,0)</f>
        <v>0</v>
      </c>
      <c r="O81" s="295">
        <v>4</v>
      </c>
    </row>
    <row r="82" spans="1:15">
      <c r="A82" s="515" t="s">
        <v>1866</v>
      </c>
      <c r="B82" s="1031">
        <v>454</v>
      </c>
      <c r="C82" s="637">
        <v>6120090</v>
      </c>
      <c r="D82" s="704" t="s">
        <v>1867</v>
      </c>
      <c r="E82" s="549">
        <v>-16561.400000000001</v>
      </c>
      <c r="F82" s="549" t="s">
        <v>1700</v>
      </c>
      <c r="G82" s="513">
        <f t="shared" si="40"/>
        <v>-16561.400000000001</v>
      </c>
      <c r="H82" s="512">
        <v>0</v>
      </c>
      <c r="I82" s="512">
        <f>G82-H82</f>
        <v>-16561.400000000001</v>
      </c>
      <c r="J82" s="513">
        <f t="shared" si="41"/>
        <v>0</v>
      </c>
      <c r="K82" s="513"/>
      <c r="L82" s="407"/>
      <c r="M82" s="512">
        <f t="shared" si="38"/>
        <v>0</v>
      </c>
      <c r="N82" s="513">
        <f t="shared" si="42"/>
        <v>0</v>
      </c>
      <c r="O82" s="295">
        <v>4</v>
      </c>
    </row>
    <row r="83" spans="1:15">
      <c r="A83" s="603" t="s">
        <v>3078</v>
      </c>
      <c r="B83" s="843">
        <v>454</v>
      </c>
      <c r="C83" s="843">
        <v>6120085</v>
      </c>
      <c r="D83" s="844" t="s">
        <v>3079</v>
      </c>
      <c r="E83" s="549">
        <v>-5660.38</v>
      </c>
      <c r="F83" s="549" t="s">
        <v>1700</v>
      </c>
      <c r="G83" s="549">
        <f t="shared" si="40"/>
        <v>-5660.38</v>
      </c>
      <c r="H83" s="407">
        <v>0</v>
      </c>
      <c r="I83" s="407">
        <f t="shared" ref="I83" si="43">G83-H83</f>
        <v>-5660.38</v>
      </c>
      <c r="J83" s="549">
        <f t="shared" si="41"/>
        <v>0</v>
      </c>
      <c r="K83" s="549"/>
      <c r="L83" s="855"/>
      <c r="M83" s="407">
        <f t="shared" si="38"/>
        <v>0</v>
      </c>
      <c r="N83" s="549">
        <f t="shared" si="42"/>
        <v>0</v>
      </c>
      <c r="O83" s="605">
        <v>4</v>
      </c>
    </row>
    <row r="84" spans="1:15">
      <c r="A84" s="603"/>
      <c r="B84" s="843"/>
      <c r="C84" s="845"/>
      <c r="D84" s="844"/>
      <c r="E84" s="549"/>
      <c r="F84" s="549"/>
      <c r="G84" s="854"/>
      <c r="H84" s="855"/>
      <c r="I84" s="855"/>
      <c r="J84" s="854"/>
      <c r="K84" s="854"/>
      <c r="L84" s="855"/>
      <c r="M84" s="855"/>
      <c r="N84" s="854"/>
      <c r="O84" s="799"/>
    </row>
    <row r="85" spans="1:15">
      <c r="A85" s="603"/>
      <c r="B85" s="843"/>
      <c r="C85" s="845"/>
      <c r="D85" s="844"/>
      <c r="E85" s="549"/>
      <c r="F85" s="549"/>
      <c r="G85" s="854"/>
      <c r="H85" s="855"/>
      <c r="I85" s="855"/>
      <c r="J85" s="854"/>
      <c r="K85" s="854"/>
      <c r="L85" s="855"/>
      <c r="M85" s="855"/>
      <c r="N85" s="854"/>
      <c r="O85" s="799"/>
    </row>
    <row r="86" spans="1:15" ht="13">
      <c r="A86" s="515">
        <v>11</v>
      </c>
      <c r="B86" s="1119" t="s">
        <v>1868</v>
      </c>
      <c r="C86" s="1120"/>
      <c r="D86" s="1121"/>
      <c r="E86" s="162">
        <f>SUM(E52:E83)</f>
        <v>84271201.970000014</v>
      </c>
      <c r="F86" s="169"/>
      <c r="G86" s="162">
        <f>SUM(G52:G83)</f>
        <v>56076861.330557995</v>
      </c>
      <c r="H86" s="162">
        <f t="shared" ref="H86:J86" si="44">SUM(H52:H83)</f>
        <v>145765.53055800003</v>
      </c>
      <c r="I86" s="162">
        <f t="shared" si="44"/>
        <v>55931095.799999997</v>
      </c>
      <c r="J86" s="162">
        <f t="shared" si="44"/>
        <v>26151434.540000003</v>
      </c>
      <c r="K86" s="169"/>
      <c r="L86" s="162">
        <f>SUM(L52:L83)</f>
        <v>5129954.1018713498</v>
      </c>
      <c r="M86" s="162">
        <f>SUM(M52:M83)</f>
        <v>21021480.438128654</v>
      </c>
      <c r="N86" s="162">
        <f>SUM(N52:N83)</f>
        <v>2042906.099442</v>
      </c>
      <c r="O86" s="110"/>
    </row>
    <row r="87" spans="1:15" ht="24.75" customHeight="1">
      <c r="A87" s="515">
        <v>12</v>
      </c>
      <c r="B87" s="1143" t="s">
        <v>1869</v>
      </c>
      <c r="C87" s="1144"/>
      <c r="D87" s="1145"/>
      <c r="E87" s="602">
        <v>84271202</v>
      </c>
      <c r="F87" s="161"/>
      <c r="G87" s="175"/>
      <c r="H87" s="161"/>
      <c r="I87" s="161"/>
      <c r="J87" s="158"/>
      <c r="K87" s="161"/>
      <c r="L87" s="158"/>
      <c r="M87" s="158"/>
      <c r="N87" s="158"/>
      <c r="O87" s="2"/>
    </row>
    <row r="88" spans="1:15" ht="13">
      <c r="A88" s="4"/>
      <c r="B88" s="1"/>
      <c r="C88" s="113"/>
      <c r="D88" s="113"/>
      <c r="E88" s="158"/>
      <c r="F88" s="158"/>
      <c r="G88" s="158"/>
      <c r="H88" s="161"/>
      <c r="I88" s="161"/>
      <c r="J88" s="158"/>
      <c r="K88" s="161"/>
      <c r="L88" s="158"/>
      <c r="M88" s="158"/>
      <c r="N88" s="158"/>
      <c r="O88" s="2"/>
    </row>
    <row r="89" spans="1:15">
      <c r="A89" s="515" t="s">
        <v>1870</v>
      </c>
      <c r="B89" s="637">
        <v>456</v>
      </c>
      <c r="C89" s="514" t="s">
        <v>1871</v>
      </c>
      <c r="D89" s="514" t="s">
        <v>1872</v>
      </c>
      <c r="E89" s="1061">
        <v>573502.32999999996</v>
      </c>
      <c r="F89" s="810" t="s">
        <v>1700</v>
      </c>
      <c r="G89" s="816">
        <f t="shared" ref="G89:G97" si="45">IF(F89=$G$2,E89,0)</f>
        <v>573502.32999999996</v>
      </c>
      <c r="H89" s="817">
        <v>0</v>
      </c>
      <c r="I89" s="817">
        <f t="shared" ref="I89:I97" si="46">G89-H89</f>
        <v>573502.32999999996</v>
      </c>
      <c r="J89" s="816">
        <f t="shared" ref="J89:J104" si="47">IF(F89=$J$2,E89,0)</f>
        <v>0</v>
      </c>
      <c r="K89" s="816"/>
      <c r="L89" s="811"/>
      <c r="M89" s="817">
        <f t="shared" ref="M89:M104" si="48">J89-L89</f>
        <v>0</v>
      </c>
      <c r="N89" s="816">
        <f t="shared" ref="N89:N97" si="49">IF(F89=$N$2,E89,0)</f>
        <v>0</v>
      </c>
      <c r="O89" s="817">
        <v>1</v>
      </c>
    </row>
    <row r="90" spans="1:15">
      <c r="A90" s="515" t="s">
        <v>1873</v>
      </c>
      <c r="B90" s="637">
        <v>456</v>
      </c>
      <c r="C90" s="514" t="s">
        <v>1874</v>
      </c>
      <c r="D90" s="1063" t="s">
        <v>1875</v>
      </c>
      <c r="E90" s="810">
        <v>607.20000000000005</v>
      </c>
      <c r="F90" s="1060" t="s">
        <v>1700</v>
      </c>
      <c r="G90" s="816">
        <f t="shared" si="45"/>
        <v>607.20000000000005</v>
      </c>
      <c r="H90" s="817">
        <v>0</v>
      </c>
      <c r="I90" s="817">
        <f t="shared" si="46"/>
        <v>607.20000000000005</v>
      </c>
      <c r="J90" s="816">
        <f t="shared" si="47"/>
        <v>0</v>
      </c>
      <c r="K90" s="816"/>
      <c r="L90" s="811"/>
      <c r="M90" s="817">
        <f t="shared" si="48"/>
        <v>0</v>
      </c>
      <c r="N90" s="816">
        <f t="shared" si="49"/>
        <v>0</v>
      </c>
      <c r="O90" s="817">
        <v>4</v>
      </c>
    </row>
    <row r="91" spans="1:15">
      <c r="A91" s="515" t="s">
        <v>1876</v>
      </c>
      <c r="B91" s="637">
        <v>456</v>
      </c>
      <c r="C91" s="514" t="s">
        <v>1877</v>
      </c>
      <c r="D91" s="514" t="s">
        <v>1878</v>
      </c>
      <c r="E91" s="1064">
        <v>24387.040000000001</v>
      </c>
      <c r="F91" s="810" t="s">
        <v>1700</v>
      </c>
      <c r="G91" s="816">
        <f t="shared" si="45"/>
        <v>24387.040000000001</v>
      </c>
      <c r="H91" s="817">
        <v>0</v>
      </c>
      <c r="I91" s="817">
        <f t="shared" si="46"/>
        <v>24387.040000000001</v>
      </c>
      <c r="J91" s="816">
        <f t="shared" si="47"/>
        <v>0</v>
      </c>
      <c r="K91" s="816"/>
      <c r="L91" s="811"/>
      <c r="M91" s="817">
        <f t="shared" si="48"/>
        <v>0</v>
      </c>
      <c r="N91" s="816">
        <f t="shared" si="49"/>
        <v>0</v>
      </c>
      <c r="O91" s="817">
        <v>4</v>
      </c>
    </row>
    <row r="92" spans="1:15">
      <c r="A92" s="515" t="s">
        <v>1879</v>
      </c>
      <c r="B92" s="637">
        <v>456</v>
      </c>
      <c r="C92" s="514" t="s">
        <v>1880</v>
      </c>
      <c r="D92" s="514" t="s">
        <v>1881</v>
      </c>
      <c r="E92" s="810"/>
      <c r="F92" s="810" t="s">
        <v>1700</v>
      </c>
      <c r="G92" s="816">
        <f t="shared" si="45"/>
        <v>0</v>
      </c>
      <c r="H92" s="817">
        <v>0</v>
      </c>
      <c r="I92" s="817">
        <f t="shared" si="46"/>
        <v>0</v>
      </c>
      <c r="J92" s="816">
        <f t="shared" si="47"/>
        <v>0</v>
      </c>
      <c r="K92" s="816"/>
      <c r="L92" s="811"/>
      <c r="M92" s="817">
        <f t="shared" si="48"/>
        <v>0</v>
      </c>
      <c r="N92" s="816">
        <f t="shared" si="49"/>
        <v>0</v>
      </c>
      <c r="O92" s="817">
        <v>3</v>
      </c>
    </row>
    <row r="93" spans="1:15">
      <c r="A93" s="515" t="s">
        <v>1882</v>
      </c>
      <c r="B93" s="637">
        <v>456</v>
      </c>
      <c r="C93" s="514" t="s">
        <v>1883</v>
      </c>
      <c r="D93" s="514" t="s">
        <v>1884</v>
      </c>
      <c r="E93" s="810"/>
      <c r="F93" s="810" t="s">
        <v>1700</v>
      </c>
      <c r="G93" s="816">
        <f t="shared" si="45"/>
        <v>0</v>
      </c>
      <c r="H93" s="817">
        <v>0</v>
      </c>
      <c r="I93" s="817">
        <f t="shared" si="46"/>
        <v>0</v>
      </c>
      <c r="J93" s="816">
        <f t="shared" si="47"/>
        <v>0</v>
      </c>
      <c r="K93" s="816"/>
      <c r="L93" s="811"/>
      <c r="M93" s="817">
        <f t="shared" si="48"/>
        <v>0</v>
      </c>
      <c r="N93" s="816">
        <f t="shared" si="49"/>
        <v>0</v>
      </c>
      <c r="O93" s="817">
        <v>1</v>
      </c>
    </row>
    <row r="94" spans="1:15">
      <c r="A94" s="515" t="s">
        <v>1885</v>
      </c>
      <c r="B94" s="637">
        <v>456</v>
      </c>
      <c r="C94" s="514" t="s">
        <v>1886</v>
      </c>
      <c r="D94" s="514" t="s">
        <v>1887</v>
      </c>
      <c r="E94" s="810">
        <v>1148951.49</v>
      </c>
      <c r="F94" s="810" t="s">
        <v>1700</v>
      </c>
      <c r="G94" s="816">
        <f t="shared" si="45"/>
        <v>1148951.49</v>
      </c>
      <c r="H94" s="817">
        <v>0</v>
      </c>
      <c r="I94" s="817">
        <f t="shared" si="46"/>
        <v>1148951.49</v>
      </c>
      <c r="J94" s="816">
        <f t="shared" si="47"/>
        <v>0</v>
      </c>
      <c r="K94" s="816"/>
      <c r="L94" s="811"/>
      <c r="M94" s="817">
        <f t="shared" si="48"/>
        <v>0</v>
      </c>
      <c r="N94" s="816">
        <f t="shared" si="49"/>
        <v>0</v>
      </c>
      <c r="O94" s="817">
        <v>1</v>
      </c>
    </row>
    <row r="95" spans="1:15">
      <c r="A95" s="515" t="s">
        <v>1888</v>
      </c>
      <c r="B95" s="637">
        <v>456</v>
      </c>
      <c r="C95" s="514" t="s">
        <v>1889</v>
      </c>
      <c r="D95" s="514" t="s">
        <v>1890</v>
      </c>
      <c r="E95" s="810"/>
      <c r="F95" s="810" t="s">
        <v>1700</v>
      </c>
      <c r="G95" s="816">
        <f t="shared" si="45"/>
        <v>0</v>
      </c>
      <c r="H95" s="817">
        <v>0</v>
      </c>
      <c r="I95" s="817">
        <f t="shared" si="46"/>
        <v>0</v>
      </c>
      <c r="J95" s="816">
        <f t="shared" si="47"/>
        <v>0</v>
      </c>
      <c r="K95" s="816"/>
      <c r="L95" s="811"/>
      <c r="M95" s="817">
        <f t="shared" si="48"/>
        <v>0</v>
      </c>
      <c r="N95" s="816">
        <f t="shared" si="49"/>
        <v>0</v>
      </c>
      <c r="O95" s="817">
        <v>3</v>
      </c>
    </row>
    <row r="96" spans="1:15">
      <c r="A96" s="515" t="s">
        <v>1891</v>
      </c>
      <c r="B96" s="637">
        <v>456</v>
      </c>
      <c r="C96" s="637">
        <v>4186142</v>
      </c>
      <c r="D96" s="514" t="s">
        <v>1892</v>
      </c>
      <c r="E96" s="810">
        <v>3427.67</v>
      </c>
      <c r="F96" s="810" t="s">
        <v>1700</v>
      </c>
      <c r="G96" s="816">
        <f t="shared" si="45"/>
        <v>3427.67</v>
      </c>
      <c r="H96" s="817">
        <v>0</v>
      </c>
      <c r="I96" s="817">
        <f t="shared" si="46"/>
        <v>3427.67</v>
      </c>
      <c r="J96" s="816">
        <f t="shared" si="47"/>
        <v>0</v>
      </c>
      <c r="K96" s="816"/>
      <c r="L96" s="811"/>
      <c r="M96" s="817">
        <f t="shared" si="48"/>
        <v>0</v>
      </c>
      <c r="N96" s="816">
        <f t="shared" si="49"/>
        <v>0</v>
      </c>
      <c r="O96" s="817">
        <v>4</v>
      </c>
    </row>
    <row r="97" spans="1:15">
      <c r="A97" s="515" t="s">
        <v>1893</v>
      </c>
      <c r="B97" s="637">
        <v>456</v>
      </c>
      <c r="C97" s="514" t="s">
        <v>1894</v>
      </c>
      <c r="D97" s="514" t="s">
        <v>1895</v>
      </c>
      <c r="E97" s="810"/>
      <c r="F97" s="810" t="s">
        <v>1700</v>
      </c>
      <c r="G97" s="816">
        <f t="shared" si="45"/>
        <v>0</v>
      </c>
      <c r="H97" s="817">
        <f>E97*$D$283</f>
        <v>0</v>
      </c>
      <c r="I97" s="817">
        <f t="shared" si="46"/>
        <v>0</v>
      </c>
      <c r="J97" s="816">
        <f t="shared" si="47"/>
        <v>0</v>
      </c>
      <c r="K97" s="816"/>
      <c r="L97" s="811"/>
      <c r="M97" s="817">
        <f t="shared" si="48"/>
        <v>0</v>
      </c>
      <c r="N97" s="816">
        <f t="shared" si="49"/>
        <v>0</v>
      </c>
      <c r="O97" s="817">
        <v>7</v>
      </c>
    </row>
    <row r="98" spans="1:15">
      <c r="A98" s="515" t="s">
        <v>1896</v>
      </c>
      <c r="B98" s="637">
        <v>456</v>
      </c>
      <c r="C98" s="514" t="s">
        <v>1897</v>
      </c>
      <c r="D98" s="514" t="s">
        <v>1898</v>
      </c>
      <c r="E98" s="810">
        <v>6795</v>
      </c>
      <c r="F98" s="810" t="s">
        <v>1702</v>
      </c>
      <c r="G98" s="816">
        <f>I98+H98</f>
        <v>452.54700000000003</v>
      </c>
      <c r="H98" s="817">
        <f>E98*$D$289</f>
        <v>452.54700000000003</v>
      </c>
      <c r="I98" s="817">
        <v>0</v>
      </c>
      <c r="J98" s="816">
        <f t="shared" si="47"/>
        <v>0</v>
      </c>
      <c r="K98" s="816"/>
      <c r="L98" s="811"/>
      <c r="M98" s="817">
        <f t="shared" si="48"/>
        <v>0</v>
      </c>
      <c r="N98" s="816">
        <f>IF(F98=$N$2,E98-H98,0)</f>
        <v>6342.4529999999995</v>
      </c>
      <c r="O98" s="817" t="s">
        <v>1815</v>
      </c>
    </row>
    <row r="99" spans="1:15">
      <c r="A99" s="515" t="s">
        <v>1899</v>
      </c>
      <c r="B99" s="637">
        <v>456</v>
      </c>
      <c r="C99" s="514" t="s">
        <v>1900</v>
      </c>
      <c r="D99" s="514" t="s">
        <v>1901</v>
      </c>
      <c r="E99" s="810"/>
      <c r="F99" s="810" t="s">
        <v>1700</v>
      </c>
      <c r="G99" s="816">
        <f t="shared" ref="G99:G138" si="50">IF(F99=$G$2,E99,0)</f>
        <v>0</v>
      </c>
      <c r="H99" s="817">
        <v>0</v>
      </c>
      <c r="I99" s="817">
        <f t="shared" ref="I99:I104" si="51">G99-H99</f>
        <v>0</v>
      </c>
      <c r="J99" s="816">
        <f t="shared" si="47"/>
        <v>0</v>
      </c>
      <c r="K99" s="816"/>
      <c r="L99" s="811"/>
      <c r="M99" s="817">
        <f t="shared" si="48"/>
        <v>0</v>
      </c>
      <c r="N99" s="816">
        <f t="shared" ref="N99:N104" si="52">IF(F99=$N$2,E99,0)</f>
        <v>0</v>
      </c>
      <c r="O99" s="817">
        <v>4</v>
      </c>
    </row>
    <row r="100" spans="1:15">
      <c r="A100" s="515" t="s">
        <v>1902</v>
      </c>
      <c r="B100" s="637">
        <v>456</v>
      </c>
      <c r="C100" s="514" t="s">
        <v>1903</v>
      </c>
      <c r="D100" s="514" t="s">
        <v>1904</v>
      </c>
      <c r="E100" s="810">
        <v>12101.68</v>
      </c>
      <c r="F100" s="810" t="s">
        <v>1700</v>
      </c>
      <c r="G100" s="816">
        <f t="shared" si="50"/>
        <v>12101.68</v>
      </c>
      <c r="H100" s="817">
        <v>0</v>
      </c>
      <c r="I100" s="817">
        <f t="shared" si="51"/>
        <v>12101.68</v>
      </c>
      <c r="J100" s="816">
        <f t="shared" si="47"/>
        <v>0</v>
      </c>
      <c r="K100" s="816"/>
      <c r="L100" s="811"/>
      <c r="M100" s="817">
        <f t="shared" si="48"/>
        <v>0</v>
      </c>
      <c r="N100" s="816">
        <f t="shared" si="52"/>
        <v>0</v>
      </c>
      <c r="O100" s="817">
        <v>4</v>
      </c>
    </row>
    <row r="101" spans="1:15">
      <c r="A101" s="515" t="s">
        <v>1905</v>
      </c>
      <c r="B101" s="637">
        <v>456</v>
      </c>
      <c r="C101" s="514" t="s">
        <v>1906</v>
      </c>
      <c r="D101" s="514" t="s">
        <v>1907</v>
      </c>
      <c r="E101" s="810"/>
      <c r="F101" s="810" t="s">
        <v>1700</v>
      </c>
      <c r="G101" s="816">
        <f t="shared" si="50"/>
        <v>0</v>
      </c>
      <c r="H101" s="817">
        <v>0</v>
      </c>
      <c r="I101" s="817">
        <f t="shared" si="51"/>
        <v>0</v>
      </c>
      <c r="J101" s="816">
        <f t="shared" si="47"/>
        <v>0</v>
      </c>
      <c r="K101" s="816"/>
      <c r="L101" s="811"/>
      <c r="M101" s="817">
        <f t="shared" si="48"/>
        <v>0</v>
      </c>
      <c r="N101" s="816">
        <f t="shared" si="52"/>
        <v>0</v>
      </c>
      <c r="O101" s="817">
        <v>4</v>
      </c>
    </row>
    <row r="102" spans="1:15">
      <c r="A102" s="515" t="s">
        <v>1908</v>
      </c>
      <c r="B102" s="637">
        <v>456</v>
      </c>
      <c r="C102" s="514" t="s">
        <v>1909</v>
      </c>
      <c r="D102" s="514" t="s">
        <v>1910</v>
      </c>
      <c r="E102" s="810">
        <v>827.58</v>
      </c>
      <c r="F102" s="810" t="s">
        <v>1700</v>
      </c>
      <c r="G102" s="816">
        <f t="shared" si="50"/>
        <v>827.58</v>
      </c>
      <c r="H102" s="817">
        <v>0</v>
      </c>
      <c r="I102" s="817">
        <f t="shared" si="51"/>
        <v>827.58</v>
      </c>
      <c r="J102" s="816">
        <f t="shared" si="47"/>
        <v>0</v>
      </c>
      <c r="K102" s="816"/>
      <c r="L102" s="811"/>
      <c r="M102" s="817">
        <f t="shared" si="48"/>
        <v>0</v>
      </c>
      <c r="N102" s="816">
        <f t="shared" si="52"/>
        <v>0</v>
      </c>
      <c r="O102" s="817">
        <v>4</v>
      </c>
    </row>
    <row r="103" spans="1:15">
      <c r="A103" s="515" t="s">
        <v>1911</v>
      </c>
      <c r="B103" s="637">
        <v>456</v>
      </c>
      <c r="C103" s="514" t="s">
        <v>1912</v>
      </c>
      <c r="D103" s="514" t="s">
        <v>1913</v>
      </c>
      <c r="E103" s="810"/>
      <c r="F103" s="810" t="s">
        <v>1700</v>
      </c>
      <c r="G103" s="816">
        <f t="shared" si="50"/>
        <v>0</v>
      </c>
      <c r="H103" s="817">
        <v>0</v>
      </c>
      <c r="I103" s="817">
        <f t="shared" si="51"/>
        <v>0</v>
      </c>
      <c r="J103" s="816">
        <f t="shared" si="47"/>
        <v>0</v>
      </c>
      <c r="K103" s="816"/>
      <c r="L103" s="811"/>
      <c r="M103" s="817">
        <f t="shared" si="48"/>
        <v>0</v>
      </c>
      <c r="N103" s="816">
        <f t="shared" si="52"/>
        <v>0</v>
      </c>
      <c r="O103" s="817">
        <v>4</v>
      </c>
    </row>
    <row r="104" spans="1:15">
      <c r="A104" s="515" t="s">
        <v>1914</v>
      </c>
      <c r="B104" s="637">
        <v>456</v>
      </c>
      <c r="C104" s="514" t="s">
        <v>1915</v>
      </c>
      <c r="D104" s="514" t="s">
        <v>1916</v>
      </c>
      <c r="E104" s="810">
        <v>208656</v>
      </c>
      <c r="F104" s="810" t="s">
        <v>1700</v>
      </c>
      <c r="G104" s="816">
        <f t="shared" si="50"/>
        <v>208656</v>
      </c>
      <c r="H104" s="817">
        <v>0</v>
      </c>
      <c r="I104" s="817">
        <f t="shared" si="51"/>
        <v>208656</v>
      </c>
      <c r="J104" s="816">
        <f t="shared" si="47"/>
        <v>0</v>
      </c>
      <c r="K104" s="816"/>
      <c r="L104" s="811"/>
      <c r="M104" s="817">
        <f t="shared" si="48"/>
        <v>0</v>
      </c>
      <c r="N104" s="816">
        <f t="shared" si="52"/>
        <v>0</v>
      </c>
      <c r="O104" s="817">
        <v>4</v>
      </c>
    </row>
    <row r="105" spans="1:15">
      <c r="A105" s="515" t="s">
        <v>1917</v>
      </c>
      <c r="B105" s="637">
        <v>456</v>
      </c>
      <c r="C105" s="514" t="s">
        <v>1918</v>
      </c>
      <c r="D105" s="514" t="s">
        <v>1919</v>
      </c>
      <c r="E105" s="803">
        <v>2099866.9500000002</v>
      </c>
      <c r="F105" s="810" t="s">
        <v>1701</v>
      </c>
      <c r="G105" s="816">
        <f t="shared" si="50"/>
        <v>0</v>
      </c>
      <c r="H105" s="817">
        <v>0</v>
      </c>
      <c r="I105" s="817">
        <f t="shared" ref="I105:I115" si="53">G105-H105</f>
        <v>0</v>
      </c>
      <c r="J105" s="816">
        <f t="shared" ref="J105:J115" si="54">IF(F105=$J$2,E105,0)</f>
        <v>2099866.9500000002</v>
      </c>
      <c r="K105" s="945" t="s">
        <v>1742</v>
      </c>
      <c r="L105" s="702">
        <v>237003.10189317999</v>
      </c>
      <c r="M105" s="817">
        <f t="shared" ref="M105:M115" si="55">J105-L105</f>
        <v>1862863.8481068201</v>
      </c>
      <c r="N105" s="816">
        <f t="shared" ref="N105:N115" si="56">IF(F105=$N$2,E105,0)</f>
        <v>0</v>
      </c>
      <c r="O105" s="817">
        <v>2</v>
      </c>
    </row>
    <row r="106" spans="1:15">
      <c r="A106" s="515" t="s">
        <v>1920</v>
      </c>
      <c r="B106" s="637">
        <v>456</v>
      </c>
      <c r="C106" s="514" t="s">
        <v>1921</v>
      </c>
      <c r="D106" s="514" t="s">
        <v>1922</v>
      </c>
      <c r="E106" s="810">
        <v>311885.5</v>
      </c>
      <c r="F106" s="810" t="s">
        <v>1701</v>
      </c>
      <c r="G106" s="816">
        <f t="shared" si="50"/>
        <v>0</v>
      </c>
      <c r="H106" s="817">
        <v>0</v>
      </c>
      <c r="I106" s="817">
        <f t="shared" si="53"/>
        <v>0</v>
      </c>
      <c r="J106" s="816">
        <f t="shared" si="54"/>
        <v>311885.5</v>
      </c>
      <c r="K106" s="945" t="s">
        <v>1742</v>
      </c>
      <c r="L106" s="818">
        <v>74800.039609975996</v>
      </c>
      <c r="M106" s="817">
        <f t="shared" si="55"/>
        <v>237085.460390024</v>
      </c>
      <c r="N106" s="816">
        <f t="shared" si="56"/>
        <v>0</v>
      </c>
      <c r="O106" s="817">
        <v>2</v>
      </c>
    </row>
    <row r="107" spans="1:15">
      <c r="A107" s="515" t="s">
        <v>1923</v>
      </c>
      <c r="B107" s="637">
        <v>456</v>
      </c>
      <c r="C107" s="514" t="s">
        <v>1924</v>
      </c>
      <c r="D107" s="514" t="s">
        <v>1925</v>
      </c>
      <c r="E107" s="810">
        <v>126675</v>
      </c>
      <c r="F107" s="810" t="s">
        <v>1701</v>
      </c>
      <c r="G107" s="816">
        <f t="shared" si="50"/>
        <v>0</v>
      </c>
      <c r="H107" s="817">
        <v>0</v>
      </c>
      <c r="I107" s="817">
        <f t="shared" si="53"/>
        <v>0</v>
      </c>
      <c r="J107" s="816">
        <f t="shared" si="54"/>
        <v>126675</v>
      </c>
      <c r="K107" s="945" t="s">
        <v>1742</v>
      </c>
      <c r="L107" s="811">
        <v>23250</v>
      </c>
      <c r="M107" s="817">
        <f t="shared" si="55"/>
        <v>103425</v>
      </c>
      <c r="N107" s="816">
        <f t="shared" si="56"/>
        <v>0</v>
      </c>
      <c r="O107" s="817">
        <v>2</v>
      </c>
    </row>
    <row r="108" spans="1:15">
      <c r="A108" s="515" t="s">
        <v>1926</v>
      </c>
      <c r="B108" s="637">
        <v>456</v>
      </c>
      <c r="C108" s="514" t="s">
        <v>1927</v>
      </c>
      <c r="D108" s="514" t="s">
        <v>1928</v>
      </c>
      <c r="E108" s="810"/>
      <c r="F108" s="810" t="s">
        <v>1701</v>
      </c>
      <c r="G108" s="816">
        <f t="shared" si="50"/>
        <v>0</v>
      </c>
      <c r="H108" s="817">
        <v>0</v>
      </c>
      <c r="I108" s="817">
        <f t="shared" si="53"/>
        <v>0</v>
      </c>
      <c r="J108" s="816">
        <f t="shared" si="54"/>
        <v>0</v>
      </c>
      <c r="K108" s="945" t="s">
        <v>1742</v>
      </c>
      <c r="L108" s="811"/>
      <c r="M108" s="817">
        <f t="shared" si="55"/>
        <v>0</v>
      </c>
      <c r="N108" s="816">
        <f t="shared" si="56"/>
        <v>0</v>
      </c>
      <c r="O108" s="817">
        <v>2</v>
      </c>
    </row>
    <row r="109" spans="1:15">
      <c r="A109" s="515" t="s">
        <v>1929</v>
      </c>
      <c r="B109" s="637">
        <v>456</v>
      </c>
      <c r="C109" s="514" t="s">
        <v>1930</v>
      </c>
      <c r="D109" s="514" t="s">
        <v>1931</v>
      </c>
      <c r="E109" s="810"/>
      <c r="F109" s="810" t="s">
        <v>1701</v>
      </c>
      <c r="G109" s="816">
        <f t="shared" si="50"/>
        <v>0</v>
      </c>
      <c r="H109" s="817">
        <v>0</v>
      </c>
      <c r="I109" s="817">
        <f t="shared" si="53"/>
        <v>0</v>
      </c>
      <c r="J109" s="816">
        <f t="shared" si="54"/>
        <v>0</v>
      </c>
      <c r="K109" s="945" t="s">
        <v>1742</v>
      </c>
      <c r="L109" s="811"/>
      <c r="M109" s="817">
        <f t="shared" si="55"/>
        <v>0</v>
      </c>
      <c r="N109" s="816">
        <f t="shared" si="56"/>
        <v>0</v>
      </c>
      <c r="O109" s="817">
        <v>2</v>
      </c>
    </row>
    <row r="110" spans="1:15">
      <c r="A110" s="515" t="s">
        <v>1932</v>
      </c>
      <c r="B110" s="637">
        <v>456</v>
      </c>
      <c r="C110" s="514" t="s">
        <v>1933</v>
      </c>
      <c r="D110" s="514" t="s">
        <v>1934</v>
      </c>
      <c r="E110" s="810"/>
      <c r="F110" s="810" t="s">
        <v>1701</v>
      </c>
      <c r="G110" s="816">
        <f t="shared" si="50"/>
        <v>0</v>
      </c>
      <c r="H110" s="817">
        <v>0</v>
      </c>
      <c r="I110" s="817">
        <f t="shared" si="53"/>
        <v>0</v>
      </c>
      <c r="J110" s="816">
        <f t="shared" si="54"/>
        <v>0</v>
      </c>
      <c r="K110" s="945" t="s">
        <v>1742</v>
      </c>
      <c r="L110" s="811"/>
      <c r="M110" s="817">
        <f t="shared" si="55"/>
        <v>0</v>
      </c>
      <c r="N110" s="816">
        <f t="shared" si="56"/>
        <v>0</v>
      </c>
      <c r="O110" s="817">
        <v>2</v>
      </c>
    </row>
    <row r="111" spans="1:15">
      <c r="A111" s="515" t="s">
        <v>1935</v>
      </c>
      <c r="B111" s="637">
        <v>456</v>
      </c>
      <c r="C111" s="514" t="s">
        <v>1936</v>
      </c>
      <c r="D111" s="514" t="s">
        <v>1937</v>
      </c>
      <c r="E111" s="810"/>
      <c r="F111" s="810" t="s">
        <v>1701</v>
      </c>
      <c r="G111" s="816">
        <f t="shared" si="50"/>
        <v>0</v>
      </c>
      <c r="H111" s="817">
        <v>0</v>
      </c>
      <c r="I111" s="817">
        <f t="shared" si="53"/>
        <v>0</v>
      </c>
      <c r="J111" s="816">
        <f t="shared" si="54"/>
        <v>0</v>
      </c>
      <c r="K111" s="945" t="s">
        <v>1486</v>
      </c>
      <c r="L111" s="811"/>
      <c r="M111" s="817">
        <f t="shared" si="55"/>
        <v>0</v>
      </c>
      <c r="N111" s="816">
        <f t="shared" si="56"/>
        <v>0</v>
      </c>
      <c r="O111" s="817">
        <v>2</v>
      </c>
    </row>
    <row r="112" spans="1:15">
      <c r="A112" s="295" t="s">
        <v>1938</v>
      </c>
      <c r="B112" s="637">
        <v>456</v>
      </c>
      <c r="C112" s="514" t="s">
        <v>1939</v>
      </c>
      <c r="D112" s="514" t="s">
        <v>1940</v>
      </c>
      <c r="E112" s="810"/>
      <c r="F112" s="810" t="s">
        <v>1701</v>
      </c>
      <c r="G112" s="816">
        <f t="shared" si="50"/>
        <v>0</v>
      </c>
      <c r="H112" s="817">
        <v>0</v>
      </c>
      <c r="I112" s="817">
        <f t="shared" si="53"/>
        <v>0</v>
      </c>
      <c r="J112" s="816">
        <f t="shared" si="54"/>
        <v>0</v>
      </c>
      <c r="K112" s="945" t="s">
        <v>1486</v>
      </c>
      <c r="L112" s="811"/>
      <c r="M112" s="817">
        <f t="shared" si="55"/>
        <v>0</v>
      </c>
      <c r="N112" s="816">
        <f t="shared" si="56"/>
        <v>0</v>
      </c>
      <c r="O112" s="817">
        <v>2</v>
      </c>
    </row>
    <row r="113" spans="1:15">
      <c r="A113" s="615" t="s">
        <v>1941</v>
      </c>
      <c r="B113" s="637">
        <v>456</v>
      </c>
      <c r="C113" s="514" t="s">
        <v>1942</v>
      </c>
      <c r="D113" s="514" t="s">
        <v>1943</v>
      </c>
      <c r="E113" s="810"/>
      <c r="F113" s="810" t="s">
        <v>1701</v>
      </c>
      <c r="G113" s="816">
        <f t="shared" si="50"/>
        <v>0</v>
      </c>
      <c r="H113" s="817">
        <v>0</v>
      </c>
      <c r="I113" s="817">
        <f t="shared" si="53"/>
        <v>0</v>
      </c>
      <c r="J113" s="816">
        <f t="shared" si="54"/>
        <v>0</v>
      </c>
      <c r="K113" s="945" t="s">
        <v>1486</v>
      </c>
      <c r="L113" s="811"/>
      <c r="M113" s="817">
        <f t="shared" si="55"/>
        <v>0</v>
      </c>
      <c r="N113" s="816">
        <f t="shared" si="56"/>
        <v>0</v>
      </c>
      <c r="O113" s="817">
        <v>2</v>
      </c>
    </row>
    <row r="114" spans="1:15">
      <c r="A114" s="295" t="s">
        <v>1944</v>
      </c>
      <c r="B114" s="637">
        <v>456</v>
      </c>
      <c r="C114" s="514" t="s">
        <v>1945</v>
      </c>
      <c r="D114" s="514" t="s">
        <v>1946</v>
      </c>
      <c r="E114" s="810"/>
      <c r="F114" s="810" t="s">
        <v>1701</v>
      </c>
      <c r="G114" s="816">
        <f t="shared" si="50"/>
        <v>0</v>
      </c>
      <c r="H114" s="817">
        <v>0</v>
      </c>
      <c r="I114" s="817">
        <f t="shared" si="53"/>
        <v>0</v>
      </c>
      <c r="J114" s="816">
        <f t="shared" si="54"/>
        <v>0</v>
      </c>
      <c r="K114" s="945" t="s">
        <v>1486</v>
      </c>
      <c r="L114" s="811"/>
      <c r="M114" s="817">
        <f t="shared" si="55"/>
        <v>0</v>
      </c>
      <c r="N114" s="816">
        <f t="shared" si="56"/>
        <v>0</v>
      </c>
      <c r="O114" s="817">
        <v>2</v>
      </c>
    </row>
    <row r="115" spans="1:15">
      <c r="A115" s="515" t="s">
        <v>1947</v>
      </c>
      <c r="B115" s="637">
        <v>456</v>
      </c>
      <c r="C115" s="514" t="s">
        <v>1948</v>
      </c>
      <c r="D115" s="514" t="s">
        <v>1949</v>
      </c>
      <c r="E115" s="810"/>
      <c r="F115" s="810" t="s">
        <v>1701</v>
      </c>
      <c r="G115" s="816">
        <f t="shared" si="50"/>
        <v>0</v>
      </c>
      <c r="H115" s="817">
        <v>0</v>
      </c>
      <c r="I115" s="817">
        <f t="shared" si="53"/>
        <v>0</v>
      </c>
      <c r="J115" s="816">
        <f t="shared" si="54"/>
        <v>0</v>
      </c>
      <c r="K115" s="945" t="s">
        <v>1486</v>
      </c>
      <c r="L115" s="818"/>
      <c r="M115" s="817">
        <f t="shared" si="55"/>
        <v>0</v>
      </c>
      <c r="N115" s="816">
        <f t="shared" si="56"/>
        <v>0</v>
      </c>
      <c r="O115" s="817">
        <v>2</v>
      </c>
    </row>
    <row r="116" spans="1:15">
      <c r="A116" s="515" t="s">
        <v>1950</v>
      </c>
      <c r="B116" s="637">
        <v>456</v>
      </c>
      <c r="C116" s="514" t="s">
        <v>1951</v>
      </c>
      <c r="D116" s="514" t="s">
        <v>1952</v>
      </c>
      <c r="E116" s="810"/>
      <c r="F116" s="810" t="s">
        <v>1702</v>
      </c>
      <c r="G116" s="816">
        <f t="shared" si="50"/>
        <v>0</v>
      </c>
      <c r="H116" s="817">
        <v>0</v>
      </c>
      <c r="I116" s="817">
        <f t="shared" ref="I116:I138" si="57">G116-H116</f>
        <v>0</v>
      </c>
      <c r="J116" s="816">
        <f t="shared" ref="J116:J138" si="58">IF(F116=$J$2,E116,0)</f>
        <v>0</v>
      </c>
      <c r="K116" s="816"/>
      <c r="L116" s="811"/>
      <c r="M116" s="817">
        <f t="shared" ref="M116:M138" si="59">J116-L116</f>
        <v>0</v>
      </c>
      <c r="N116" s="816">
        <f t="shared" ref="N116:N123" si="60">IF(F116=$N$2,E116,0)</f>
        <v>0</v>
      </c>
      <c r="O116" s="817">
        <v>6</v>
      </c>
    </row>
    <row r="117" spans="1:15">
      <c r="A117" s="515" t="s">
        <v>1953</v>
      </c>
      <c r="B117" s="637">
        <v>456</v>
      </c>
      <c r="C117" s="514" t="s">
        <v>1954</v>
      </c>
      <c r="D117" s="514" t="s">
        <v>1955</v>
      </c>
      <c r="E117" s="810">
        <v>25618052.699999999</v>
      </c>
      <c r="F117" s="810" t="s">
        <v>1700</v>
      </c>
      <c r="G117" s="816">
        <f t="shared" si="50"/>
        <v>25618052.699999999</v>
      </c>
      <c r="H117" s="817">
        <v>0</v>
      </c>
      <c r="I117" s="817">
        <f t="shared" si="57"/>
        <v>25618052.699999999</v>
      </c>
      <c r="J117" s="816">
        <f t="shared" si="58"/>
        <v>0</v>
      </c>
      <c r="K117" s="816"/>
      <c r="L117" s="811"/>
      <c r="M117" s="817">
        <f t="shared" si="59"/>
        <v>0</v>
      </c>
      <c r="N117" s="816">
        <f t="shared" si="60"/>
        <v>0</v>
      </c>
      <c r="O117" s="817">
        <v>4</v>
      </c>
    </row>
    <row r="118" spans="1:15">
      <c r="A118" s="515" t="s">
        <v>1956</v>
      </c>
      <c r="B118" s="637">
        <v>456</v>
      </c>
      <c r="C118" s="514" t="s">
        <v>1957</v>
      </c>
      <c r="D118" s="514" t="s">
        <v>1958</v>
      </c>
      <c r="E118" s="810">
        <v>-721443950.33000004</v>
      </c>
      <c r="F118" s="810" t="s">
        <v>1702</v>
      </c>
      <c r="G118" s="816">
        <f t="shared" si="50"/>
        <v>0</v>
      </c>
      <c r="H118" s="817">
        <v>0</v>
      </c>
      <c r="I118" s="817">
        <f t="shared" si="57"/>
        <v>0</v>
      </c>
      <c r="J118" s="816">
        <f t="shared" si="58"/>
        <v>0</v>
      </c>
      <c r="K118" s="816"/>
      <c r="L118" s="811"/>
      <c r="M118" s="817">
        <f t="shared" si="59"/>
        <v>0</v>
      </c>
      <c r="N118" s="816">
        <f t="shared" si="60"/>
        <v>-721443950.33000004</v>
      </c>
      <c r="O118" s="817">
        <v>6</v>
      </c>
    </row>
    <row r="119" spans="1:15">
      <c r="A119" s="515" t="s">
        <v>1959</v>
      </c>
      <c r="B119" s="637">
        <v>456</v>
      </c>
      <c r="C119" s="514" t="s">
        <v>1960</v>
      </c>
      <c r="D119" s="514" t="s">
        <v>1961</v>
      </c>
      <c r="E119" s="810">
        <v>-298293178.63</v>
      </c>
      <c r="F119" s="810" t="s">
        <v>1702</v>
      </c>
      <c r="G119" s="816">
        <f t="shared" si="50"/>
        <v>0</v>
      </c>
      <c r="H119" s="817">
        <v>0</v>
      </c>
      <c r="I119" s="817">
        <f t="shared" si="57"/>
        <v>0</v>
      </c>
      <c r="J119" s="816">
        <f t="shared" si="58"/>
        <v>0</v>
      </c>
      <c r="K119" s="816"/>
      <c r="L119" s="811"/>
      <c r="M119" s="817">
        <f t="shared" si="59"/>
        <v>0</v>
      </c>
      <c r="N119" s="816">
        <f t="shared" si="60"/>
        <v>-298293178.63</v>
      </c>
      <c r="O119" s="817">
        <v>6</v>
      </c>
    </row>
    <row r="120" spans="1:15">
      <c r="A120" s="515" t="s">
        <v>1962</v>
      </c>
      <c r="B120" s="637">
        <v>456</v>
      </c>
      <c r="C120" s="514" t="s">
        <v>1963</v>
      </c>
      <c r="D120" s="514" t="s">
        <v>1964</v>
      </c>
      <c r="E120" s="810">
        <v>721443950.33000004</v>
      </c>
      <c r="F120" s="810" t="s">
        <v>1702</v>
      </c>
      <c r="G120" s="816">
        <f t="shared" si="50"/>
        <v>0</v>
      </c>
      <c r="H120" s="817">
        <v>0</v>
      </c>
      <c r="I120" s="817">
        <f t="shared" si="57"/>
        <v>0</v>
      </c>
      <c r="J120" s="816">
        <f t="shared" si="58"/>
        <v>0</v>
      </c>
      <c r="K120" s="816"/>
      <c r="L120" s="811"/>
      <c r="M120" s="817">
        <f t="shared" si="59"/>
        <v>0</v>
      </c>
      <c r="N120" s="816">
        <f t="shared" si="60"/>
        <v>721443950.33000004</v>
      </c>
      <c r="O120" s="817">
        <v>6</v>
      </c>
    </row>
    <row r="121" spans="1:15">
      <c r="A121" s="515" t="s">
        <v>1965</v>
      </c>
      <c r="B121" s="637">
        <v>456</v>
      </c>
      <c r="C121" s="514" t="s">
        <v>1966</v>
      </c>
      <c r="D121" s="514" t="s">
        <v>1967</v>
      </c>
      <c r="E121" s="810">
        <v>298293178.63</v>
      </c>
      <c r="F121" s="810" t="s">
        <v>1702</v>
      </c>
      <c r="G121" s="816">
        <f t="shared" si="50"/>
        <v>0</v>
      </c>
      <c r="H121" s="817">
        <v>0</v>
      </c>
      <c r="I121" s="817">
        <f t="shared" si="57"/>
        <v>0</v>
      </c>
      <c r="J121" s="816">
        <f t="shared" si="58"/>
        <v>0</v>
      </c>
      <c r="K121" s="816"/>
      <c r="L121" s="811"/>
      <c r="M121" s="817">
        <f t="shared" si="59"/>
        <v>0</v>
      </c>
      <c r="N121" s="816">
        <f t="shared" si="60"/>
        <v>298293178.63</v>
      </c>
      <c r="O121" s="817">
        <v>6</v>
      </c>
    </row>
    <row r="122" spans="1:15">
      <c r="A122" s="515" t="s">
        <v>1968</v>
      </c>
      <c r="B122" s="637">
        <v>456</v>
      </c>
      <c r="C122" s="514" t="s">
        <v>1969</v>
      </c>
      <c r="D122" s="514" t="s">
        <v>1970</v>
      </c>
      <c r="E122" s="810">
        <v>102852578.28</v>
      </c>
      <c r="F122" s="810" t="s">
        <v>1702</v>
      </c>
      <c r="G122" s="816">
        <f t="shared" si="50"/>
        <v>0</v>
      </c>
      <c r="H122" s="817">
        <v>0</v>
      </c>
      <c r="I122" s="817">
        <f t="shared" si="57"/>
        <v>0</v>
      </c>
      <c r="J122" s="816">
        <f t="shared" si="58"/>
        <v>0</v>
      </c>
      <c r="K122" s="816"/>
      <c r="L122" s="811"/>
      <c r="M122" s="817">
        <f t="shared" si="59"/>
        <v>0</v>
      </c>
      <c r="N122" s="816">
        <f t="shared" si="60"/>
        <v>102852578.28</v>
      </c>
      <c r="O122" s="817">
        <v>6</v>
      </c>
    </row>
    <row r="123" spans="1:15">
      <c r="A123" s="515" t="s">
        <v>1971</v>
      </c>
      <c r="B123" s="637">
        <v>456</v>
      </c>
      <c r="C123" s="514" t="s">
        <v>1972</v>
      </c>
      <c r="D123" s="514" t="s">
        <v>1973</v>
      </c>
      <c r="E123" s="810">
        <v>-102852578.28</v>
      </c>
      <c r="F123" s="810" t="s">
        <v>1702</v>
      </c>
      <c r="G123" s="816">
        <f t="shared" si="50"/>
        <v>0</v>
      </c>
      <c r="H123" s="817">
        <v>0</v>
      </c>
      <c r="I123" s="817">
        <f t="shared" si="57"/>
        <v>0</v>
      </c>
      <c r="J123" s="816">
        <f t="shared" si="58"/>
        <v>0</v>
      </c>
      <c r="K123" s="816"/>
      <c r="L123" s="811"/>
      <c r="M123" s="817">
        <f t="shared" si="59"/>
        <v>0</v>
      </c>
      <c r="N123" s="816">
        <f t="shared" si="60"/>
        <v>-102852578.28</v>
      </c>
      <c r="O123" s="817">
        <v>6</v>
      </c>
    </row>
    <row r="124" spans="1:15">
      <c r="A124" s="515" t="s">
        <v>1974</v>
      </c>
      <c r="B124" s="637">
        <v>456</v>
      </c>
      <c r="C124" s="514" t="s">
        <v>1975</v>
      </c>
      <c r="D124" s="514" t="s">
        <v>1976</v>
      </c>
      <c r="E124" s="810"/>
      <c r="F124" s="810" t="s">
        <v>1701</v>
      </c>
      <c r="G124" s="816">
        <f t="shared" si="50"/>
        <v>0</v>
      </c>
      <c r="H124" s="817">
        <v>0</v>
      </c>
      <c r="I124" s="817">
        <f t="shared" si="57"/>
        <v>0</v>
      </c>
      <c r="J124" s="816">
        <f t="shared" si="58"/>
        <v>0</v>
      </c>
      <c r="K124" s="945" t="s">
        <v>1486</v>
      </c>
      <c r="L124" s="811"/>
      <c r="M124" s="817">
        <f t="shared" si="59"/>
        <v>0</v>
      </c>
      <c r="N124" s="816">
        <f t="shared" ref="N124:N125" si="61">IF(F124=$N$2,E124,0)</f>
        <v>0</v>
      </c>
      <c r="O124" s="817">
        <v>2</v>
      </c>
    </row>
    <row r="125" spans="1:15">
      <c r="A125" s="515" t="s">
        <v>1977</v>
      </c>
      <c r="B125" s="637">
        <v>456</v>
      </c>
      <c r="C125" s="514" t="s">
        <v>1978</v>
      </c>
      <c r="D125" s="514" t="s">
        <v>1979</v>
      </c>
      <c r="E125" s="818"/>
      <c r="F125" s="810" t="s">
        <v>1701</v>
      </c>
      <c r="G125" s="816">
        <f t="shared" si="50"/>
        <v>0</v>
      </c>
      <c r="H125" s="817">
        <v>0</v>
      </c>
      <c r="I125" s="817">
        <f t="shared" si="57"/>
        <v>0</v>
      </c>
      <c r="J125" s="816">
        <f t="shared" si="58"/>
        <v>0</v>
      </c>
      <c r="K125" s="945" t="s">
        <v>1486</v>
      </c>
      <c r="L125" s="818"/>
      <c r="M125" s="817">
        <f t="shared" si="59"/>
        <v>0</v>
      </c>
      <c r="N125" s="816">
        <f t="shared" si="61"/>
        <v>0</v>
      </c>
      <c r="O125" s="817">
        <v>2</v>
      </c>
    </row>
    <row r="126" spans="1:15">
      <c r="A126" s="515" t="s">
        <v>1980</v>
      </c>
      <c r="B126" s="637">
        <v>456</v>
      </c>
      <c r="C126" s="514" t="s">
        <v>1981</v>
      </c>
      <c r="D126" s="514" t="s">
        <v>1982</v>
      </c>
      <c r="E126" s="810">
        <v>59545.62</v>
      </c>
      <c r="F126" s="810" t="s">
        <v>1700</v>
      </c>
      <c r="G126" s="816">
        <f t="shared" si="50"/>
        <v>59545.62</v>
      </c>
      <c r="H126" s="817">
        <v>0</v>
      </c>
      <c r="I126" s="817">
        <f t="shared" si="57"/>
        <v>59545.62</v>
      </c>
      <c r="J126" s="816">
        <f t="shared" si="58"/>
        <v>0</v>
      </c>
      <c r="K126" s="816"/>
      <c r="L126" s="811"/>
      <c r="M126" s="817">
        <f t="shared" si="59"/>
        <v>0</v>
      </c>
      <c r="N126" s="816">
        <f t="shared" ref="N126:N141" si="62">IF(F126=$N$2,E126,0)</f>
        <v>0</v>
      </c>
      <c r="O126" s="817">
        <v>1</v>
      </c>
    </row>
    <row r="127" spans="1:15">
      <c r="A127" s="515" t="s">
        <v>1983</v>
      </c>
      <c r="B127" s="637">
        <v>456</v>
      </c>
      <c r="C127" s="514" t="s">
        <v>1984</v>
      </c>
      <c r="D127" s="514" t="s">
        <v>1985</v>
      </c>
      <c r="E127" s="810">
        <v>8959068.8699999992</v>
      </c>
      <c r="F127" s="810" t="s">
        <v>1700</v>
      </c>
      <c r="G127" s="816">
        <f t="shared" si="50"/>
        <v>8959068.8699999992</v>
      </c>
      <c r="H127" s="817">
        <v>0</v>
      </c>
      <c r="I127" s="817">
        <f t="shared" si="57"/>
        <v>8959068.8699999992</v>
      </c>
      <c r="J127" s="816">
        <f t="shared" si="58"/>
        <v>0</v>
      </c>
      <c r="K127" s="816"/>
      <c r="L127" s="811"/>
      <c r="M127" s="817">
        <f t="shared" si="59"/>
        <v>0</v>
      </c>
      <c r="N127" s="816">
        <f t="shared" si="62"/>
        <v>0</v>
      </c>
      <c r="O127" s="817">
        <v>4</v>
      </c>
    </row>
    <row r="128" spans="1:15">
      <c r="A128" s="515" t="s">
        <v>1986</v>
      </c>
      <c r="B128" s="637">
        <v>456</v>
      </c>
      <c r="C128" s="514" t="s">
        <v>1987</v>
      </c>
      <c r="D128" s="514" t="s">
        <v>1988</v>
      </c>
      <c r="E128" s="810"/>
      <c r="F128" s="810" t="s">
        <v>1700</v>
      </c>
      <c r="G128" s="816">
        <f t="shared" si="50"/>
        <v>0</v>
      </c>
      <c r="H128" s="817">
        <v>0</v>
      </c>
      <c r="I128" s="817">
        <f t="shared" si="57"/>
        <v>0</v>
      </c>
      <c r="J128" s="816">
        <f t="shared" si="58"/>
        <v>0</v>
      </c>
      <c r="K128" s="816"/>
      <c r="L128" s="811"/>
      <c r="M128" s="817">
        <f t="shared" si="59"/>
        <v>0</v>
      </c>
      <c r="N128" s="816">
        <f t="shared" si="62"/>
        <v>0</v>
      </c>
      <c r="O128" s="817">
        <v>4</v>
      </c>
    </row>
    <row r="129" spans="1:15">
      <c r="A129" s="515" t="s">
        <v>1989</v>
      </c>
      <c r="B129" s="637">
        <v>456</v>
      </c>
      <c r="C129" s="514" t="s">
        <v>1990</v>
      </c>
      <c r="D129" s="514" t="s">
        <v>1991</v>
      </c>
      <c r="E129" s="810"/>
      <c r="F129" s="810" t="s">
        <v>1700</v>
      </c>
      <c r="G129" s="816">
        <f t="shared" si="50"/>
        <v>0</v>
      </c>
      <c r="H129" s="817">
        <v>0</v>
      </c>
      <c r="I129" s="817">
        <f t="shared" si="57"/>
        <v>0</v>
      </c>
      <c r="J129" s="816">
        <f t="shared" si="58"/>
        <v>0</v>
      </c>
      <c r="K129" s="816"/>
      <c r="L129" s="811"/>
      <c r="M129" s="817">
        <f t="shared" si="59"/>
        <v>0</v>
      </c>
      <c r="N129" s="816">
        <f t="shared" si="62"/>
        <v>0</v>
      </c>
      <c r="O129" s="817">
        <v>4</v>
      </c>
    </row>
    <row r="130" spans="1:15">
      <c r="A130" s="515" t="s">
        <v>1992</v>
      </c>
      <c r="B130" s="637">
        <v>456</v>
      </c>
      <c r="C130" s="514" t="s">
        <v>1993</v>
      </c>
      <c r="D130" s="514" t="s">
        <v>1994</v>
      </c>
      <c r="E130" s="810"/>
      <c r="F130" s="810" t="s">
        <v>1700</v>
      </c>
      <c r="G130" s="816">
        <f t="shared" si="50"/>
        <v>0</v>
      </c>
      <c r="H130" s="817">
        <v>0</v>
      </c>
      <c r="I130" s="817">
        <f t="shared" si="57"/>
        <v>0</v>
      </c>
      <c r="J130" s="816">
        <f t="shared" si="58"/>
        <v>0</v>
      </c>
      <c r="K130" s="816"/>
      <c r="L130" s="811"/>
      <c r="M130" s="817">
        <f t="shared" si="59"/>
        <v>0</v>
      </c>
      <c r="N130" s="816">
        <f t="shared" si="62"/>
        <v>0</v>
      </c>
      <c r="O130" s="817">
        <v>1</v>
      </c>
    </row>
    <row r="131" spans="1:15">
      <c r="A131" s="515" t="s">
        <v>1995</v>
      </c>
      <c r="B131" s="637">
        <v>456</v>
      </c>
      <c r="C131" s="514" t="s">
        <v>1996</v>
      </c>
      <c r="D131" s="514" t="s">
        <v>1997</v>
      </c>
      <c r="E131" s="810"/>
      <c r="F131" s="810" t="s">
        <v>1700</v>
      </c>
      <c r="G131" s="816">
        <f t="shared" si="50"/>
        <v>0</v>
      </c>
      <c r="H131" s="817">
        <v>0</v>
      </c>
      <c r="I131" s="817">
        <f t="shared" si="57"/>
        <v>0</v>
      </c>
      <c r="J131" s="816">
        <f t="shared" si="58"/>
        <v>0</v>
      </c>
      <c r="K131" s="816"/>
      <c r="L131" s="811"/>
      <c r="M131" s="817">
        <f t="shared" si="59"/>
        <v>0</v>
      </c>
      <c r="N131" s="816">
        <f t="shared" si="62"/>
        <v>0</v>
      </c>
      <c r="O131" s="817">
        <v>4</v>
      </c>
    </row>
    <row r="132" spans="1:15">
      <c r="A132" s="515" t="s">
        <v>1998</v>
      </c>
      <c r="B132" s="637">
        <v>456</v>
      </c>
      <c r="C132" s="514" t="s">
        <v>1999</v>
      </c>
      <c r="D132" s="514" t="s">
        <v>2000</v>
      </c>
      <c r="E132" s="810"/>
      <c r="F132" s="810" t="s">
        <v>1700</v>
      </c>
      <c r="G132" s="816">
        <f t="shared" si="50"/>
        <v>0</v>
      </c>
      <c r="H132" s="811"/>
      <c r="I132" s="817">
        <f t="shared" si="57"/>
        <v>0</v>
      </c>
      <c r="J132" s="816">
        <f t="shared" si="58"/>
        <v>0</v>
      </c>
      <c r="K132" s="816"/>
      <c r="L132" s="811"/>
      <c r="M132" s="817">
        <f t="shared" si="59"/>
        <v>0</v>
      </c>
      <c r="N132" s="816">
        <f t="shared" si="62"/>
        <v>0</v>
      </c>
      <c r="O132" s="817">
        <v>8</v>
      </c>
    </row>
    <row r="133" spans="1:15">
      <c r="A133" s="515" t="s">
        <v>2001</v>
      </c>
      <c r="B133" s="637">
        <v>456</v>
      </c>
      <c r="C133" s="514" t="s">
        <v>2002</v>
      </c>
      <c r="D133" s="514" t="s">
        <v>2003</v>
      </c>
      <c r="E133" s="810"/>
      <c r="F133" s="810" t="s">
        <v>1700</v>
      </c>
      <c r="G133" s="816">
        <f t="shared" si="50"/>
        <v>0</v>
      </c>
      <c r="H133" s="817">
        <v>0</v>
      </c>
      <c r="I133" s="817">
        <f t="shared" si="57"/>
        <v>0</v>
      </c>
      <c r="J133" s="816">
        <f t="shared" si="58"/>
        <v>0</v>
      </c>
      <c r="K133" s="816"/>
      <c r="L133" s="811"/>
      <c r="M133" s="817">
        <f t="shared" si="59"/>
        <v>0</v>
      </c>
      <c r="N133" s="816">
        <f t="shared" si="62"/>
        <v>0</v>
      </c>
      <c r="O133" s="817">
        <v>4</v>
      </c>
    </row>
    <row r="134" spans="1:15">
      <c r="A134" s="515" t="s">
        <v>2004</v>
      </c>
      <c r="B134" s="637">
        <v>456</v>
      </c>
      <c r="C134" s="514" t="s">
        <v>2005</v>
      </c>
      <c r="D134" s="514" t="s">
        <v>2006</v>
      </c>
      <c r="E134" s="810"/>
      <c r="F134" s="810" t="s">
        <v>1700</v>
      </c>
      <c r="G134" s="816">
        <f t="shared" si="50"/>
        <v>0</v>
      </c>
      <c r="H134" s="817">
        <v>0</v>
      </c>
      <c r="I134" s="817">
        <f t="shared" si="57"/>
        <v>0</v>
      </c>
      <c r="J134" s="816">
        <f t="shared" si="58"/>
        <v>0</v>
      </c>
      <c r="K134" s="816"/>
      <c r="L134" s="811"/>
      <c r="M134" s="817">
        <f t="shared" si="59"/>
        <v>0</v>
      </c>
      <c r="N134" s="816">
        <f t="shared" si="62"/>
        <v>0</v>
      </c>
      <c r="O134" s="817">
        <v>4</v>
      </c>
    </row>
    <row r="135" spans="1:15">
      <c r="A135" s="515" t="s">
        <v>2007</v>
      </c>
      <c r="B135" s="637">
        <v>456</v>
      </c>
      <c r="C135" s="514" t="s">
        <v>2008</v>
      </c>
      <c r="D135" s="514" t="s">
        <v>2009</v>
      </c>
      <c r="E135" s="810">
        <v>2484849.04</v>
      </c>
      <c r="F135" s="810" t="s">
        <v>1700</v>
      </c>
      <c r="G135" s="816">
        <f t="shared" si="50"/>
        <v>2484849.04</v>
      </c>
      <c r="H135" s="817">
        <v>0</v>
      </c>
      <c r="I135" s="817">
        <f t="shared" si="57"/>
        <v>2484849.04</v>
      </c>
      <c r="J135" s="816">
        <f t="shared" si="58"/>
        <v>0</v>
      </c>
      <c r="K135" s="816"/>
      <c r="L135" s="811"/>
      <c r="M135" s="817">
        <f t="shared" si="59"/>
        <v>0</v>
      </c>
      <c r="N135" s="816">
        <f t="shared" si="62"/>
        <v>0</v>
      </c>
      <c r="O135" s="817">
        <v>6</v>
      </c>
    </row>
    <row r="136" spans="1:15">
      <c r="A136" s="515" t="s">
        <v>2010</v>
      </c>
      <c r="B136" s="637">
        <v>456</v>
      </c>
      <c r="C136" s="515" t="s">
        <v>1847</v>
      </c>
      <c r="D136" s="514" t="s">
        <v>1848</v>
      </c>
      <c r="E136" s="810"/>
      <c r="F136" s="810" t="s">
        <v>1700</v>
      </c>
      <c r="G136" s="816">
        <f t="shared" si="50"/>
        <v>0</v>
      </c>
      <c r="H136" s="817">
        <v>0</v>
      </c>
      <c r="I136" s="817">
        <f t="shared" si="57"/>
        <v>0</v>
      </c>
      <c r="J136" s="816">
        <f t="shared" si="58"/>
        <v>0</v>
      </c>
      <c r="K136" s="816"/>
      <c r="L136" s="811"/>
      <c r="M136" s="817">
        <f t="shared" si="59"/>
        <v>0</v>
      </c>
      <c r="N136" s="816">
        <f t="shared" si="62"/>
        <v>0</v>
      </c>
      <c r="O136" s="817">
        <v>1</v>
      </c>
    </row>
    <row r="137" spans="1:15">
      <c r="A137" s="515" t="s">
        <v>2011</v>
      </c>
      <c r="B137" s="637">
        <v>456</v>
      </c>
      <c r="C137" s="637">
        <v>4186911</v>
      </c>
      <c r="D137" s="296" t="s">
        <v>2012</v>
      </c>
      <c r="E137" s="810">
        <v>3353919</v>
      </c>
      <c r="F137" s="810" t="s">
        <v>1702</v>
      </c>
      <c r="G137" s="816">
        <f t="shared" si="50"/>
        <v>0</v>
      </c>
      <c r="H137" s="817">
        <v>0</v>
      </c>
      <c r="I137" s="817">
        <f t="shared" si="57"/>
        <v>0</v>
      </c>
      <c r="J137" s="816">
        <f t="shared" si="58"/>
        <v>0</v>
      </c>
      <c r="K137" s="816"/>
      <c r="L137" s="811"/>
      <c r="M137" s="817">
        <f t="shared" si="59"/>
        <v>0</v>
      </c>
      <c r="N137" s="816">
        <f t="shared" si="62"/>
        <v>3353919</v>
      </c>
      <c r="O137" s="817">
        <v>6</v>
      </c>
    </row>
    <row r="138" spans="1:15">
      <c r="A138" s="515" t="s">
        <v>1938</v>
      </c>
      <c r="B138" s="637">
        <v>456</v>
      </c>
      <c r="C138" s="637">
        <v>4186925</v>
      </c>
      <c r="D138" s="296" t="s">
        <v>2013</v>
      </c>
      <c r="E138" s="810">
        <v>700179281.60000002</v>
      </c>
      <c r="F138" s="810" t="s">
        <v>1702</v>
      </c>
      <c r="G138" s="816">
        <f t="shared" si="50"/>
        <v>0</v>
      </c>
      <c r="H138" s="817">
        <v>0</v>
      </c>
      <c r="I138" s="817">
        <f t="shared" si="57"/>
        <v>0</v>
      </c>
      <c r="J138" s="816">
        <f t="shared" si="58"/>
        <v>0</v>
      </c>
      <c r="K138" s="816"/>
      <c r="L138" s="811"/>
      <c r="M138" s="817">
        <f t="shared" si="59"/>
        <v>0</v>
      </c>
      <c r="N138" s="816">
        <f t="shared" si="62"/>
        <v>700179281.60000002</v>
      </c>
      <c r="O138" s="817">
        <v>6</v>
      </c>
    </row>
    <row r="139" spans="1:15">
      <c r="A139" s="515" t="s">
        <v>1941</v>
      </c>
      <c r="B139" s="637">
        <v>456</v>
      </c>
      <c r="C139" s="637">
        <v>4186132</v>
      </c>
      <c r="D139" s="296" t="s">
        <v>2014</v>
      </c>
      <c r="E139" s="810">
        <v>335413.33</v>
      </c>
      <c r="F139" s="810" t="s">
        <v>1700</v>
      </c>
      <c r="G139" s="816">
        <f t="shared" ref="G139:G144" si="63">IF(F139=$G$2,E139,0)</f>
        <v>335413.33</v>
      </c>
      <c r="H139" s="817">
        <v>0</v>
      </c>
      <c r="I139" s="817">
        <f t="shared" ref="I139:I144" si="64">G139-H139</f>
        <v>335413.33</v>
      </c>
      <c r="J139" s="816">
        <f t="shared" ref="J139:J144" si="65">IF(F139=$J$2,E139,0)</f>
        <v>0</v>
      </c>
      <c r="K139" s="816"/>
      <c r="L139" s="811"/>
      <c r="M139" s="817">
        <f t="shared" ref="M139:M144" si="66">J139-L139</f>
        <v>0</v>
      </c>
      <c r="N139" s="816">
        <f t="shared" si="62"/>
        <v>0</v>
      </c>
      <c r="O139" s="817">
        <v>4</v>
      </c>
    </row>
    <row r="140" spans="1:15">
      <c r="A140" s="515" t="s">
        <v>1944</v>
      </c>
      <c r="B140" s="637">
        <v>456</v>
      </c>
      <c r="C140" s="637">
        <v>4186116</v>
      </c>
      <c r="D140" s="296" t="s">
        <v>2015</v>
      </c>
      <c r="E140" s="810"/>
      <c r="F140" s="810" t="s">
        <v>1700</v>
      </c>
      <c r="G140" s="816">
        <f t="shared" si="63"/>
        <v>0</v>
      </c>
      <c r="H140" s="817">
        <v>0</v>
      </c>
      <c r="I140" s="817">
        <f t="shared" si="64"/>
        <v>0</v>
      </c>
      <c r="J140" s="816">
        <f t="shared" si="65"/>
        <v>0</v>
      </c>
      <c r="K140" s="816"/>
      <c r="L140" s="811"/>
      <c r="M140" s="817">
        <f t="shared" si="66"/>
        <v>0</v>
      </c>
      <c r="N140" s="816">
        <f t="shared" si="62"/>
        <v>0</v>
      </c>
      <c r="O140" s="817">
        <v>4</v>
      </c>
    </row>
    <row r="141" spans="1:15">
      <c r="A141" s="515" t="s">
        <v>2016</v>
      </c>
      <c r="B141" s="637">
        <v>456</v>
      </c>
      <c r="C141" s="637">
        <v>4186115</v>
      </c>
      <c r="D141" t="s">
        <v>2017</v>
      </c>
      <c r="E141" s="810">
        <v>3816.02</v>
      </c>
      <c r="F141" s="810" t="s">
        <v>1700</v>
      </c>
      <c r="G141" s="816">
        <f t="shared" si="63"/>
        <v>3816.02</v>
      </c>
      <c r="H141" s="817">
        <v>0</v>
      </c>
      <c r="I141" s="817">
        <f t="shared" si="64"/>
        <v>3816.02</v>
      </c>
      <c r="J141" s="816">
        <f t="shared" si="65"/>
        <v>0</v>
      </c>
      <c r="K141" s="816"/>
      <c r="L141" s="811"/>
      <c r="M141" s="817">
        <f t="shared" si="66"/>
        <v>0</v>
      </c>
      <c r="N141" s="816">
        <f t="shared" si="62"/>
        <v>0</v>
      </c>
      <c r="O141" s="817">
        <v>4</v>
      </c>
    </row>
    <row r="142" spans="1:15">
      <c r="A142" s="515" t="s">
        <v>2018</v>
      </c>
      <c r="B142" s="637">
        <v>456</v>
      </c>
      <c r="C142" s="637">
        <v>4186156</v>
      </c>
      <c r="D142" s="296" t="s">
        <v>2019</v>
      </c>
      <c r="E142" s="810">
        <v>95251.41</v>
      </c>
      <c r="F142" s="810" t="s">
        <v>1702</v>
      </c>
      <c r="G142" s="816">
        <f>H142+I142</f>
        <v>6343.7439060000006</v>
      </c>
      <c r="H142" s="817">
        <f>E142*D289</f>
        <v>6343.7439060000006</v>
      </c>
      <c r="I142" s="817">
        <v>0</v>
      </c>
      <c r="J142" s="816">
        <f t="shared" si="65"/>
        <v>0</v>
      </c>
      <c r="K142" s="816"/>
      <c r="L142" s="811"/>
      <c r="M142" s="817">
        <f>J142-L142</f>
        <v>0</v>
      </c>
      <c r="N142" s="816">
        <f>IF(F142=$N$2,E142-H142,0)</f>
        <v>88907.666094</v>
      </c>
      <c r="O142" s="817" t="s">
        <v>1815</v>
      </c>
    </row>
    <row r="143" spans="1:15">
      <c r="A143" s="515" t="s">
        <v>2020</v>
      </c>
      <c r="B143" s="637">
        <v>456</v>
      </c>
      <c r="C143" s="514" t="s">
        <v>2021</v>
      </c>
      <c r="D143" s="296" t="s">
        <v>2022</v>
      </c>
      <c r="E143" s="810">
        <v>74405915.099999994</v>
      </c>
      <c r="F143" s="810" t="s">
        <v>1700</v>
      </c>
      <c r="G143" s="816">
        <f t="shared" si="63"/>
        <v>74405915.099999994</v>
      </c>
      <c r="H143" s="817">
        <v>0</v>
      </c>
      <c r="I143" s="817">
        <f t="shared" si="64"/>
        <v>74405915.099999994</v>
      </c>
      <c r="J143" s="816">
        <f t="shared" si="65"/>
        <v>0</v>
      </c>
      <c r="K143" s="816"/>
      <c r="L143" s="811"/>
      <c r="M143" s="817">
        <f t="shared" si="66"/>
        <v>0</v>
      </c>
      <c r="N143" s="816">
        <f>IF(F143=$N$2,E143,0)</f>
        <v>0</v>
      </c>
      <c r="O143" s="817">
        <v>4</v>
      </c>
    </row>
    <row r="144" spans="1:15">
      <c r="A144" s="515" t="s">
        <v>2023</v>
      </c>
      <c r="B144" s="637">
        <v>456</v>
      </c>
      <c r="C144" s="514" t="s">
        <v>1886</v>
      </c>
      <c r="D144" s="296" t="s">
        <v>2024</v>
      </c>
      <c r="E144" s="810"/>
      <c r="F144" s="810" t="s">
        <v>1700</v>
      </c>
      <c r="G144" s="816">
        <f t="shared" si="63"/>
        <v>0</v>
      </c>
      <c r="H144" s="817">
        <f>G144</f>
        <v>0</v>
      </c>
      <c r="I144" s="817">
        <f t="shared" si="64"/>
        <v>0</v>
      </c>
      <c r="J144" s="816">
        <f t="shared" si="65"/>
        <v>0</v>
      </c>
      <c r="K144" s="816"/>
      <c r="L144" s="811"/>
      <c r="M144" s="817">
        <f t="shared" si="66"/>
        <v>0</v>
      </c>
      <c r="N144" s="816">
        <f>IF(F144=$N$2,E144,0)</f>
        <v>0</v>
      </c>
      <c r="O144" s="817">
        <v>5</v>
      </c>
    </row>
    <row r="145" spans="1:15">
      <c r="A145" s="515" t="s">
        <v>2025</v>
      </c>
      <c r="B145" s="637">
        <v>456</v>
      </c>
      <c r="C145" s="637">
        <v>4186732</v>
      </c>
      <c r="D145" s="296" t="s">
        <v>2026</v>
      </c>
      <c r="E145" s="810"/>
      <c r="F145" s="810" t="s">
        <v>1701</v>
      </c>
      <c r="G145" s="816">
        <f>IF(F145=$G$2,E145,0)</f>
        <v>0</v>
      </c>
      <c r="H145" s="817">
        <v>0</v>
      </c>
      <c r="I145" s="817">
        <f t="shared" ref="I145" si="67">G145-H145</f>
        <v>0</v>
      </c>
      <c r="J145" s="816">
        <f t="shared" ref="J145" si="68">IF(F145=$J$2,E145,0)</f>
        <v>0</v>
      </c>
      <c r="K145" s="816" t="s">
        <v>1486</v>
      </c>
      <c r="L145" s="811"/>
      <c r="M145" s="817">
        <f t="shared" ref="M145" si="69">J145-L145</f>
        <v>0</v>
      </c>
      <c r="N145" s="816">
        <f>IF(F145=$N$2,E145,0)</f>
        <v>0</v>
      </c>
      <c r="O145" s="817">
        <v>2</v>
      </c>
    </row>
    <row r="146" spans="1:15">
      <c r="A146" s="515" t="s">
        <v>2027</v>
      </c>
      <c r="B146" s="637">
        <v>456</v>
      </c>
      <c r="C146" s="779">
        <v>4171023</v>
      </c>
      <c r="D146" s="784" t="s">
        <v>2028</v>
      </c>
      <c r="E146" s="810">
        <v>43450205.729999997</v>
      </c>
      <c r="F146" s="810" t="s">
        <v>1702</v>
      </c>
      <c r="G146" s="816">
        <f t="shared" ref="G146:G156" si="70">IF(F146=$G$2,E146,0)</f>
        <v>0</v>
      </c>
      <c r="H146" s="817">
        <v>0</v>
      </c>
      <c r="I146" s="817">
        <f t="shared" ref="I146:I156" si="71">G146-H146</f>
        <v>0</v>
      </c>
      <c r="J146" s="816">
        <f t="shared" ref="J146:J156" si="72">IF(F146=$J$2,E146,0)</f>
        <v>0</v>
      </c>
      <c r="K146" s="816"/>
      <c r="L146" s="811"/>
      <c r="M146" s="817">
        <f t="shared" ref="M146:M156" si="73">J146-L146</f>
        <v>0</v>
      </c>
      <c r="N146" s="816">
        <f t="shared" ref="N146:N156" si="74">IF(F146=$N$2,E146,0)</f>
        <v>43450205.729999997</v>
      </c>
      <c r="O146" s="817">
        <v>6</v>
      </c>
    </row>
    <row r="147" spans="1:15">
      <c r="A147" s="515" t="s">
        <v>2029</v>
      </c>
      <c r="B147" s="637">
        <v>456</v>
      </c>
      <c r="C147" s="785">
        <v>4186182</v>
      </c>
      <c r="D147" s="782" t="s">
        <v>2030</v>
      </c>
      <c r="E147" s="810">
        <v>30000</v>
      </c>
      <c r="F147" s="810" t="s">
        <v>1702</v>
      </c>
      <c r="G147" s="816">
        <f t="shared" si="70"/>
        <v>0</v>
      </c>
      <c r="H147" s="817">
        <v>0</v>
      </c>
      <c r="I147" s="817">
        <f t="shared" si="71"/>
        <v>0</v>
      </c>
      <c r="J147" s="816">
        <f t="shared" si="72"/>
        <v>0</v>
      </c>
      <c r="K147" s="816"/>
      <c r="L147" s="811"/>
      <c r="M147" s="817">
        <f t="shared" si="73"/>
        <v>0</v>
      </c>
      <c r="N147" s="816">
        <f t="shared" si="74"/>
        <v>30000</v>
      </c>
      <c r="O147" s="817">
        <v>6</v>
      </c>
    </row>
    <row r="148" spans="1:15" s="247" customFormat="1">
      <c r="A148" s="515" t="s">
        <v>2031</v>
      </c>
      <c r="B148" s="637">
        <v>456</v>
      </c>
      <c r="C148" s="514" t="s">
        <v>2032</v>
      </c>
      <c r="D148" s="296" t="s">
        <v>2033</v>
      </c>
      <c r="E148" s="1061"/>
      <c r="F148" s="810" t="s">
        <v>1700</v>
      </c>
      <c r="G148" s="816">
        <f t="shared" si="70"/>
        <v>0</v>
      </c>
      <c r="H148" s="817">
        <v>0</v>
      </c>
      <c r="I148" s="817">
        <f t="shared" si="71"/>
        <v>0</v>
      </c>
      <c r="J148" s="816">
        <f t="shared" si="72"/>
        <v>0</v>
      </c>
      <c r="K148" s="816"/>
      <c r="L148" s="811"/>
      <c r="M148" s="817">
        <f t="shared" si="73"/>
        <v>0</v>
      </c>
      <c r="N148" s="816">
        <f t="shared" si="74"/>
        <v>0</v>
      </c>
      <c r="O148" s="817">
        <v>1</v>
      </c>
    </row>
    <row r="149" spans="1:15" s="247" customFormat="1">
      <c r="A149" s="515" t="s">
        <v>2034</v>
      </c>
      <c r="B149" s="637">
        <v>456</v>
      </c>
      <c r="C149" s="514" t="s">
        <v>2035</v>
      </c>
      <c r="D149" s="1059" t="s">
        <v>2036</v>
      </c>
      <c r="E149" s="810">
        <v>0</v>
      </c>
      <c r="F149" s="1060" t="s">
        <v>1700</v>
      </c>
      <c r="G149" s="816">
        <f t="shared" si="70"/>
        <v>0</v>
      </c>
      <c r="H149" s="817">
        <v>0</v>
      </c>
      <c r="I149" s="817">
        <f t="shared" si="71"/>
        <v>0</v>
      </c>
      <c r="J149" s="816">
        <f t="shared" si="72"/>
        <v>0</v>
      </c>
      <c r="K149" s="816"/>
      <c r="L149" s="811"/>
      <c r="M149" s="817">
        <f t="shared" si="73"/>
        <v>0</v>
      </c>
      <c r="N149" s="816">
        <f t="shared" si="74"/>
        <v>0</v>
      </c>
      <c r="O149" s="817">
        <v>1</v>
      </c>
    </row>
    <row r="150" spans="1:15">
      <c r="A150" s="1032" t="s">
        <v>2037</v>
      </c>
      <c r="B150" s="637">
        <v>456</v>
      </c>
      <c r="C150" s="637">
        <v>4186115</v>
      </c>
      <c r="D150" s="296" t="s">
        <v>2038</v>
      </c>
      <c r="E150" s="1062"/>
      <c r="F150" s="857" t="s">
        <v>1702</v>
      </c>
      <c r="G150" s="820">
        <f t="shared" si="70"/>
        <v>0</v>
      </c>
      <c r="H150" s="817">
        <v>0</v>
      </c>
      <c r="I150" s="817">
        <f t="shared" si="71"/>
        <v>0</v>
      </c>
      <c r="J150" s="820">
        <f t="shared" si="72"/>
        <v>0</v>
      </c>
      <c r="K150" s="820"/>
      <c r="L150" s="811"/>
      <c r="M150" s="817">
        <f t="shared" si="73"/>
        <v>0</v>
      </c>
      <c r="N150" s="820">
        <f t="shared" si="74"/>
        <v>0</v>
      </c>
      <c r="O150" s="817">
        <v>6</v>
      </c>
    </row>
    <row r="151" spans="1:15">
      <c r="A151" s="1032" t="s">
        <v>2946</v>
      </c>
      <c r="B151" s="637">
        <v>456</v>
      </c>
      <c r="C151" s="637">
        <v>4186182</v>
      </c>
      <c r="D151" s="296" t="s">
        <v>2952</v>
      </c>
      <c r="E151" s="857"/>
      <c r="F151" s="857" t="s">
        <v>1702</v>
      </c>
      <c r="G151" s="820">
        <f t="shared" si="70"/>
        <v>0</v>
      </c>
      <c r="H151" s="817">
        <v>0</v>
      </c>
      <c r="I151" s="817">
        <f t="shared" si="71"/>
        <v>0</v>
      </c>
      <c r="J151" s="820">
        <f t="shared" si="72"/>
        <v>0</v>
      </c>
      <c r="K151" s="820"/>
      <c r="L151" s="811"/>
      <c r="M151" s="817">
        <f t="shared" si="73"/>
        <v>0</v>
      </c>
      <c r="N151" s="820">
        <f t="shared" si="74"/>
        <v>0</v>
      </c>
      <c r="O151" s="811" t="s">
        <v>2958</v>
      </c>
    </row>
    <row r="152" spans="1:15">
      <c r="A152" s="1032" t="s">
        <v>2947</v>
      </c>
      <c r="B152" s="637">
        <v>456</v>
      </c>
      <c r="C152" s="637">
        <v>4186189</v>
      </c>
      <c r="D152" s="296" t="s">
        <v>2953</v>
      </c>
      <c r="E152" s="857">
        <v>481365.88</v>
      </c>
      <c r="F152" s="810" t="s">
        <v>1702</v>
      </c>
      <c r="G152" s="820">
        <f t="shared" si="70"/>
        <v>0</v>
      </c>
      <c r="H152" s="817">
        <v>0</v>
      </c>
      <c r="I152" s="817">
        <f t="shared" si="71"/>
        <v>0</v>
      </c>
      <c r="J152" s="820">
        <f t="shared" si="72"/>
        <v>0</v>
      </c>
      <c r="K152" s="820"/>
      <c r="L152" s="811"/>
      <c r="M152" s="817">
        <f t="shared" si="73"/>
        <v>0</v>
      </c>
      <c r="N152" s="820">
        <f t="shared" si="74"/>
        <v>481365.88</v>
      </c>
      <c r="O152" s="811" t="s">
        <v>2958</v>
      </c>
    </row>
    <row r="153" spans="1:15">
      <c r="A153" s="1032" t="s">
        <v>2948</v>
      </c>
      <c r="B153" s="637">
        <v>456</v>
      </c>
      <c r="C153" s="637">
        <v>4196201</v>
      </c>
      <c r="D153" s="296" t="s">
        <v>2954</v>
      </c>
      <c r="E153" s="857">
        <v>258153.8</v>
      </c>
      <c r="F153" s="810" t="s">
        <v>1700</v>
      </c>
      <c r="G153" s="820">
        <f t="shared" si="70"/>
        <v>258153.8</v>
      </c>
      <c r="H153" s="811">
        <v>605578.78</v>
      </c>
      <c r="I153" s="817">
        <f t="shared" si="71"/>
        <v>-347424.98000000004</v>
      </c>
      <c r="J153" s="820">
        <f t="shared" si="72"/>
        <v>0</v>
      </c>
      <c r="K153" s="820"/>
      <c r="L153" s="811"/>
      <c r="M153" s="817">
        <f t="shared" si="73"/>
        <v>0</v>
      </c>
      <c r="N153" s="820">
        <f t="shared" si="74"/>
        <v>0</v>
      </c>
      <c r="O153" s="811">
        <v>8</v>
      </c>
    </row>
    <row r="154" spans="1:15">
      <c r="A154" s="1032" t="s">
        <v>2949</v>
      </c>
      <c r="B154" s="637">
        <v>456</v>
      </c>
      <c r="C154" s="637">
        <v>4196202</v>
      </c>
      <c r="D154" s="296" t="s">
        <v>2955</v>
      </c>
      <c r="E154" s="857">
        <v>31259.52</v>
      </c>
      <c r="F154" s="810" t="s">
        <v>1700</v>
      </c>
      <c r="G154" s="820">
        <f t="shared" si="70"/>
        <v>31259.52</v>
      </c>
      <c r="H154" s="811">
        <v>31259.52</v>
      </c>
      <c r="I154" s="817">
        <f t="shared" si="71"/>
        <v>0</v>
      </c>
      <c r="J154" s="820">
        <f t="shared" si="72"/>
        <v>0</v>
      </c>
      <c r="K154" s="820"/>
      <c r="L154" s="811"/>
      <c r="M154" s="817">
        <f t="shared" si="73"/>
        <v>0</v>
      </c>
      <c r="N154" s="820">
        <f t="shared" si="74"/>
        <v>0</v>
      </c>
      <c r="O154" s="811">
        <v>8</v>
      </c>
    </row>
    <row r="155" spans="1:15">
      <c r="A155" s="1032" t="s">
        <v>2950</v>
      </c>
      <c r="B155" s="637">
        <v>456</v>
      </c>
      <c r="C155" s="637">
        <v>4196203</v>
      </c>
      <c r="D155" s="296" t="s">
        <v>2956</v>
      </c>
      <c r="E155" s="857">
        <v>9716186.1300000008</v>
      </c>
      <c r="F155" s="810" t="s">
        <v>1700</v>
      </c>
      <c r="G155" s="820">
        <f t="shared" si="70"/>
        <v>9716186.1300000008</v>
      </c>
      <c r="H155" s="817">
        <v>0</v>
      </c>
      <c r="I155" s="817">
        <f t="shared" si="71"/>
        <v>9716186.1300000008</v>
      </c>
      <c r="J155" s="820">
        <f t="shared" si="72"/>
        <v>0</v>
      </c>
      <c r="K155" s="820"/>
      <c r="L155" s="811"/>
      <c r="M155" s="817">
        <f t="shared" si="73"/>
        <v>0</v>
      </c>
      <c r="N155" s="820">
        <f t="shared" si="74"/>
        <v>0</v>
      </c>
      <c r="O155" s="811">
        <v>4</v>
      </c>
    </row>
    <row r="156" spans="1:15">
      <c r="A156" s="614" t="s">
        <v>2951</v>
      </c>
      <c r="B156" s="637">
        <v>456</v>
      </c>
      <c r="C156" s="637">
        <v>4196204</v>
      </c>
      <c r="D156" s="296" t="s">
        <v>2957</v>
      </c>
      <c r="E156" s="857">
        <v>2623494.0499999998</v>
      </c>
      <c r="F156" s="810" t="s">
        <v>1700</v>
      </c>
      <c r="G156" s="820">
        <f t="shared" si="70"/>
        <v>2623494.0499999998</v>
      </c>
      <c r="H156" s="811">
        <v>2638463.94</v>
      </c>
      <c r="I156" s="817">
        <f t="shared" si="71"/>
        <v>-14969.89000000013</v>
      </c>
      <c r="J156" s="820">
        <f t="shared" si="72"/>
        <v>0</v>
      </c>
      <c r="K156" s="820"/>
      <c r="L156" s="811"/>
      <c r="M156" s="817">
        <f t="shared" si="73"/>
        <v>0</v>
      </c>
      <c r="N156" s="820">
        <f t="shared" si="74"/>
        <v>0</v>
      </c>
      <c r="O156" s="811">
        <v>8</v>
      </c>
    </row>
    <row r="157" spans="1:15">
      <c r="A157" s="383"/>
      <c r="B157" s="843"/>
      <c r="C157" s="843"/>
      <c r="D157" s="604"/>
      <c r="E157" s="857"/>
      <c r="F157" s="810"/>
      <c r="G157" s="810"/>
      <c r="H157" s="811"/>
      <c r="I157" s="811"/>
      <c r="J157" s="810"/>
      <c r="K157" s="810"/>
      <c r="L157" s="811"/>
      <c r="M157" s="811"/>
      <c r="N157" s="810"/>
      <c r="O157" s="811"/>
    </row>
    <row r="158" spans="1:15">
      <c r="A158" s="603"/>
      <c r="B158" s="843"/>
      <c r="C158" s="845"/>
      <c r="D158" s="604"/>
      <c r="E158" s="549"/>
      <c r="F158" s="549"/>
      <c r="G158" s="944"/>
      <c r="H158" s="407"/>
      <c r="I158" s="407"/>
      <c r="J158" s="575"/>
      <c r="K158" s="575"/>
      <c r="L158" s="407"/>
      <c r="M158" s="407"/>
      <c r="N158" s="575"/>
      <c r="O158" s="605"/>
    </row>
    <row r="159" spans="1:15" ht="13">
      <c r="A159" s="515">
        <v>13</v>
      </c>
      <c r="B159" s="1119" t="s">
        <v>2039</v>
      </c>
      <c r="C159" s="1120"/>
      <c r="D159" s="1121"/>
      <c r="E159" s="162">
        <f>SUM(E89:E158)</f>
        <v>876603461.23999989</v>
      </c>
      <c r="F159" s="169"/>
      <c r="G159" s="162">
        <f>SUM(G89:G158)</f>
        <v>126475011.46090598</v>
      </c>
      <c r="H159" s="162">
        <f>SUM(H89:H158)</f>
        <v>3282098.5309060002</v>
      </c>
      <c r="I159" s="162">
        <f>SUM(I89:I158)</f>
        <v>123192912.92999998</v>
      </c>
      <c r="J159" s="162">
        <f>SUM(J89:J158)</f>
        <v>2538427.4500000002</v>
      </c>
      <c r="K159" s="169"/>
      <c r="L159" s="162">
        <f>SUM(L89:L158)</f>
        <v>335053.14150315599</v>
      </c>
      <c r="M159" s="162">
        <f>SUM(M89:M158)</f>
        <v>2203374.308496844</v>
      </c>
      <c r="N159" s="162">
        <f>SUM(N89:N158)</f>
        <v>747590022.32909393</v>
      </c>
      <c r="O159" s="110"/>
    </row>
    <row r="160" spans="1:15" ht="25.5" customHeight="1">
      <c r="A160" s="515">
        <v>14</v>
      </c>
      <c r="B160" s="1143" t="s">
        <v>2040</v>
      </c>
      <c r="C160" s="1144"/>
      <c r="D160" s="1145"/>
      <c r="E160" s="602">
        <v>876603461</v>
      </c>
      <c r="F160" s="161"/>
      <c r="G160" s="175"/>
      <c r="H160" s="161"/>
      <c r="I160" s="161"/>
      <c r="J160" s="175"/>
      <c r="K160" s="161"/>
      <c r="L160" s="158"/>
      <c r="M160" s="158"/>
      <c r="N160" s="158"/>
      <c r="O160" s="2"/>
    </row>
    <row r="161" spans="1:15" ht="13">
      <c r="A161" s="4"/>
      <c r="B161" s="1"/>
      <c r="C161" s="113"/>
      <c r="D161" s="113"/>
      <c r="E161" s="158"/>
      <c r="F161" s="158"/>
      <c r="G161" s="158"/>
      <c r="H161" s="161"/>
      <c r="I161" s="161"/>
      <c r="J161" s="158"/>
      <c r="K161" s="161"/>
      <c r="L161" s="158"/>
      <c r="M161" s="158"/>
      <c r="N161" s="158"/>
      <c r="O161" s="2"/>
    </row>
    <row r="162" spans="1:15">
      <c r="A162" s="515" t="s">
        <v>2041</v>
      </c>
      <c r="B162" s="637">
        <v>456.1</v>
      </c>
      <c r="C162" s="514" t="s">
        <v>2042</v>
      </c>
      <c r="D162" s="514" t="s">
        <v>2043</v>
      </c>
      <c r="E162" s="818"/>
      <c r="F162" s="810" t="s">
        <v>1700</v>
      </c>
      <c r="G162" s="816">
        <f t="shared" ref="G162:G174" si="75">IF(F162=$G$2,E162,0)</f>
        <v>0</v>
      </c>
      <c r="H162" s="817">
        <f>G162</f>
        <v>0</v>
      </c>
      <c r="I162" s="817">
        <f t="shared" ref="I162:I181" si="76">G162-H162</f>
        <v>0</v>
      </c>
      <c r="J162" s="816">
        <f t="shared" ref="J162:J175" si="77">IF(F162=$J$2,E162,0)</f>
        <v>0</v>
      </c>
      <c r="K162" s="945"/>
      <c r="L162" s="811"/>
      <c r="M162" s="817">
        <f>J162-L162</f>
        <v>0</v>
      </c>
      <c r="N162" s="816">
        <f t="shared" ref="N162:N181" si="78">IF(F162=$N$2,E162,0)</f>
        <v>0</v>
      </c>
      <c r="O162" s="817">
        <v>5</v>
      </c>
    </row>
    <row r="163" spans="1:15">
      <c r="A163" s="515" t="s">
        <v>2044</v>
      </c>
      <c r="B163" s="637">
        <v>456.1</v>
      </c>
      <c r="C163" s="514" t="s">
        <v>2045</v>
      </c>
      <c r="D163" s="514" t="s">
        <v>2046</v>
      </c>
      <c r="E163" s="818">
        <v>296028</v>
      </c>
      <c r="F163" s="810" t="s">
        <v>1700</v>
      </c>
      <c r="G163" s="816">
        <f t="shared" si="75"/>
        <v>296028</v>
      </c>
      <c r="H163" s="817">
        <v>0</v>
      </c>
      <c r="I163" s="817">
        <f t="shared" si="76"/>
        <v>296028</v>
      </c>
      <c r="J163" s="816">
        <f t="shared" si="77"/>
        <v>0</v>
      </c>
      <c r="K163" s="945"/>
      <c r="L163" s="811"/>
      <c r="M163" s="817">
        <f>J163-L163</f>
        <v>0</v>
      </c>
      <c r="N163" s="816">
        <f t="shared" si="78"/>
        <v>0</v>
      </c>
      <c r="O163" s="817">
        <v>4</v>
      </c>
    </row>
    <row r="164" spans="1:15">
      <c r="A164" s="515" t="s">
        <v>2047</v>
      </c>
      <c r="B164" s="637">
        <v>456.1</v>
      </c>
      <c r="C164" s="514" t="s">
        <v>2048</v>
      </c>
      <c r="D164" s="514" t="s">
        <v>2049</v>
      </c>
      <c r="E164" s="818">
        <v>898962.96</v>
      </c>
      <c r="F164" s="810" t="s">
        <v>1700</v>
      </c>
      <c r="G164" s="816">
        <f t="shared" si="75"/>
        <v>898962.96</v>
      </c>
      <c r="H164" s="817">
        <v>0</v>
      </c>
      <c r="I164" s="817">
        <f t="shared" si="76"/>
        <v>898962.96</v>
      </c>
      <c r="J164" s="816">
        <f t="shared" si="77"/>
        <v>0</v>
      </c>
      <c r="K164" s="945"/>
      <c r="L164" s="811"/>
      <c r="M164" s="817">
        <f>J164-L164</f>
        <v>0</v>
      </c>
      <c r="N164" s="816">
        <f t="shared" si="78"/>
        <v>0</v>
      </c>
      <c r="O164" s="817">
        <v>4</v>
      </c>
    </row>
    <row r="165" spans="1:15">
      <c r="A165" s="515" t="s">
        <v>2050</v>
      </c>
      <c r="B165" s="637">
        <v>456.1</v>
      </c>
      <c r="C165" s="514" t="s">
        <v>2051</v>
      </c>
      <c r="D165" s="514" t="s">
        <v>2052</v>
      </c>
      <c r="E165" s="818">
        <v>215239.67999999999</v>
      </c>
      <c r="F165" s="810" t="s">
        <v>1702</v>
      </c>
      <c r="G165" s="816">
        <f t="shared" si="75"/>
        <v>0</v>
      </c>
      <c r="H165" s="817">
        <v>0</v>
      </c>
      <c r="I165" s="817">
        <f t="shared" si="76"/>
        <v>0</v>
      </c>
      <c r="J165" s="816">
        <f t="shared" si="77"/>
        <v>0</v>
      </c>
      <c r="K165" s="945"/>
      <c r="L165" s="811"/>
      <c r="M165" s="817">
        <f>J165-L165</f>
        <v>0</v>
      </c>
      <c r="N165" s="816">
        <f t="shared" si="78"/>
        <v>215239.67999999999</v>
      </c>
      <c r="O165" s="817">
        <v>6</v>
      </c>
    </row>
    <row r="166" spans="1:15">
      <c r="A166" s="515" t="s">
        <v>2053</v>
      </c>
      <c r="B166" s="637">
        <v>456.1</v>
      </c>
      <c r="C166" s="514" t="s">
        <v>2054</v>
      </c>
      <c r="D166" s="514" t="s">
        <v>2055</v>
      </c>
      <c r="E166" s="818">
        <v>121203123.18000001</v>
      </c>
      <c r="F166" s="810" t="s">
        <v>1702</v>
      </c>
      <c r="G166" s="816">
        <f t="shared" si="75"/>
        <v>0</v>
      </c>
      <c r="H166" s="817">
        <v>0</v>
      </c>
      <c r="I166" s="817">
        <f t="shared" si="76"/>
        <v>0</v>
      </c>
      <c r="J166" s="816">
        <f t="shared" si="77"/>
        <v>0</v>
      </c>
      <c r="K166" s="945"/>
      <c r="L166" s="811"/>
      <c r="M166" s="817">
        <f>J166-L166</f>
        <v>0</v>
      </c>
      <c r="N166" s="816">
        <f t="shared" si="78"/>
        <v>121203123.18000001</v>
      </c>
      <c r="O166" s="817">
        <v>6</v>
      </c>
    </row>
    <row r="167" spans="1:15">
      <c r="A167" s="515" t="s">
        <v>2056</v>
      </c>
      <c r="B167" s="637">
        <v>456.1</v>
      </c>
      <c r="C167" s="514" t="s">
        <v>2057</v>
      </c>
      <c r="D167" s="514" t="s">
        <v>2058</v>
      </c>
      <c r="E167" s="818"/>
      <c r="F167" s="810" t="s">
        <v>1702</v>
      </c>
      <c r="G167" s="816">
        <f t="shared" si="75"/>
        <v>0</v>
      </c>
      <c r="H167" s="817">
        <v>0</v>
      </c>
      <c r="I167" s="817">
        <f t="shared" si="76"/>
        <v>0</v>
      </c>
      <c r="J167" s="816">
        <f t="shared" si="77"/>
        <v>0</v>
      </c>
      <c r="K167" s="945"/>
      <c r="L167" s="811"/>
      <c r="M167" s="817">
        <f t="shared" ref="M167" si="79">J167-L167</f>
        <v>0</v>
      </c>
      <c r="N167" s="816">
        <f t="shared" si="78"/>
        <v>0</v>
      </c>
      <c r="O167" s="817">
        <v>6</v>
      </c>
    </row>
    <row r="168" spans="1:15">
      <c r="A168" s="515" t="s">
        <v>2059</v>
      </c>
      <c r="B168" s="637">
        <v>456.1</v>
      </c>
      <c r="C168" s="514" t="s">
        <v>2060</v>
      </c>
      <c r="D168" s="514" t="s">
        <v>2061</v>
      </c>
      <c r="E168" s="818">
        <v>52963200</v>
      </c>
      <c r="F168" s="810" t="s">
        <v>1700</v>
      </c>
      <c r="G168" s="816">
        <f t="shared" si="75"/>
        <v>52963200</v>
      </c>
      <c r="H168" s="817">
        <f>G168</f>
        <v>52963200</v>
      </c>
      <c r="I168" s="817">
        <f t="shared" si="76"/>
        <v>0</v>
      </c>
      <c r="J168" s="816">
        <f t="shared" si="77"/>
        <v>0</v>
      </c>
      <c r="K168" s="945"/>
      <c r="L168" s="811"/>
      <c r="M168" s="817">
        <f t="shared" ref="M168:M181" si="80">J168-L168</f>
        <v>0</v>
      </c>
      <c r="N168" s="816">
        <f t="shared" si="78"/>
        <v>0</v>
      </c>
      <c r="O168" s="817">
        <v>5</v>
      </c>
    </row>
    <row r="169" spans="1:15">
      <c r="A169" s="515" t="s">
        <v>2062</v>
      </c>
      <c r="B169" s="637">
        <v>456.1</v>
      </c>
      <c r="C169" s="514" t="s">
        <v>2063</v>
      </c>
      <c r="D169" s="514" t="s">
        <v>2064</v>
      </c>
      <c r="E169" s="818">
        <v>9625369.7400000002</v>
      </c>
      <c r="F169" s="810" t="s">
        <v>1700</v>
      </c>
      <c r="G169" s="816">
        <f t="shared" si="75"/>
        <v>9625369.7400000002</v>
      </c>
      <c r="H169" s="817">
        <v>0</v>
      </c>
      <c r="I169" s="817">
        <f t="shared" si="76"/>
        <v>9625369.7400000002</v>
      </c>
      <c r="J169" s="816">
        <f t="shared" si="77"/>
        <v>0</v>
      </c>
      <c r="K169" s="945"/>
      <c r="L169" s="811"/>
      <c r="M169" s="817">
        <f t="shared" si="80"/>
        <v>0</v>
      </c>
      <c r="N169" s="816">
        <f t="shared" si="78"/>
        <v>0</v>
      </c>
      <c r="O169" s="817">
        <v>4</v>
      </c>
    </row>
    <row r="170" spans="1:15">
      <c r="A170" s="515" t="s">
        <v>2065</v>
      </c>
      <c r="B170" s="637">
        <v>456.1</v>
      </c>
      <c r="C170" s="514" t="s">
        <v>2066</v>
      </c>
      <c r="D170" s="514" t="s">
        <v>2067</v>
      </c>
      <c r="E170" s="818"/>
      <c r="F170" s="810" t="s">
        <v>1700</v>
      </c>
      <c r="G170" s="816">
        <f t="shared" si="75"/>
        <v>0</v>
      </c>
      <c r="H170" s="817">
        <v>0</v>
      </c>
      <c r="I170" s="817">
        <f t="shared" si="76"/>
        <v>0</v>
      </c>
      <c r="J170" s="816">
        <f t="shared" si="77"/>
        <v>0</v>
      </c>
      <c r="K170" s="945"/>
      <c r="L170" s="811"/>
      <c r="M170" s="817">
        <f t="shared" si="80"/>
        <v>0</v>
      </c>
      <c r="N170" s="816">
        <f t="shared" si="78"/>
        <v>0</v>
      </c>
      <c r="O170" s="817">
        <v>4</v>
      </c>
    </row>
    <row r="171" spans="1:15">
      <c r="A171" s="515" t="s">
        <v>2068</v>
      </c>
      <c r="B171" s="637">
        <v>456.1</v>
      </c>
      <c r="C171" s="514" t="s">
        <v>2069</v>
      </c>
      <c r="D171" s="514" t="s">
        <v>2070</v>
      </c>
      <c r="E171" s="818"/>
      <c r="F171" s="810" t="s">
        <v>1700</v>
      </c>
      <c r="G171" s="816">
        <f t="shared" si="75"/>
        <v>0</v>
      </c>
      <c r="H171" s="817">
        <v>0</v>
      </c>
      <c r="I171" s="817">
        <f t="shared" si="76"/>
        <v>0</v>
      </c>
      <c r="J171" s="816">
        <f t="shared" si="77"/>
        <v>0</v>
      </c>
      <c r="K171" s="945"/>
      <c r="L171" s="811"/>
      <c r="M171" s="817">
        <f t="shared" si="80"/>
        <v>0</v>
      </c>
      <c r="N171" s="816">
        <f t="shared" si="78"/>
        <v>0</v>
      </c>
      <c r="O171" s="817">
        <v>4</v>
      </c>
    </row>
    <row r="172" spans="1:15">
      <c r="A172" s="515" t="s">
        <v>2071</v>
      </c>
      <c r="B172" s="637">
        <v>456.1</v>
      </c>
      <c r="C172" s="514" t="s">
        <v>2072</v>
      </c>
      <c r="D172" s="514" t="s">
        <v>2073</v>
      </c>
      <c r="E172" s="818">
        <v>402147.6</v>
      </c>
      <c r="F172" s="810" t="s">
        <v>1700</v>
      </c>
      <c r="G172" s="816">
        <f t="shared" si="75"/>
        <v>402147.6</v>
      </c>
      <c r="H172" s="817">
        <v>0</v>
      </c>
      <c r="I172" s="817">
        <f t="shared" si="76"/>
        <v>402147.6</v>
      </c>
      <c r="J172" s="816">
        <f t="shared" si="77"/>
        <v>0</v>
      </c>
      <c r="K172" s="945"/>
      <c r="L172" s="811"/>
      <c r="M172" s="817">
        <f t="shared" si="80"/>
        <v>0</v>
      </c>
      <c r="N172" s="816">
        <f t="shared" si="78"/>
        <v>0</v>
      </c>
      <c r="O172" s="817">
        <v>4</v>
      </c>
    </row>
    <row r="173" spans="1:15">
      <c r="A173" s="515" t="s">
        <v>2074</v>
      </c>
      <c r="B173" s="637">
        <v>456.1</v>
      </c>
      <c r="C173" s="514" t="s">
        <v>2075</v>
      </c>
      <c r="D173" s="514" t="s">
        <v>2076</v>
      </c>
      <c r="E173" s="818"/>
      <c r="F173" s="810" t="s">
        <v>1700</v>
      </c>
      <c r="G173" s="816">
        <f t="shared" si="75"/>
        <v>0</v>
      </c>
      <c r="H173" s="817">
        <v>0</v>
      </c>
      <c r="I173" s="817">
        <f t="shared" si="76"/>
        <v>0</v>
      </c>
      <c r="J173" s="816">
        <f t="shared" si="77"/>
        <v>0</v>
      </c>
      <c r="K173" s="945"/>
      <c r="L173" s="811"/>
      <c r="M173" s="817">
        <f t="shared" si="80"/>
        <v>0</v>
      </c>
      <c r="N173" s="816">
        <f t="shared" si="78"/>
        <v>0</v>
      </c>
      <c r="O173" s="817">
        <v>4</v>
      </c>
    </row>
    <row r="174" spans="1:15">
      <c r="A174" s="515" t="s">
        <v>2077</v>
      </c>
      <c r="B174" s="637">
        <v>456.1</v>
      </c>
      <c r="C174" s="514" t="s">
        <v>2078</v>
      </c>
      <c r="D174" s="514" t="s">
        <v>2079</v>
      </c>
      <c r="E174" s="818"/>
      <c r="F174" s="810" t="s">
        <v>1700</v>
      </c>
      <c r="G174" s="816">
        <f t="shared" si="75"/>
        <v>0</v>
      </c>
      <c r="H174" s="817">
        <v>0</v>
      </c>
      <c r="I174" s="817">
        <f t="shared" si="76"/>
        <v>0</v>
      </c>
      <c r="J174" s="816">
        <f t="shared" si="77"/>
        <v>0</v>
      </c>
      <c r="K174" s="945"/>
      <c r="L174" s="811"/>
      <c r="M174" s="817">
        <f t="shared" si="80"/>
        <v>0</v>
      </c>
      <c r="N174" s="816">
        <f t="shared" si="78"/>
        <v>0</v>
      </c>
      <c r="O174" s="817">
        <v>4</v>
      </c>
    </row>
    <row r="175" spans="1:15">
      <c r="A175" s="515" t="s">
        <v>2080</v>
      </c>
      <c r="B175" s="637">
        <v>456.1</v>
      </c>
      <c r="C175" s="514" t="s">
        <v>2081</v>
      </c>
      <c r="D175" s="514" t="s">
        <v>2082</v>
      </c>
      <c r="E175" s="818">
        <v>651331.07999999996</v>
      </c>
      <c r="F175" s="810" t="s">
        <v>1700</v>
      </c>
      <c r="G175" s="816">
        <f t="shared" ref="G175" si="81">IF(F175=$G$2,E175,0)</f>
        <v>651331.07999999996</v>
      </c>
      <c r="H175" s="817">
        <v>0</v>
      </c>
      <c r="I175" s="817">
        <f t="shared" si="76"/>
        <v>651331.07999999996</v>
      </c>
      <c r="J175" s="816">
        <f t="shared" si="77"/>
        <v>0</v>
      </c>
      <c r="K175" s="945"/>
      <c r="L175" s="811"/>
      <c r="M175" s="817">
        <f t="shared" si="80"/>
        <v>0</v>
      </c>
      <c r="N175" s="816">
        <f t="shared" si="78"/>
        <v>0</v>
      </c>
      <c r="O175" s="817">
        <v>4</v>
      </c>
    </row>
    <row r="176" spans="1:15">
      <c r="A176" s="515" t="s">
        <v>2083</v>
      </c>
      <c r="B176" s="637">
        <v>456.1</v>
      </c>
      <c r="C176" s="514" t="s">
        <v>2084</v>
      </c>
      <c r="D176" s="514" t="s">
        <v>2085</v>
      </c>
      <c r="E176" s="818">
        <v>207840.12</v>
      </c>
      <c r="F176" s="810" t="s">
        <v>1700</v>
      </c>
      <c r="G176" s="816">
        <f t="shared" ref="G176:G181" si="82">IF(F176=$G$2,E176,0)</f>
        <v>207840.12</v>
      </c>
      <c r="H176" s="817">
        <v>0</v>
      </c>
      <c r="I176" s="817">
        <f t="shared" si="76"/>
        <v>207840.12</v>
      </c>
      <c r="J176" s="816">
        <f t="shared" ref="J176" si="83">IF(F176=$J$2,E176,0)</f>
        <v>0</v>
      </c>
      <c r="K176" s="945"/>
      <c r="L176" s="811"/>
      <c r="M176" s="817">
        <f t="shared" si="80"/>
        <v>0</v>
      </c>
      <c r="N176" s="816">
        <f t="shared" si="78"/>
        <v>0</v>
      </c>
      <c r="O176" s="817">
        <v>4</v>
      </c>
    </row>
    <row r="177" spans="1:15">
      <c r="A177" s="515" t="s">
        <v>2086</v>
      </c>
      <c r="B177" s="637">
        <v>456.1</v>
      </c>
      <c r="C177" s="514" t="s">
        <v>2087</v>
      </c>
      <c r="D177" s="514" t="s">
        <v>2088</v>
      </c>
      <c r="E177" s="818">
        <v>42492.12</v>
      </c>
      <c r="F177" s="810" t="s">
        <v>1700</v>
      </c>
      <c r="G177" s="816">
        <f t="shared" si="82"/>
        <v>42492.12</v>
      </c>
      <c r="H177" s="817">
        <v>0</v>
      </c>
      <c r="I177" s="817">
        <f t="shared" si="76"/>
        <v>42492.12</v>
      </c>
      <c r="J177" s="816">
        <f>IF(F177=$J$2,E177,0)</f>
        <v>0</v>
      </c>
      <c r="K177" s="945"/>
      <c r="L177" s="811"/>
      <c r="M177" s="817">
        <f t="shared" si="80"/>
        <v>0</v>
      </c>
      <c r="N177" s="816">
        <f t="shared" si="78"/>
        <v>0</v>
      </c>
      <c r="O177" s="817">
        <v>4</v>
      </c>
    </row>
    <row r="178" spans="1:15">
      <c r="A178" s="515" t="s">
        <v>2089</v>
      </c>
      <c r="B178" s="637">
        <v>456.1</v>
      </c>
      <c r="C178" s="514" t="s">
        <v>2090</v>
      </c>
      <c r="D178" s="514" t="s">
        <v>2091</v>
      </c>
      <c r="E178" s="818"/>
      <c r="F178" s="810" t="s">
        <v>1702</v>
      </c>
      <c r="G178" s="816">
        <f t="shared" si="82"/>
        <v>0</v>
      </c>
      <c r="H178" s="817">
        <v>0</v>
      </c>
      <c r="I178" s="817">
        <f t="shared" si="76"/>
        <v>0</v>
      </c>
      <c r="J178" s="816">
        <f>IF(F178=$J$2,E178,0)</f>
        <v>0</v>
      </c>
      <c r="K178" s="945"/>
      <c r="L178" s="811"/>
      <c r="M178" s="817">
        <f t="shared" si="80"/>
        <v>0</v>
      </c>
      <c r="N178" s="816">
        <f t="shared" si="78"/>
        <v>0</v>
      </c>
      <c r="O178" s="817">
        <v>6</v>
      </c>
    </row>
    <row r="179" spans="1:15">
      <c r="A179" s="515" t="s">
        <v>2092</v>
      </c>
      <c r="B179" s="637">
        <v>456.1</v>
      </c>
      <c r="C179" s="514" t="s">
        <v>2093</v>
      </c>
      <c r="D179" s="514" t="s">
        <v>2094</v>
      </c>
      <c r="E179" s="818">
        <v>96303.72</v>
      </c>
      <c r="F179" s="810" t="s">
        <v>1700</v>
      </c>
      <c r="G179" s="816">
        <f t="shared" si="82"/>
        <v>96303.72</v>
      </c>
      <c r="H179" s="817">
        <v>0</v>
      </c>
      <c r="I179" s="817">
        <f t="shared" si="76"/>
        <v>96303.72</v>
      </c>
      <c r="J179" s="816">
        <f>IF(F179=$J$2,E179,0)</f>
        <v>0</v>
      </c>
      <c r="K179" s="819"/>
      <c r="L179" s="811"/>
      <c r="M179" s="817">
        <f t="shared" si="80"/>
        <v>0</v>
      </c>
      <c r="N179" s="816">
        <f t="shared" si="78"/>
        <v>0</v>
      </c>
      <c r="O179" s="817">
        <v>4</v>
      </c>
    </row>
    <row r="180" spans="1:15">
      <c r="A180" s="515" t="s">
        <v>2095</v>
      </c>
      <c r="B180" s="637">
        <v>456.1</v>
      </c>
      <c r="C180" s="514" t="s">
        <v>2096</v>
      </c>
      <c r="D180" s="514" t="s">
        <v>2097</v>
      </c>
      <c r="E180" s="818">
        <v>151426.92000000001</v>
      </c>
      <c r="F180" s="810" t="s">
        <v>1700</v>
      </c>
      <c r="G180" s="816">
        <f t="shared" si="82"/>
        <v>151426.92000000001</v>
      </c>
      <c r="H180" s="817">
        <v>0</v>
      </c>
      <c r="I180" s="817">
        <f t="shared" si="76"/>
        <v>151426.92000000001</v>
      </c>
      <c r="J180" s="816">
        <f>IF(F180=$J$2,E180,0)</f>
        <v>0</v>
      </c>
      <c r="K180" s="819"/>
      <c r="L180" s="811"/>
      <c r="M180" s="817">
        <f t="shared" si="80"/>
        <v>0</v>
      </c>
      <c r="N180" s="816">
        <f t="shared" si="78"/>
        <v>0</v>
      </c>
      <c r="O180" s="817">
        <v>4</v>
      </c>
    </row>
    <row r="181" spans="1:15">
      <c r="A181" s="515" t="s">
        <v>2098</v>
      </c>
      <c r="B181" s="637">
        <v>456.1</v>
      </c>
      <c r="C181" s="514" t="s">
        <v>2099</v>
      </c>
      <c r="D181" s="296" t="s">
        <v>2100</v>
      </c>
      <c r="E181" s="818">
        <v>1176899.49</v>
      </c>
      <c r="F181" s="818" t="s">
        <v>1702</v>
      </c>
      <c r="G181" s="816">
        <f t="shared" si="82"/>
        <v>0</v>
      </c>
      <c r="H181" s="817">
        <v>0</v>
      </c>
      <c r="I181" s="817">
        <f t="shared" si="76"/>
        <v>0</v>
      </c>
      <c r="J181" s="816">
        <f>IF(F181=$J$2,E181,0)</f>
        <v>0</v>
      </c>
      <c r="K181" s="819"/>
      <c r="L181" s="811"/>
      <c r="M181" s="817">
        <f t="shared" si="80"/>
        <v>0</v>
      </c>
      <c r="N181" s="816">
        <f t="shared" si="78"/>
        <v>1176899.49</v>
      </c>
      <c r="O181" s="817">
        <v>6</v>
      </c>
    </row>
    <row r="182" spans="1:15">
      <c r="A182" s="515" t="s">
        <v>2101</v>
      </c>
      <c r="B182" s="779">
        <v>456.1</v>
      </c>
      <c r="C182" s="786" t="s">
        <v>2090</v>
      </c>
      <c r="D182" s="780" t="s">
        <v>2102</v>
      </c>
      <c r="E182" s="818"/>
      <c r="F182" s="818" t="s">
        <v>1702</v>
      </c>
      <c r="G182" s="820">
        <f t="shared" ref="G182:G185" si="84">IF(F182=$G$2,E182,0)</f>
        <v>0</v>
      </c>
      <c r="H182" s="817">
        <v>0</v>
      </c>
      <c r="I182" s="817">
        <f t="shared" ref="I182:I185" si="85">G182-H182</f>
        <v>0</v>
      </c>
      <c r="J182" s="820">
        <f t="shared" ref="J182:J185" si="86">IF(F182=$J$2,E182,0)</f>
        <v>0</v>
      </c>
      <c r="K182" s="819"/>
      <c r="L182" s="811"/>
      <c r="M182" s="817">
        <f t="shared" ref="M182:M185" si="87">J182-L182</f>
        <v>0</v>
      </c>
      <c r="N182" s="816">
        <f t="shared" ref="N182:N185" si="88">IF(F182=$N$2,E182,0)</f>
        <v>0</v>
      </c>
      <c r="O182" s="817">
        <v>6</v>
      </c>
    </row>
    <row r="183" spans="1:15">
      <c r="A183" s="515" t="s">
        <v>2103</v>
      </c>
      <c r="B183" s="779">
        <v>456.1</v>
      </c>
      <c r="C183" s="786" t="s">
        <v>2104</v>
      </c>
      <c r="D183" s="780" t="s">
        <v>2105</v>
      </c>
      <c r="E183" s="818"/>
      <c r="F183" s="818" t="s">
        <v>1702</v>
      </c>
      <c r="G183" s="820">
        <f t="shared" si="84"/>
        <v>0</v>
      </c>
      <c r="H183" s="817">
        <v>0</v>
      </c>
      <c r="I183" s="817">
        <f t="shared" si="85"/>
        <v>0</v>
      </c>
      <c r="J183" s="820">
        <f t="shared" si="86"/>
        <v>0</v>
      </c>
      <c r="K183" s="819"/>
      <c r="L183" s="811"/>
      <c r="M183" s="817">
        <f t="shared" si="87"/>
        <v>0</v>
      </c>
      <c r="N183" s="816">
        <f t="shared" si="88"/>
        <v>0</v>
      </c>
      <c r="O183" s="817">
        <v>6</v>
      </c>
    </row>
    <row r="184" spans="1:15" s="247" customFormat="1">
      <c r="A184" s="515" t="s">
        <v>2106</v>
      </c>
      <c r="B184" s="637">
        <v>456.1</v>
      </c>
      <c r="C184" s="514" t="s">
        <v>2107</v>
      </c>
      <c r="D184" s="296" t="s">
        <v>2108</v>
      </c>
      <c r="E184" s="818">
        <v>9513360</v>
      </c>
      <c r="F184" s="818" t="s">
        <v>1702</v>
      </c>
      <c r="G184" s="820">
        <f t="shared" si="84"/>
        <v>0</v>
      </c>
      <c r="H184" s="817">
        <v>0</v>
      </c>
      <c r="I184" s="817">
        <f t="shared" si="85"/>
        <v>0</v>
      </c>
      <c r="J184" s="820">
        <f t="shared" si="86"/>
        <v>0</v>
      </c>
      <c r="K184" s="819"/>
      <c r="L184" s="811"/>
      <c r="M184" s="817">
        <f t="shared" si="87"/>
        <v>0</v>
      </c>
      <c r="N184" s="816">
        <f t="shared" si="88"/>
        <v>9513360</v>
      </c>
      <c r="O184" s="817">
        <v>6</v>
      </c>
    </row>
    <row r="185" spans="1:15" s="247" customFormat="1">
      <c r="A185" s="515" t="s">
        <v>2959</v>
      </c>
      <c r="B185" s="637">
        <v>456.1</v>
      </c>
      <c r="C185" s="514" t="s">
        <v>2960</v>
      </c>
      <c r="D185" s="296" t="s">
        <v>2961</v>
      </c>
      <c r="E185" s="818">
        <v>-1215008.3700000001</v>
      </c>
      <c r="F185" s="818" t="s">
        <v>1702</v>
      </c>
      <c r="G185" s="820">
        <f t="shared" si="84"/>
        <v>0</v>
      </c>
      <c r="H185" s="817">
        <v>0</v>
      </c>
      <c r="I185" s="817">
        <f t="shared" si="85"/>
        <v>0</v>
      </c>
      <c r="J185" s="820">
        <f t="shared" si="86"/>
        <v>0</v>
      </c>
      <c r="K185" s="819"/>
      <c r="L185" s="811"/>
      <c r="M185" s="817">
        <f t="shared" si="87"/>
        <v>0</v>
      </c>
      <c r="N185" s="820">
        <f t="shared" si="88"/>
        <v>-1215008.3700000001</v>
      </c>
      <c r="O185" s="811">
        <v>6</v>
      </c>
    </row>
    <row r="186" spans="1:15" s="247" customFormat="1">
      <c r="A186" s="603"/>
      <c r="B186" s="843"/>
      <c r="C186" s="845"/>
      <c r="D186" s="604"/>
      <c r="E186" s="818"/>
      <c r="F186" s="818"/>
      <c r="G186" s="810"/>
      <c r="H186" s="811"/>
      <c r="I186" s="811"/>
      <c r="J186" s="810"/>
      <c r="K186" s="818"/>
      <c r="L186" s="811"/>
      <c r="M186" s="811"/>
      <c r="N186" s="810"/>
      <c r="O186" s="811"/>
    </row>
    <row r="187" spans="1:15">
      <c r="A187" s="603"/>
      <c r="B187" s="843"/>
      <c r="C187" s="845"/>
      <c r="D187" s="604"/>
      <c r="E187" s="948"/>
      <c r="F187" s="948"/>
      <c r="G187" s="944"/>
      <c r="H187" s="407"/>
      <c r="I187" s="407"/>
      <c r="J187" s="575"/>
      <c r="K187" s="948"/>
      <c r="L187" s="407"/>
      <c r="M187" s="407"/>
      <c r="N187" s="575"/>
      <c r="O187" s="605"/>
    </row>
    <row r="188" spans="1:15" ht="13">
      <c r="A188" s="515">
        <v>16</v>
      </c>
      <c r="B188" s="1119" t="s">
        <v>2109</v>
      </c>
      <c r="C188" s="1120"/>
      <c r="D188" s="1121"/>
      <c r="E188" s="162">
        <f>SUM(E162:E187)</f>
        <v>196228716.24000001</v>
      </c>
      <c r="F188" s="169"/>
      <c r="G188" s="162">
        <f>SUM(G162:G187)</f>
        <v>65335102.259999998</v>
      </c>
      <c r="H188" s="162">
        <f>SUM(H162:H187)</f>
        <v>52963200</v>
      </c>
      <c r="I188" s="162">
        <f>SUM(I162:I187)</f>
        <v>12371902.259999998</v>
      </c>
      <c r="J188" s="162">
        <f>SUM(J162:J187)</f>
        <v>0</v>
      </c>
      <c r="K188" s="169"/>
      <c r="L188" s="162">
        <f>SUM(L162:L187)</f>
        <v>0</v>
      </c>
      <c r="M188" s="162">
        <f>SUM(M162:M187)</f>
        <v>0</v>
      </c>
      <c r="N188" s="162">
        <f>SUM(N162:N187)</f>
        <v>130893613.98</v>
      </c>
      <c r="O188" s="110"/>
    </row>
    <row r="189" spans="1:15" ht="25.5" customHeight="1">
      <c r="A189" s="515">
        <v>17</v>
      </c>
      <c r="B189" s="1143" t="s">
        <v>2110</v>
      </c>
      <c r="C189" s="1144"/>
      <c r="D189" s="1145"/>
      <c r="E189" s="602">
        <v>196228716</v>
      </c>
      <c r="F189" s="161"/>
      <c r="G189" s="171"/>
      <c r="H189" s="161"/>
      <c r="I189" s="163"/>
      <c r="J189" s="156"/>
      <c r="K189" s="163"/>
      <c r="L189" s="156"/>
      <c r="M189" s="156"/>
      <c r="N189" s="156"/>
      <c r="O189" s="2"/>
    </row>
    <row r="190" spans="1:15" ht="13">
      <c r="A190" s="4"/>
      <c r="B190" s="1"/>
      <c r="C190" s="113"/>
      <c r="D190" s="113"/>
      <c r="E190" s="156"/>
      <c r="F190" s="156"/>
      <c r="G190" s="156"/>
      <c r="H190" s="163"/>
      <c r="I190" s="163"/>
      <c r="J190" s="156"/>
      <c r="K190" s="163"/>
      <c r="L190" s="156"/>
      <c r="M190" s="156"/>
      <c r="N190" s="156"/>
      <c r="O190" s="2"/>
    </row>
    <row r="191" spans="1:15" ht="13">
      <c r="A191" s="4"/>
      <c r="B191" s="1"/>
      <c r="C191" s="113"/>
      <c r="D191" s="113"/>
      <c r="E191" s="156"/>
      <c r="F191" s="156"/>
      <c r="G191" s="156"/>
      <c r="H191" s="163"/>
      <c r="I191" s="163"/>
      <c r="J191" s="156"/>
      <c r="K191" s="163"/>
      <c r="L191" s="156"/>
      <c r="M191" s="156"/>
      <c r="N191" s="156"/>
      <c r="O191" s="2"/>
    </row>
    <row r="192" spans="1:15" ht="13">
      <c r="A192" s="603"/>
      <c r="B192" s="800"/>
      <c r="C192" s="178"/>
      <c r="D192" s="178"/>
      <c r="E192" s="179"/>
      <c r="F192" s="179"/>
      <c r="G192" s="179"/>
      <c r="H192" s="179"/>
      <c r="I192" s="179"/>
      <c r="J192" s="179"/>
      <c r="K192" s="179"/>
      <c r="L192" s="179"/>
      <c r="M192" s="179"/>
      <c r="N192" s="179"/>
      <c r="O192" s="605"/>
    </row>
    <row r="193" spans="1:15" ht="13">
      <c r="A193" s="603"/>
      <c r="B193" s="180"/>
      <c r="C193" s="178"/>
      <c r="D193" s="178"/>
      <c r="E193" s="179"/>
      <c r="F193" s="179"/>
      <c r="G193" s="179"/>
      <c r="H193" s="179"/>
      <c r="I193" s="179"/>
      <c r="J193" s="179"/>
      <c r="K193" s="179"/>
      <c r="L193" s="179"/>
      <c r="M193" s="179"/>
      <c r="N193" s="179"/>
      <c r="O193" s="605"/>
    </row>
    <row r="194" spans="1:15" ht="13">
      <c r="A194" s="515">
        <v>19</v>
      </c>
      <c r="B194" s="1119" t="s">
        <v>2111</v>
      </c>
      <c r="C194" s="1120"/>
      <c r="D194" s="1121"/>
      <c r="E194" s="157">
        <f>SUM(E192:E193)</f>
        <v>0</v>
      </c>
      <c r="F194" s="184"/>
      <c r="G194" s="157">
        <f>SUM(G192:G193)</f>
        <v>0</v>
      </c>
      <c r="H194" s="157">
        <f>SUM(H192:H193)</f>
        <v>0</v>
      </c>
      <c r="I194" s="157">
        <f>SUM(I192:I193)</f>
        <v>0</v>
      </c>
      <c r="J194" s="157">
        <f>SUM(J192:J193)</f>
        <v>0</v>
      </c>
      <c r="K194" s="169"/>
      <c r="L194" s="157">
        <f>SUM(L192:L193)</f>
        <v>0</v>
      </c>
      <c r="M194" s="157">
        <f>SUM(M192:M193)</f>
        <v>0</v>
      </c>
      <c r="N194" s="157">
        <f>SUM(N192:N193)</f>
        <v>0</v>
      </c>
      <c r="O194" s="157"/>
    </row>
    <row r="195" spans="1:15" ht="26.25" customHeight="1">
      <c r="A195" s="515">
        <v>20</v>
      </c>
      <c r="B195" s="1130" t="s">
        <v>2112</v>
      </c>
      <c r="C195" s="1131"/>
      <c r="D195" s="1132"/>
      <c r="E195" s="160">
        <v>0</v>
      </c>
      <c r="F195" s="156"/>
      <c r="G195" s="158"/>
      <c r="H195" s="161"/>
      <c r="I195" s="161"/>
      <c r="J195" s="158"/>
      <c r="K195" s="161"/>
      <c r="L195" s="158"/>
      <c r="M195" s="158"/>
      <c r="N195" s="158"/>
      <c r="O195" s="114"/>
    </row>
    <row r="196" spans="1:15" ht="13">
      <c r="A196" s="4"/>
      <c r="B196" s="1"/>
      <c r="C196" s="113"/>
      <c r="D196" s="113"/>
      <c r="E196" s="156"/>
      <c r="F196" s="156"/>
      <c r="G196" s="158"/>
      <c r="H196" s="161"/>
      <c r="I196" s="161"/>
      <c r="J196" s="158"/>
      <c r="K196" s="161"/>
      <c r="L196" s="158"/>
      <c r="M196" s="158"/>
      <c r="N196" s="158"/>
      <c r="O196" s="114"/>
    </row>
    <row r="197" spans="1:15" ht="13">
      <c r="A197" s="603"/>
      <c r="B197" s="800"/>
      <c r="C197" s="178"/>
      <c r="D197" s="178"/>
      <c r="E197" s="179"/>
      <c r="F197" s="179"/>
      <c r="G197" s="160"/>
      <c r="H197" s="160"/>
      <c r="I197" s="160"/>
      <c r="J197" s="160"/>
      <c r="K197" s="160"/>
      <c r="L197" s="160"/>
      <c r="M197" s="160"/>
      <c r="N197" s="160"/>
      <c r="O197" s="407"/>
    </row>
    <row r="198" spans="1:15" ht="13">
      <c r="A198" s="603"/>
      <c r="B198" s="180"/>
      <c r="C198" s="178"/>
      <c r="D198" s="178"/>
      <c r="E198" s="179"/>
      <c r="F198" s="179"/>
      <c r="G198" s="160"/>
      <c r="H198" s="160"/>
      <c r="I198" s="160"/>
      <c r="J198" s="160"/>
      <c r="K198" s="160"/>
      <c r="L198" s="160"/>
      <c r="M198" s="160"/>
      <c r="N198" s="160"/>
      <c r="O198" s="407"/>
    </row>
    <row r="199" spans="1:15" ht="13">
      <c r="A199" s="515">
        <v>22</v>
      </c>
      <c r="B199" s="1119" t="s">
        <v>2113</v>
      </c>
      <c r="C199" s="1120"/>
      <c r="D199" s="1121"/>
      <c r="E199" s="157">
        <f>SUM(E197:E198)</f>
        <v>0</v>
      </c>
      <c r="F199" s="184"/>
      <c r="G199" s="157">
        <f>SUM(G197:G198)</f>
        <v>0</v>
      </c>
      <c r="H199" s="157">
        <f>SUM(H197:H198)</f>
        <v>0</v>
      </c>
      <c r="I199" s="157">
        <f>SUM(I197:I198)</f>
        <v>0</v>
      </c>
      <c r="J199" s="157">
        <f>SUM(J197:J198)</f>
        <v>0</v>
      </c>
      <c r="K199" s="169"/>
      <c r="L199" s="157">
        <f>SUM(L197:L198)</f>
        <v>0</v>
      </c>
      <c r="M199" s="157">
        <f>SUM(M197:M198)</f>
        <v>0</v>
      </c>
      <c r="N199" s="157">
        <f>SUM(N197:N198)</f>
        <v>0</v>
      </c>
      <c r="O199" s="157"/>
    </row>
    <row r="200" spans="1:15" ht="26.25" customHeight="1">
      <c r="A200" s="515">
        <v>23</v>
      </c>
      <c r="B200" s="1130" t="s">
        <v>2114</v>
      </c>
      <c r="C200" s="1131"/>
      <c r="D200" s="1132"/>
      <c r="E200" s="160">
        <v>0</v>
      </c>
      <c r="F200" s="156"/>
      <c r="G200" s="156"/>
      <c r="H200" s="163"/>
      <c r="I200" s="163"/>
      <c r="J200" s="156"/>
      <c r="K200" s="163"/>
      <c r="L200" s="156"/>
      <c r="M200" s="156"/>
      <c r="N200" s="156"/>
      <c r="O200" s="2"/>
    </row>
    <row r="201" spans="1:15" ht="13">
      <c r="A201" s="4"/>
      <c r="B201" s="1"/>
      <c r="C201" s="113"/>
      <c r="D201" s="113"/>
      <c r="E201" s="156"/>
      <c r="F201" s="156"/>
      <c r="G201" s="156"/>
      <c r="H201" s="163"/>
      <c r="I201" s="163"/>
      <c r="J201" s="156"/>
      <c r="K201" s="163"/>
      <c r="L201" s="156"/>
      <c r="M201" s="156"/>
      <c r="N201" s="156"/>
      <c r="O201" s="2"/>
    </row>
    <row r="202" spans="1:15" ht="13">
      <c r="A202" s="4"/>
      <c r="B202" s="1" t="s">
        <v>2115</v>
      </c>
      <c r="C202" s="113"/>
      <c r="D202" s="113"/>
      <c r="E202" s="797"/>
      <c r="F202" s="156"/>
      <c r="G202" s="156"/>
      <c r="H202" s="163"/>
      <c r="I202" s="163"/>
      <c r="J202" s="156"/>
      <c r="K202" s="163"/>
      <c r="L202" s="156"/>
      <c r="M202" s="156"/>
      <c r="N202" s="156"/>
      <c r="O202" s="2"/>
    </row>
    <row r="203" spans="1:15">
      <c r="A203" s="515" t="s">
        <v>2116</v>
      </c>
      <c r="B203" s="635">
        <v>417</v>
      </c>
      <c r="C203" s="949">
        <v>4863130</v>
      </c>
      <c r="D203" s="296" t="s">
        <v>2117</v>
      </c>
      <c r="E203" s="804">
        <v>575592.56000000006</v>
      </c>
      <c r="F203" s="549" t="s">
        <v>1701</v>
      </c>
      <c r="G203" s="941">
        <f t="shared" ref="G203:G215" si="89">IF(F203=$G$2,E203,0)</f>
        <v>0</v>
      </c>
      <c r="H203" s="512">
        <v>0</v>
      </c>
      <c r="I203" s="512">
        <f t="shared" ref="I203:I217" si="90">G203-H203</f>
        <v>0</v>
      </c>
      <c r="J203" s="941">
        <f t="shared" ref="J203:J215" si="91">IF(F203=$J$2,E203,0)</f>
        <v>575592.56000000006</v>
      </c>
      <c r="K203" s="295" t="s">
        <v>1742</v>
      </c>
      <c r="L203" s="859">
        <v>101212.781403438</v>
      </c>
      <c r="M203" s="941">
        <f t="shared" ref="M203:M219" si="92">J203-L203</f>
        <v>474379.77859656204</v>
      </c>
      <c r="N203" s="941">
        <f>IF(F203=$N$2,E203,0)</f>
        <v>0</v>
      </c>
      <c r="O203" s="295">
        <v>2</v>
      </c>
    </row>
    <row r="204" spans="1:15">
      <c r="A204" s="515" t="s">
        <v>2118</v>
      </c>
      <c r="B204" s="635">
        <v>417</v>
      </c>
      <c r="C204" s="949">
        <v>4862110</v>
      </c>
      <c r="D204" s="296" t="s">
        <v>2119</v>
      </c>
      <c r="E204" s="550">
        <v>8627734.7400000002</v>
      </c>
      <c r="F204" s="549" t="s">
        <v>1701</v>
      </c>
      <c r="G204" s="941">
        <f t="shared" si="89"/>
        <v>0</v>
      </c>
      <c r="H204" s="512">
        <v>0</v>
      </c>
      <c r="I204" s="512">
        <f t="shared" si="90"/>
        <v>0</v>
      </c>
      <c r="J204" s="941">
        <f t="shared" si="91"/>
        <v>8627734.7400000002</v>
      </c>
      <c r="K204" s="295" t="s">
        <v>1486</v>
      </c>
      <c r="L204" s="549">
        <v>1494834.30122161</v>
      </c>
      <c r="M204" s="941">
        <f t="shared" si="92"/>
        <v>7132900.4387783902</v>
      </c>
      <c r="N204" s="941">
        <f t="shared" ref="N204:N215" si="93">IF(F204=$N$2,E204,0)</f>
        <v>0</v>
      </c>
      <c r="O204" s="295">
        <v>2</v>
      </c>
    </row>
    <row r="205" spans="1:15">
      <c r="A205" s="515" t="s">
        <v>2120</v>
      </c>
      <c r="B205" s="635">
        <v>417</v>
      </c>
      <c r="C205" s="949">
        <v>4862115</v>
      </c>
      <c r="D205" s="296" t="s">
        <v>2121</v>
      </c>
      <c r="E205" s="550">
        <v>30068</v>
      </c>
      <c r="F205" s="549" t="s">
        <v>1701</v>
      </c>
      <c r="G205" s="941">
        <f t="shared" si="89"/>
        <v>0</v>
      </c>
      <c r="H205" s="512">
        <v>0</v>
      </c>
      <c r="I205" s="512">
        <f t="shared" si="90"/>
        <v>0</v>
      </c>
      <c r="J205" s="941">
        <f t="shared" si="91"/>
        <v>30068</v>
      </c>
      <c r="K205" s="295" t="s">
        <v>1486</v>
      </c>
      <c r="L205" s="549">
        <v>30068</v>
      </c>
      <c r="M205" s="941">
        <f t="shared" si="92"/>
        <v>0</v>
      </c>
      <c r="N205" s="941">
        <f t="shared" si="93"/>
        <v>0</v>
      </c>
      <c r="O205" s="295">
        <v>2</v>
      </c>
    </row>
    <row r="206" spans="1:15">
      <c r="A206" s="515" t="s">
        <v>2122</v>
      </c>
      <c r="B206" s="635">
        <v>417</v>
      </c>
      <c r="C206" s="949">
        <v>4862120</v>
      </c>
      <c r="D206" s="296" t="s">
        <v>2123</v>
      </c>
      <c r="E206" s="550">
        <v>102782.94</v>
      </c>
      <c r="F206" s="549" t="s">
        <v>1701</v>
      </c>
      <c r="G206" s="941">
        <f t="shared" si="89"/>
        <v>0</v>
      </c>
      <c r="H206" s="512">
        <v>0</v>
      </c>
      <c r="I206" s="512">
        <f t="shared" si="90"/>
        <v>0</v>
      </c>
      <c r="J206" s="941">
        <f t="shared" si="91"/>
        <v>102782.94</v>
      </c>
      <c r="K206" s="295" t="s">
        <v>1486</v>
      </c>
      <c r="L206" s="810">
        <v>20493.475914890001</v>
      </c>
      <c r="M206" s="941">
        <f t="shared" si="92"/>
        <v>82289.464085109998</v>
      </c>
      <c r="N206" s="941">
        <f t="shared" si="93"/>
        <v>0</v>
      </c>
      <c r="O206" s="295">
        <v>2</v>
      </c>
    </row>
    <row r="207" spans="1:15">
      <c r="A207" s="515" t="s">
        <v>2124</v>
      </c>
      <c r="B207" s="635">
        <v>417</v>
      </c>
      <c r="C207" s="949">
        <v>4862135</v>
      </c>
      <c r="D207" s="296" t="s">
        <v>2125</v>
      </c>
      <c r="E207" s="805">
        <v>12179647.17</v>
      </c>
      <c r="F207" s="549" t="s">
        <v>1701</v>
      </c>
      <c r="G207" s="941">
        <f t="shared" si="89"/>
        <v>0</v>
      </c>
      <c r="H207" s="512">
        <v>0</v>
      </c>
      <c r="I207" s="512">
        <f t="shared" si="90"/>
        <v>0</v>
      </c>
      <c r="J207" s="941">
        <f t="shared" si="91"/>
        <v>12179647.17</v>
      </c>
      <c r="K207" s="295" t="s">
        <v>1486</v>
      </c>
      <c r="L207" s="805">
        <v>2320033.8181394902</v>
      </c>
      <c r="M207" s="941">
        <f t="shared" si="92"/>
        <v>9859613.3518605102</v>
      </c>
      <c r="N207" s="941">
        <f t="shared" si="93"/>
        <v>0</v>
      </c>
      <c r="O207" s="295">
        <v>2</v>
      </c>
    </row>
    <row r="208" spans="1:15">
      <c r="A208" s="515" t="s">
        <v>2126</v>
      </c>
      <c r="B208" s="635">
        <v>417</v>
      </c>
      <c r="C208" s="949">
        <v>4864115</v>
      </c>
      <c r="D208" s="296" t="s">
        <v>2127</v>
      </c>
      <c r="E208" s="805">
        <v>655113.44999999995</v>
      </c>
      <c r="F208" s="549" t="s">
        <v>1701</v>
      </c>
      <c r="G208" s="941">
        <f t="shared" si="89"/>
        <v>0</v>
      </c>
      <c r="H208" s="512">
        <v>0</v>
      </c>
      <c r="I208" s="512">
        <f t="shared" si="90"/>
        <v>0</v>
      </c>
      <c r="J208" s="941">
        <f t="shared" si="91"/>
        <v>655113.44999999995</v>
      </c>
      <c r="K208" s="295" t="s">
        <v>1486</v>
      </c>
      <c r="L208" s="805">
        <v>120702.388520186</v>
      </c>
      <c r="M208" s="941">
        <f t="shared" si="92"/>
        <v>534411.061479814</v>
      </c>
      <c r="N208" s="941">
        <f t="shared" si="93"/>
        <v>0</v>
      </c>
      <c r="O208" s="295">
        <v>2</v>
      </c>
    </row>
    <row r="209" spans="1:15">
      <c r="A209" s="515" t="s">
        <v>2128</v>
      </c>
      <c r="B209" s="635">
        <v>417</v>
      </c>
      <c r="C209" s="949">
        <v>4862125</v>
      </c>
      <c r="D209" s="296" t="s">
        <v>2129</v>
      </c>
      <c r="E209" s="805">
        <v>15305346.67</v>
      </c>
      <c r="F209" s="549" t="s">
        <v>1701</v>
      </c>
      <c r="G209" s="941">
        <f t="shared" si="89"/>
        <v>0</v>
      </c>
      <c r="H209" s="512">
        <v>0</v>
      </c>
      <c r="I209" s="512">
        <f t="shared" si="90"/>
        <v>0</v>
      </c>
      <c r="J209" s="941">
        <f t="shared" si="91"/>
        <v>15305346.67</v>
      </c>
      <c r="K209" s="295" t="s">
        <v>1486</v>
      </c>
      <c r="L209" s="810">
        <v>2680277.51733085</v>
      </c>
      <c r="M209" s="941">
        <f t="shared" si="92"/>
        <v>12625069.15266915</v>
      </c>
      <c r="N209" s="941">
        <f t="shared" si="93"/>
        <v>0</v>
      </c>
      <c r="O209" s="295">
        <v>2</v>
      </c>
    </row>
    <row r="210" spans="1:15">
      <c r="A210" s="515" t="s">
        <v>2130</v>
      </c>
      <c r="B210" s="635">
        <v>417</v>
      </c>
      <c r="C210" s="949">
        <v>4862130</v>
      </c>
      <c r="D210" s="296" t="s">
        <v>2131</v>
      </c>
      <c r="E210" s="805">
        <v>8405364.8699999992</v>
      </c>
      <c r="F210" s="549" t="s">
        <v>1701</v>
      </c>
      <c r="G210" s="941">
        <f t="shared" si="89"/>
        <v>0</v>
      </c>
      <c r="H210" s="512">
        <v>0</v>
      </c>
      <c r="I210" s="512">
        <f t="shared" si="90"/>
        <v>0</v>
      </c>
      <c r="J210" s="941">
        <f t="shared" si="91"/>
        <v>8405364.8699999992</v>
      </c>
      <c r="K210" s="295" t="s">
        <v>1486</v>
      </c>
      <c r="L210" s="810">
        <v>1771868.76581552</v>
      </c>
      <c r="M210" s="941">
        <f t="shared" si="92"/>
        <v>6633496.1041844795</v>
      </c>
      <c r="N210" s="941">
        <f t="shared" si="93"/>
        <v>0</v>
      </c>
      <c r="O210" s="295">
        <v>2</v>
      </c>
    </row>
    <row r="211" spans="1:15">
      <c r="A211" s="515" t="s">
        <v>2132</v>
      </c>
      <c r="B211" s="635">
        <v>417</v>
      </c>
      <c r="C211" s="949">
        <v>4863120</v>
      </c>
      <c r="D211" s="296" t="s">
        <v>2133</v>
      </c>
      <c r="E211" s="805">
        <v>369131.59</v>
      </c>
      <c r="F211" s="549" t="s">
        <v>1701</v>
      </c>
      <c r="G211" s="941">
        <f t="shared" si="89"/>
        <v>0</v>
      </c>
      <c r="H211" s="512">
        <v>0</v>
      </c>
      <c r="I211" s="512">
        <f t="shared" si="90"/>
        <v>0</v>
      </c>
      <c r="J211" s="941">
        <f t="shared" si="91"/>
        <v>369131.59</v>
      </c>
      <c r="K211" s="295" t="s">
        <v>1742</v>
      </c>
      <c r="L211" s="810">
        <v>53395.386524697999</v>
      </c>
      <c r="M211" s="941">
        <f t="shared" si="92"/>
        <v>315736.20347530203</v>
      </c>
      <c r="N211" s="941">
        <f t="shared" si="93"/>
        <v>0</v>
      </c>
      <c r="O211" s="295">
        <v>2</v>
      </c>
    </row>
    <row r="212" spans="1:15">
      <c r="A212" s="515" t="s">
        <v>2134</v>
      </c>
      <c r="B212" s="635">
        <v>417</v>
      </c>
      <c r="C212" s="949">
        <v>4863110</v>
      </c>
      <c r="D212" s="296" t="s">
        <v>2135</v>
      </c>
      <c r="E212" s="805">
        <v>4383411.0199999996</v>
      </c>
      <c r="F212" s="549" t="s">
        <v>1701</v>
      </c>
      <c r="G212" s="941">
        <f t="shared" si="89"/>
        <v>0</v>
      </c>
      <c r="H212" s="512">
        <v>0</v>
      </c>
      <c r="I212" s="512">
        <f t="shared" si="90"/>
        <v>0</v>
      </c>
      <c r="J212" s="941">
        <f t="shared" si="91"/>
        <v>4383411.0199999996</v>
      </c>
      <c r="K212" s="295" t="s">
        <v>1742</v>
      </c>
      <c r="L212" s="810">
        <v>778046.33460648404</v>
      </c>
      <c r="M212" s="941">
        <f t="shared" si="92"/>
        <v>3605364.6853935155</v>
      </c>
      <c r="N212" s="941">
        <f t="shared" si="93"/>
        <v>0</v>
      </c>
      <c r="O212" s="295">
        <v>2</v>
      </c>
    </row>
    <row r="213" spans="1:15">
      <c r="A213" s="515" t="s">
        <v>2136</v>
      </c>
      <c r="B213" s="635">
        <v>417</v>
      </c>
      <c r="C213" s="949">
        <v>4863115</v>
      </c>
      <c r="D213" s="296" t="s">
        <v>2137</v>
      </c>
      <c r="E213" s="805">
        <v>1235741.52</v>
      </c>
      <c r="F213" s="549" t="s">
        <v>1701</v>
      </c>
      <c r="G213" s="941">
        <f t="shared" si="89"/>
        <v>0</v>
      </c>
      <c r="H213" s="512">
        <v>0</v>
      </c>
      <c r="I213" s="512">
        <f t="shared" si="90"/>
        <v>0</v>
      </c>
      <c r="J213" s="941">
        <f t="shared" si="91"/>
        <v>1235741.52</v>
      </c>
      <c r="K213" s="295" t="s">
        <v>1742</v>
      </c>
      <c r="L213" s="810">
        <v>248572.65549416401</v>
      </c>
      <c r="M213" s="941">
        <f t="shared" si="92"/>
        <v>987168.86450583604</v>
      </c>
      <c r="N213" s="941">
        <f t="shared" si="93"/>
        <v>0</v>
      </c>
      <c r="O213" s="295">
        <v>2</v>
      </c>
    </row>
    <row r="214" spans="1:15">
      <c r="A214" s="515" t="s">
        <v>2138</v>
      </c>
      <c r="B214" s="635">
        <v>417</v>
      </c>
      <c r="C214" s="949">
        <v>4863125</v>
      </c>
      <c r="D214" s="296" t="s">
        <v>2139</v>
      </c>
      <c r="E214" s="805">
        <v>1965475.95</v>
      </c>
      <c r="F214" s="549" t="s">
        <v>1701</v>
      </c>
      <c r="G214" s="941">
        <f t="shared" si="89"/>
        <v>0</v>
      </c>
      <c r="H214" s="512">
        <v>0</v>
      </c>
      <c r="I214" s="512">
        <f t="shared" si="90"/>
        <v>0</v>
      </c>
      <c r="J214" s="941">
        <f t="shared" si="91"/>
        <v>1965475.95</v>
      </c>
      <c r="K214" s="295" t="s">
        <v>1742</v>
      </c>
      <c r="L214" s="810">
        <v>296283.04684267001</v>
      </c>
      <c r="M214" s="941">
        <f t="shared" si="92"/>
        <v>1669192.9031573299</v>
      </c>
      <c r="N214" s="941">
        <f t="shared" si="93"/>
        <v>0</v>
      </c>
      <c r="O214" s="295">
        <v>2</v>
      </c>
    </row>
    <row r="215" spans="1:15">
      <c r="A215" s="515" t="s">
        <v>2140</v>
      </c>
      <c r="B215" s="635">
        <v>417</v>
      </c>
      <c r="C215" s="949">
        <v>4864120</v>
      </c>
      <c r="D215" s="296" t="s">
        <v>2141</v>
      </c>
      <c r="E215" s="550">
        <v>215256.69</v>
      </c>
      <c r="F215" s="549" t="s">
        <v>1701</v>
      </c>
      <c r="G215" s="941">
        <f t="shared" si="89"/>
        <v>0</v>
      </c>
      <c r="H215" s="512">
        <v>0</v>
      </c>
      <c r="I215" s="512">
        <f t="shared" si="90"/>
        <v>0</v>
      </c>
      <c r="J215" s="941">
        <f t="shared" si="91"/>
        <v>215256.69</v>
      </c>
      <c r="K215" s="295" t="s">
        <v>1486</v>
      </c>
      <c r="L215" s="549">
        <v>51289.168062370001</v>
      </c>
      <c r="M215" s="941">
        <f t="shared" si="92"/>
        <v>163967.52193762999</v>
      </c>
      <c r="N215" s="941">
        <f t="shared" si="93"/>
        <v>0</v>
      </c>
      <c r="O215" s="295">
        <v>2</v>
      </c>
    </row>
    <row r="216" spans="1:15">
      <c r="A216" s="515" t="s">
        <v>2142</v>
      </c>
      <c r="B216" s="635">
        <v>417</v>
      </c>
      <c r="C216" s="636">
        <v>4864116</v>
      </c>
      <c r="D216" s="296" t="s">
        <v>2143</v>
      </c>
      <c r="E216" s="806">
        <v>2680280.94</v>
      </c>
      <c r="F216" s="549" t="s">
        <v>1701</v>
      </c>
      <c r="G216" s="941">
        <f>IF(F216=$G$2,E216,0)</f>
        <v>0</v>
      </c>
      <c r="H216" s="512">
        <v>0</v>
      </c>
      <c r="I216" s="512">
        <f t="shared" si="90"/>
        <v>0</v>
      </c>
      <c r="J216" s="941">
        <f>IF(F216=$J$2,E216,0)</f>
        <v>2680280.94</v>
      </c>
      <c r="K216" s="295" t="s">
        <v>1486</v>
      </c>
      <c r="L216" s="827">
        <v>449771.96253594197</v>
      </c>
      <c r="M216" s="941">
        <f t="shared" si="92"/>
        <v>2230508.977464058</v>
      </c>
      <c r="N216" s="941">
        <f>IF(F216=$N$2,E216,0)</f>
        <v>0</v>
      </c>
      <c r="O216" s="295">
        <v>2</v>
      </c>
    </row>
    <row r="217" spans="1:15">
      <c r="A217" s="515" t="s">
        <v>2144</v>
      </c>
      <c r="B217" s="635">
        <v>417</v>
      </c>
      <c r="C217" s="636">
        <v>4864121</v>
      </c>
      <c r="D217" s="296" t="s">
        <v>2145</v>
      </c>
      <c r="E217" s="807">
        <v>377497.82</v>
      </c>
      <c r="F217" s="549" t="s">
        <v>1701</v>
      </c>
      <c r="G217" s="941">
        <f>IF(F217=$G$2,E217,0)</f>
        <v>0</v>
      </c>
      <c r="H217" s="512">
        <v>0</v>
      </c>
      <c r="I217" s="512">
        <f t="shared" si="90"/>
        <v>0</v>
      </c>
      <c r="J217" s="941">
        <f>IF(F217=$J$2,E217,0)</f>
        <v>377497.82</v>
      </c>
      <c r="K217" s="295" t="s">
        <v>1486</v>
      </c>
      <c r="L217" s="549">
        <v>68341.984052272004</v>
      </c>
      <c r="M217" s="941">
        <f t="shared" si="92"/>
        <v>309155.83594772802</v>
      </c>
      <c r="N217" s="941">
        <f>IF(F217=$N$2,E217,0)</f>
        <v>0</v>
      </c>
      <c r="O217" s="295">
        <v>2</v>
      </c>
    </row>
    <row r="218" spans="1:15">
      <c r="A218" s="515" t="s">
        <v>2146</v>
      </c>
      <c r="B218" s="779">
        <v>417</v>
      </c>
      <c r="C218" s="779">
        <v>4864117</v>
      </c>
      <c r="D218" s="780" t="s">
        <v>2147</v>
      </c>
      <c r="E218" s="858">
        <v>670095.88</v>
      </c>
      <c r="F218" s="549" t="s">
        <v>1701</v>
      </c>
      <c r="G218" s="941">
        <f t="shared" ref="G218:G219" si="94">IF(F218=$G$2,E218,0)</f>
        <v>0</v>
      </c>
      <c r="H218" s="512">
        <v>0</v>
      </c>
      <c r="I218" s="512">
        <f t="shared" ref="I218:I219" si="95">G218-H218</f>
        <v>0</v>
      </c>
      <c r="J218" s="941">
        <f t="shared" ref="J218:J219" si="96">IF(F218=$J$2,E218,0)</f>
        <v>670095.88</v>
      </c>
      <c r="K218" s="295" t="s">
        <v>1486</v>
      </c>
      <c r="L218" s="549">
        <v>107527.80023833401</v>
      </c>
      <c r="M218" s="941">
        <f t="shared" si="92"/>
        <v>562568.07976166601</v>
      </c>
      <c r="N218" s="941">
        <f t="shared" ref="N218:N219" si="97">IF(F218=$N$2,E218,0)</f>
        <v>0</v>
      </c>
      <c r="O218" s="295">
        <v>2</v>
      </c>
    </row>
    <row r="219" spans="1:15">
      <c r="A219" s="515" t="s">
        <v>2148</v>
      </c>
      <c r="B219" s="779">
        <v>417</v>
      </c>
      <c r="C219" s="779">
        <v>4864122</v>
      </c>
      <c r="D219" s="780" t="s">
        <v>2149</v>
      </c>
      <c r="E219" s="858">
        <v>206563.46</v>
      </c>
      <c r="F219" s="549" t="s">
        <v>1701</v>
      </c>
      <c r="G219" s="941">
        <f t="shared" si="94"/>
        <v>0</v>
      </c>
      <c r="H219" s="512">
        <v>0</v>
      </c>
      <c r="I219" s="512">
        <f t="shared" si="95"/>
        <v>0</v>
      </c>
      <c r="J219" s="941">
        <f t="shared" si="96"/>
        <v>206563.46</v>
      </c>
      <c r="K219" s="295" t="s">
        <v>1486</v>
      </c>
      <c r="L219" s="549">
        <v>94029.099340050001</v>
      </c>
      <c r="M219" s="941">
        <f t="shared" si="92"/>
        <v>112534.36065994999</v>
      </c>
      <c r="N219" s="941">
        <f t="shared" si="97"/>
        <v>0</v>
      </c>
      <c r="O219" s="295">
        <v>2</v>
      </c>
    </row>
    <row r="220" spans="1:15" s="247" customFormat="1">
      <c r="A220" s="515" t="s">
        <v>2150</v>
      </c>
      <c r="B220" s="635">
        <v>417</v>
      </c>
      <c r="C220" s="636">
        <v>4864200</v>
      </c>
      <c r="D220" s="296" t="s">
        <v>2151</v>
      </c>
      <c r="E220" s="810">
        <v>46212</v>
      </c>
      <c r="F220" s="549" t="s">
        <v>1701</v>
      </c>
      <c r="G220" s="941">
        <f t="shared" ref="G220:G228" si="98">IF(F220=$G$2,E220,0)</f>
        <v>0</v>
      </c>
      <c r="H220" s="512">
        <v>0</v>
      </c>
      <c r="I220" s="512">
        <f t="shared" ref="I220:I228" si="99">G220-H220</f>
        <v>0</v>
      </c>
      <c r="J220" s="941">
        <f t="shared" ref="J220:J228" si="100">IF(F220=$J$2,E220,0)</f>
        <v>46212</v>
      </c>
      <c r="K220" s="295" t="s">
        <v>1486</v>
      </c>
      <c r="L220" s="549">
        <v>13573.527704356</v>
      </c>
      <c r="M220" s="941">
        <f t="shared" ref="M220:M228" si="101">J220-L220</f>
        <v>32638.472295644002</v>
      </c>
      <c r="N220" s="941">
        <f t="shared" ref="N220:N228" si="102">IF(F220=$N$2,E220,0)</f>
        <v>0</v>
      </c>
      <c r="O220" s="295">
        <v>2</v>
      </c>
    </row>
    <row r="221" spans="1:15" s="247" customFormat="1">
      <c r="A221" s="515" t="s">
        <v>2152</v>
      </c>
      <c r="B221" s="635">
        <v>417</v>
      </c>
      <c r="C221" s="636">
        <v>4864201</v>
      </c>
      <c r="D221" s="296" t="s">
        <v>2153</v>
      </c>
      <c r="E221" s="810">
        <v>7988</v>
      </c>
      <c r="F221" s="549" t="s">
        <v>1701</v>
      </c>
      <c r="G221" s="941">
        <f t="shared" si="98"/>
        <v>0</v>
      </c>
      <c r="H221" s="512">
        <v>0</v>
      </c>
      <c r="I221" s="512">
        <f t="shared" si="99"/>
        <v>0</v>
      </c>
      <c r="J221" s="941">
        <f t="shared" si="100"/>
        <v>7988</v>
      </c>
      <c r="K221" s="295" t="s">
        <v>1486</v>
      </c>
      <c r="L221" s="549">
        <v>7988</v>
      </c>
      <c r="M221" s="941">
        <f t="shared" si="101"/>
        <v>0</v>
      </c>
      <c r="N221" s="941">
        <f t="shared" si="102"/>
        <v>0</v>
      </c>
      <c r="O221" s="295">
        <v>2</v>
      </c>
    </row>
    <row r="222" spans="1:15" s="247" customFormat="1">
      <c r="A222" s="515" t="s">
        <v>2154</v>
      </c>
      <c r="B222" s="635">
        <v>417</v>
      </c>
      <c r="C222" s="636">
        <v>4864202</v>
      </c>
      <c r="D222" s="296" t="s">
        <v>2155</v>
      </c>
      <c r="E222" s="810">
        <v>68376</v>
      </c>
      <c r="F222" s="549" t="s">
        <v>1701</v>
      </c>
      <c r="G222" s="941">
        <f t="shared" si="98"/>
        <v>0</v>
      </c>
      <c r="H222" s="512">
        <v>0</v>
      </c>
      <c r="I222" s="512">
        <f t="shared" si="99"/>
        <v>0</v>
      </c>
      <c r="J222" s="941">
        <f t="shared" si="100"/>
        <v>68376</v>
      </c>
      <c r="K222" s="295" t="s">
        <v>1486</v>
      </c>
      <c r="L222" s="549">
        <v>46716.683513363998</v>
      </c>
      <c r="M222" s="941">
        <f t="shared" si="101"/>
        <v>21659.316486636002</v>
      </c>
      <c r="N222" s="941">
        <f t="shared" si="102"/>
        <v>0</v>
      </c>
      <c r="O222" s="295">
        <v>2</v>
      </c>
    </row>
    <row r="223" spans="1:15" s="247" customFormat="1">
      <c r="A223" s="515" t="s">
        <v>2156</v>
      </c>
      <c r="B223" s="635">
        <v>417</v>
      </c>
      <c r="C223" s="636">
        <v>4864203</v>
      </c>
      <c r="D223" s="296" t="s">
        <v>2157</v>
      </c>
      <c r="E223" s="810">
        <v>10212</v>
      </c>
      <c r="F223" s="549" t="s">
        <v>1701</v>
      </c>
      <c r="G223" s="941">
        <f t="shared" si="98"/>
        <v>0</v>
      </c>
      <c r="H223" s="512">
        <v>0</v>
      </c>
      <c r="I223" s="512">
        <f t="shared" si="99"/>
        <v>0</v>
      </c>
      <c r="J223" s="941">
        <f t="shared" si="100"/>
        <v>10212</v>
      </c>
      <c r="K223" s="295" t="s">
        <v>1486</v>
      </c>
      <c r="L223" s="549">
        <v>6977.1374849900003</v>
      </c>
      <c r="M223" s="941">
        <f t="shared" si="101"/>
        <v>3234.8625150099997</v>
      </c>
      <c r="N223" s="941">
        <f t="shared" si="102"/>
        <v>0</v>
      </c>
      <c r="O223" s="295">
        <v>2</v>
      </c>
    </row>
    <row r="224" spans="1:15" s="247" customFormat="1">
      <c r="A224" s="515" t="s">
        <v>2158</v>
      </c>
      <c r="B224" s="635">
        <v>417</v>
      </c>
      <c r="C224" s="636">
        <v>4862105</v>
      </c>
      <c r="D224" s="296" t="s">
        <v>2159</v>
      </c>
      <c r="E224" s="810"/>
      <c r="F224" s="549" t="s">
        <v>1701</v>
      </c>
      <c r="G224" s="941">
        <f t="shared" si="98"/>
        <v>0</v>
      </c>
      <c r="H224" s="512">
        <v>0</v>
      </c>
      <c r="I224" s="512">
        <f t="shared" si="99"/>
        <v>0</v>
      </c>
      <c r="J224" s="941">
        <f t="shared" si="100"/>
        <v>0</v>
      </c>
      <c r="K224" s="295" t="s">
        <v>1486</v>
      </c>
      <c r="L224" s="549"/>
      <c r="M224" s="941">
        <f t="shared" si="101"/>
        <v>0</v>
      </c>
      <c r="N224" s="941">
        <f t="shared" si="102"/>
        <v>0</v>
      </c>
      <c r="O224" s="295">
        <v>2</v>
      </c>
    </row>
    <row r="225" spans="1:15" s="247" customFormat="1">
      <c r="A225" s="515" t="s">
        <v>2160</v>
      </c>
      <c r="B225" s="635">
        <v>417</v>
      </c>
      <c r="C225" s="636">
        <v>4863135</v>
      </c>
      <c r="D225" s="296" t="s">
        <v>2161</v>
      </c>
      <c r="E225" s="810"/>
      <c r="F225" s="549" t="s">
        <v>1701</v>
      </c>
      <c r="G225" s="941">
        <f t="shared" si="98"/>
        <v>0</v>
      </c>
      <c r="H225" s="512">
        <v>0</v>
      </c>
      <c r="I225" s="512">
        <f t="shared" si="99"/>
        <v>0</v>
      </c>
      <c r="J225" s="941">
        <f t="shared" si="100"/>
        <v>0</v>
      </c>
      <c r="K225" s="295" t="s">
        <v>1742</v>
      </c>
      <c r="L225" s="549"/>
      <c r="M225" s="941">
        <f t="shared" si="101"/>
        <v>0</v>
      </c>
      <c r="N225" s="941">
        <f t="shared" si="102"/>
        <v>0</v>
      </c>
      <c r="O225" s="295">
        <v>2</v>
      </c>
    </row>
    <row r="226" spans="1:15" s="247" customFormat="1">
      <c r="A226" s="515" t="s">
        <v>2162</v>
      </c>
      <c r="B226" s="635">
        <v>417</v>
      </c>
      <c r="C226" s="636">
        <v>4864123</v>
      </c>
      <c r="D226" s="296" t="s">
        <v>2163</v>
      </c>
      <c r="E226" s="810">
        <v>23305.74</v>
      </c>
      <c r="F226" s="549" t="s">
        <v>1701</v>
      </c>
      <c r="G226" s="941">
        <f t="shared" si="98"/>
        <v>0</v>
      </c>
      <c r="H226" s="512">
        <v>0</v>
      </c>
      <c r="I226" s="512">
        <f t="shared" si="99"/>
        <v>0</v>
      </c>
      <c r="J226" s="941">
        <f t="shared" si="100"/>
        <v>23305.74</v>
      </c>
      <c r="K226" s="295" t="s">
        <v>1486</v>
      </c>
      <c r="L226" s="549">
        <v>12382.102991484</v>
      </c>
      <c r="M226" s="941">
        <f t="shared" si="101"/>
        <v>10923.637008516002</v>
      </c>
      <c r="N226" s="941">
        <f t="shared" si="102"/>
        <v>0</v>
      </c>
      <c r="O226" s="295">
        <v>2</v>
      </c>
    </row>
    <row r="227" spans="1:15" s="247" customFormat="1">
      <c r="A227" s="515" t="s">
        <v>2164</v>
      </c>
      <c r="B227" s="635">
        <v>417</v>
      </c>
      <c r="C227" s="636">
        <v>4864124</v>
      </c>
      <c r="D227" s="296" t="s">
        <v>2165</v>
      </c>
      <c r="E227" s="810">
        <v>1403696.51</v>
      </c>
      <c r="F227" s="549" t="s">
        <v>1701</v>
      </c>
      <c r="G227" s="941">
        <f t="shared" si="98"/>
        <v>0</v>
      </c>
      <c r="H227" s="512">
        <v>0</v>
      </c>
      <c r="I227" s="512">
        <f t="shared" si="99"/>
        <v>0</v>
      </c>
      <c r="J227" s="941">
        <f t="shared" si="100"/>
        <v>1403696.51</v>
      </c>
      <c r="K227" s="295" t="s">
        <v>1486</v>
      </c>
      <c r="L227" s="549">
        <v>326611.85038671002</v>
      </c>
      <c r="M227" s="941">
        <f t="shared" si="101"/>
        <v>1077084.6596132899</v>
      </c>
      <c r="N227" s="941">
        <f t="shared" si="102"/>
        <v>0</v>
      </c>
      <c r="O227" s="295">
        <v>2</v>
      </c>
    </row>
    <row r="228" spans="1:15" s="247" customFormat="1">
      <c r="A228" s="515" t="s">
        <v>2166</v>
      </c>
      <c r="B228" s="635">
        <v>417</v>
      </c>
      <c r="C228" s="636">
        <v>4864125</v>
      </c>
      <c r="D228" s="296" t="s">
        <v>2163</v>
      </c>
      <c r="E228" s="810">
        <v>146518.14000000001</v>
      </c>
      <c r="F228" s="549" t="s">
        <v>1701</v>
      </c>
      <c r="G228" s="941">
        <f t="shared" si="98"/>
        <v>0</v>
      </c>
      <c r="H228" s="512">
        <v>0</v>
      </c>
      <c r="I228" s="512">
        <f t="shared" si="99"/>
        <v>0</v>
      </c>
      <c r="J228" s="941">
        <f t="shared" si="100"/>
        <v>146518.14000000001</v>
      </c>
      <c r="K228" s="295" t="s">
        <v>1486</v>
      </c>
      <c r="L228" s="549">
        <v>27433.127340716001</v>
      </c>
      <c r="M228" s="941">
        <f t="shared" si="101"/>
        <v>119085.01265928401</v>
      </c>
      <c r="N228" s="941">
        <f t="shared" si="102"/>
        <v>0</v>
      </c>
      <c r="O228" s="295">
        <v>2</v>
      </c>
    </row>
    <row r="229" spans="1:15" s="247" customFormat="1">
      <c r="A229" s="603"/>
      <c r="B229" s="800"/>
      <c r="C229" s="846"/>
      <c r="D229" s="604"/>
      <c r="E229" s="801"/>
      <c r="F229" s="575"/>
      <c r="G229" s="575"/>
      <c r="H229" s="407"/>
      <c r="I229" s="407"/>
      <c r="J229" s="575"/>
      <c r="K229" s="605"/>
      <c r="L229" s="575"/>
      <c r="M229" s="575"/>
      <c r="N229" s="575"/>
      <c r="O229" s="605"/>
    </row>
    <row r="230" spans="1:15" s="247" customFormat="1">
      <c r="A230" s="603"/>
      <c r="B230" s="800"/>
      <c r="C230" s="796"/>
      <c r="D230" s="604"/>
      <c r="E230" s="802"/>
      <c r="F230" s="575"/>
      <c r="G230" s="575"/>
      <c r="H230" s="407"/>
      <c r="I230" s="407"/>
      <c r="J230" s="575"/>
      <c r="K230" s="605"/>
      <c r="L230" s="798"/>
      <c r="M230" s="575"/>
      <c r="N230" s="575"/>
      <c r="O230" s="605"/>
    </row>
    <row r="231" spans="1:15" ht="13">
      <c r="A231" s="515">
        <v>25</v>
      </c>
      <c r="B231" s="1119" t="s">
        <v>2167</v>
      </c>
      <c r="C231" s="1120"/>
      <c r="D231" s="1121"/>
      <c r="E231" s="162">
        <f>SUM(E203:E230)</f>
        <v>59691413.660000011</v>
      </c>
      <c r="F231" s="169"/>
      <c r="G231" s="162">
        <f>SUM(G203:G230)</f>
        <v>0</v>
      </c>
      <c r="H231" s="162">
        <f>SUM(H203:H230)</f>
        <v>0</v>
      </c>
      <c r="I231" s="162">
        <f>SUM(I203:I230)</f>
        <v>0</v>
      </c>
      <c r="J231" s="162">
        <f>SUM(J203:J230)</f>
        <v>59691413.660000011</v>
      </c>
      <c r="K231" s="169"/>
      <c r="L231" s="162">
        <f>SUM(L203:L230)</f>
        <v>11128430.915464589</v>
      </c>
      <c r="M231" s="162">
        <f>SUM(M203:M230)</f>
        <v>48562982.744535409</v>
      </c>
      <c r="N231" s="162">
        <f>SUM(N203:N230)</f>
        <v>0</v>
      </c>
      <c r="O231" s="110"/>
    </row>
    <row r="232" spans="1:15" ht="13">
      <c r="A232" s="515">
        <v>26</v>
      </c>
      <c r="B232" s="1119" t="s">
        <v>2168</v>
      </c>
      <c r="C232" s="1120"/>
      <c r="D232" s="1121"/>
      <c r="E232" s="602">
        <f>E233-E231</f>
        <v>11530829.339999989</v>
      </c>
      <c r="F232" s="158"/>
      <c r="G232" s="156"/>
      <c r="H232" s="163"/>
      <c r="I232" s="163"/>
      <c r="J232" s="156"/>
      <c r="K232" s="163"/>
      <c r="L232" s="156"/>
      <c r="M232" s="156"/>
      <c r="N232" s="156"/>
      <c r="O232" s="2"/>
    </row>
    <row r="233" spans="1:15" ht="25.5" customHeight="1">
      <c r="A233" s="515">
        <v>27</v>
      </c>
      <c r="B233" s="1143" t="s">
        <v>2169</v>
      </c>
      <c r="C233" s="1144"/>
      <c r="D233" s="1145"/>
      <c r="E233" s="602">
        <v>71222243</v>
      </c>
      <c r="F233" s="181" t="s">
        <v>129</v>
      </c>
      <c r="G233" s="950"/>
      <c r="H233" s="248"/>
      <c r="I233" s="248"/>
      <c r="J233" s="950"/>
      <c r="K233" s="951"/>
      <c r="L233" s="952"/>
      <c r="M233" s="248"/>
      <c r="N233" s="950"/>
      <c r="O233" s="248"/>
    </row>
    <row r="234" spans="1:15">
      <c r="A234" s="248"/>
      <c r="B234" s="247"/>
      <c r="C234" s="247"/>
      <c r="D234" s="247"/>
      <c r="E234" s="950"/>
      <c r="F234" s="950"/>
      <c r="G234" s="950"/>
      <c r="H234" s="248"/>
      <c r="I234" s="248"/>
      <c r="J234" s="950"/>
      <c r="K234" s="951"/>
      <c r="L234" s="952"/>
      <c r="M234" s="248"/>
      <c r="N234" s="950"/>
      <c r="O234" s="248"/>
    </row>
    <row r="235" spans="1:15" ht="13">
      <c r="A235" s="247"/>
      <c r="B235" s="1" t="s">
        <v>2170</v>
      </c>
      <c r="C235" s="247"/>
      <c r="D235" s="247"/>
      <c r="E235" s="950"/>
      <c r="F235" s="950"/>
      <c r="G235" s="950"/>
      <c r="H235" s="248"/>
      <c r="I235" s="248"/>
      <c r="J235" s="950"/>
      <c r="K235" s="951"/>
      <c r="L235" s="952"/>
      <c r="M235" s="248"/>
      <c r="N235" s="950"/>
      <c r="O235" s="248"/>
    </row>
    <row r="236" spans="1:15">
      <c r="A236" s="295" t="s">
        <v>2171</v>
      </c>
      <c r="B236" s="1134">
        <v>418.1</v>
      </c>
      <c r="C236" s="1135"/>
      <c r="D236" s="296" t="s">
        <v>2172</v>
      </c>
      <c r="E236" s="860"/>
      <c r="F236" s="549" t="s">
        <v>1701</v>
      </c>
      <c r="G236" s="941">
        <f>IF(F236=$G$2,E236,0)</f>
        <v>0</v>
      </c>
      <c r="H236" s="295">
        <v>0</v>
      </c>
      <c r="I236" s="512">
        <f t="shared" ref="I236:I239" si="103">G236-H236</f>
        <v>0</v>
      </c>
      <c r="J236" s="941">
        <f>IF(F236=$J$2,E236,0)</f>
        <v>0</v>
      </c>
      <c r="K236" s="297" t="s">
        <v>1486</v>
      </c>
      <c r="L236" s="575"/>
      <c r="M236" s="512">
        <f>J236-L236</f>
        <v>0</v>
      </c>
      <c r="N236" s="941">
        <f>IF(F236=$N$2,E236,0)</f>
        <v>0</v>
      </c>
      <c r="O236" s="295" t="s">
        <v>2173</v>
      </c>
    </row>
    <row r="237" spans="1:15">
      <c r="A237" s="295" t="s">
        <v>2174</v>
      </c>
      <c r="B237" s="1134">
        <v>418.1</v>
      </c>
      <c r="C237" s="1135"/>
      <c r="D237" s="296" t="s">
        <v>2175</v>
      </c>
      <c r="E237" s="860"/>
      <c r="F237" s="549" t="s">
        <v>1701</v>
      </c>
      <c r="G237" s="941">
        <f>IF(F237=$G$2,E237,0)</f>
        <v>0</v>
      </c>
      <c r="H237" s="295">
        <v>0</v>
      </c>
      <c r="I237" s="512">
        <f t="shared" si="103"/>
        <v>0</v>
      </c>
      <c r="J237" s="941">
        <f>IF(F237=$J$2,E237,0)</f>
        <v>0</v>
      </c>
      <c r="K237" s="297" t="s">
        <v>1742</v>
      </c>
      <c r="L237" s="575"/>
      <c r="M237" s="512">
        <f>J237-L237</f>
        <v>0</v>
      </c>
      <c r="N237" s="941">
        <f>IF(F237=$N$2,E237,0)</f>
        <v>0</v>
      </c>
      <c r="O237" s="295" t="s">
        <v>2173</v>
      </c>
    </row>
    <row r="238" spans="1:15">
      <c r="A238" s="295" t="s">
        <v>2176</v>
      </c>
      <c r="B238" s="1134">
        <v>418.1</v>
      </c>
      <c r="C238" s="1135"/>
      <c r="D238" s="296" t="s">
        <v>2177</v>
      </c>
      <c r="E238" s="860"/>
      <c r="F238" s="549" t="s">
        <v>1701</v>
      </c>
      <c r="G238" s="941">
        <f>IF(F238=$G$2,E238,0)</f>
        <v>0</v>
      </c>
      <c r="H238" s="295">
        <v>0</v>
      </c>
      <c r="I238" s="512">
        <f t="shared" si="103"/>
        <v>0</v>
      </c>
      <c r="J238" s="941">
        <f>IF(F238=$J$2,E238,0)</f>
        <v>0</v>
      </c>
      <c r="K238" s="297" t="s">
        <v>1742</v>
      </c>
      <c r="L238" s="575"/>
      <c r="M238" s="512">
        <f>J238-L238</f>
        <v>0</v>
      </c>
      <c r="N238" s="941">
        <f>IF(F238=$N$2,E238,0)</f>
        <v>0</v>
      </c>
      <c r="O238" s="295" t="s">
        <v>2178</v>
      </c>
    </row>
    <row r="239" spans="1:15">
      <c r="A239" s="295" t="s">
        <v>2179</v>
      </c>
      <c r="B239" s="1134">
        <v>418.1</v>
      </c>
      <c r="C239" s="1135"/>
      <c r="D239" s="296" t="s">
        <v>2180</v>
      </c>
      <c r="E239" s="810">
        <v>-13039</v>
      </c>
      <c r="F239" s="549" t="s">
        <v>1700</v>
      </c>
      <c r="G239" s="941">
        <f>IF(F239=$G$2,E239,0)</f>
        <v>-13039</v>
      </c>
      <c r="H239" s="295">
        <v>0</v>
      </c>
      <c r="I239" s="512">
        <f t="shared" si="103"/>
        <v>-13039</v>
      </c>
      <c r="J239" s="941">
        <f>IF(F239=$J$2,E239,0)</f>
        <v>0</v>
      </c>
      <c r="K239" s="297"/>
      <c r="L239" s="575"/>
      <c r="M239" s="512">
        <f>J239-L239</f>
        <v>0</v>
      </c>
      <c r="N239" s="941">
        <f>IF(F239=$N$2,E239,0)</f>
        <v>0</v>
      </c>
      <c r="O239" s="295">
        <v>13</v>
      </c>
    </row>
    <row r="240" spans="1:15">
      <c r="A240" s="295" t="s">
        <v>2181</v>
      </c>
      <c r="B240" s="953">
        <v>418.1</v>
      </c>
      <c r="C240" s="954"/>
      <c r="D240" s="296" t="s">
        <v>2182</v>
      </c>
      <c r="E240" s="818">
        <v>-484003</v>
      </c>
      <c r="F240" s="810" t="s">
        <v>1700</v>
      </c>
      <c r="G240" s="816">
        <f>IF(F240=$G$2,E240,0)</f>
        <v>-484003</v>
      </c>
      <c r="H240" s="817">
        <f>E240*$D$289</f>
        <v>-32234.599800000004</v>
      </c>
      <c r="I240" s="817">
        <f>G240-H240</f>
        <v>-451768.40019999997</v>
      </c>
      <c r="J240" s="816">
        <f>IF(F240=$J$2,E240,0)</f>
        <v>0</v>
      </c>
      <c r="K240" s="297"/>
      <c r="L240" s="575"/>
      <c r="M240" s="512">
        <f>J240-L240</f>
        <v>0</v>
      </c>
      <c r="N240" s="941">
        <f>IF(F240=$N$2,E240,0)</f>
        <v>0</v>
      </c>
      <c r="O240" s="295" t="s">
        <v>2183</v>
      </c>
    </row>
    <row r="241" spans="1:15">
      <c r="A241" s="605"/>
      <c r="B241" s="955"/>
      <c r="C241" s="844"/>
      <c r="D241" s="604"/>
      <c r="E241" s="956"/>
      <c r="F241" s="815"/>
      <c r="G241" s="815"/>
      <c r="H241" s="811"/>
      <c r="I241" s="811"/>
      <c r="J241" s="815"/>
      <c r="K241" s="957"/>
      <c r="L241" s="575"/>
      <c r="M241" s="958"/>
      <c r="N241" s="575"/>
      <c r="O241" s="605"/>
    </row>
    <row r="242" spans="1:15">
      <c r="A242" s="605"/>
      <c r="B242" s="955"/>
      <c r="C242" s="844"/>
      <c r="D242" s="604"/>
      <c r="E242" s="956"/>
      <c r="F242" s="815"/>
      <c r="G242" s="815"/>
      <c r="H242" s="811"/>
      <c r="I242" s="811"/>
      <c r="J242" s="815"/>
      <c r="K242" s="957"/>
      <c r="L242" s="575"/>
      <c r="M242" s="958"/>
      <c r="N242" s="575"/>
      <c r="O242" s="605"/>
    </row>
    <row r="243" spans="1:15" ht="13">
      <c r="A243" s="295">
        <v>29</v>
      </c>
      <c r="B243" s="1119" t="s">
        <v>2184</v>
      </c>
      <c r="C243" s="1120"/>
      <c r="D243" s="1121"/>
      <c r="E243" s="821">
        <f>SUM(E236:E242)</f>
        <v>-497042</v>
      </c>
      <c r="F243" s="822"/>
      <c r="G243" s="821">
        <f>SUM(G236:G242)</f>
        <v>-497042</v>
      </c>
      <c r="H243" s="821">
        <f>SUM(H236:H242)</f>
        <v>-32234.599800000004</v>
      </c>
      <c r="I243" s="821">
        <f>SUM(I236:I242)</f>
        <v>-464807.40019999997</v>
      </c>
      <c r="J243" s="821">
        <f>SUM(J236:J242)</f>
        <v>0</v>
      </c>
      <c r="K243" s="170"/>
      <c r="L243" s="213">
        <f>SUM(L236:L242)</f>
        <v>0</v>
      </c>
      <c r="M243" s="213">
        <f>SUM(M236:M242)</f>
        <v>0</v>
      </c>
      <c r="N243" s="213">
        <f>SUM(N236:N242)</f>
        <v>0</v>
      </c>
      <c r="O243" s="110"/>
    </row>
    <row r="244" spans="1:15" ht="13">
      <c r="A244" s="295">
        <v>30</v>
      </c>
      <c r="B244" s="1119" t="s">
        <v>2185</v>
      </c>
      <c r="C244" s="1120"/>
      <c r="D244" s="1121"/>
      <c r="E244" s="823">
        <f>E245-E243</f>
        <v>484003</v>
      </c>
      <c r="F244" s="824"/>
      <c r="G244" s="824"/>
      <c r="H244" s="824"/>
      <c r="I244" s="824"/>
      <c r="J244" s="825"/>
      <c r="K244" s="183"/>
      <c r="L244" s="182"/>
      <c r="M244" s="182"/>
      <c r="N244" s="182"/>
      <c r="O244" s="2"/>
    </row>
    <row r="245" spans="1:15" ht="25.5" customHeight="1">
      <c r="A245" s="295">
        <v>31</v>
      </c>
      <c r="B245" s="1136" t="s">
        <v>2186</v>
      </c>
      <c r="C245" s="1137"/>
      <c r="D245" s="1137"/>
      <c r="E245" s="1052">
        <v>-13039</v>
      </c>
      <c r="F245" s="824"/>
      <c r="G245" s="824"/>
      <c r="H245" s="824"/>
      <c r="I245" s="824"/>
      <c r="J245" s="825"/>
      <c r="K245" s="183"/>
      <c r="L245" s="182"/>
      <c r="M245" s="182"/>
      <c r="N245" s="182"/>
      <c r="O245" s="2"/>
    </row>
    <row r="246" spans="1:15" ht="13">
      <c r="A246" s="248"/>
      <c r="B246" s="52"/>
      <c r="C246" s="905"/>
      <c r="D246" s="905"/>
      <c r="E246" s="906"/>
      <c r="F246" s="824"/>
      <c r="G246" s="824"/>
      <c r="H246" s="824"/>
      <c r="I246" s="824"/>
      <c r="J246" s="825"/>
      <c r="K246" s="183"/>
      <c r="L246" s="182"/>
      <c r="M246" s="182"/>
      <c r="N246" s="182"/>
      <c r="O246" s="2"/>
    </row>
    <row r="247" spans="1:15" s="612" customFormat="1" ht="13">
      <c r="A247" s="888"/>
      <c r="B247" s="1" t="s">
        <v>2187</v>
      </c>
      <c r="E247" s="907"/>
      <c r="F247" s="907"/>
      <c r="G247" s="907"/>
      <c r="H247" s="888"/>
      <c r="I247" s="888"/>
      <c r="J247" s="907"/>
      <c r="K247" s="908"/>
      <c r="L247" s="909"/>
      <c r="M247" s="888"/>
      <c r="N247" s="907"/>
      <c r="O247" s="888"/>
    </row>
    <row r="248" spans="1:15" s="612" customFormat="1" ht="13">
      <c r="A248" s="515" t="s">
        <v>2188</v>
      </c>
      <c r="B248" s="1141">
        <v>412</v>
      </c>
      <c r="C248" s="1141"/>
      <c r="D248" s="514" t="s">
        <v>2189</v>
      </c>
      <c r="E248" s="162">
        <f>'35-Other Formula Revenue'!G102</f>
        <v>661810.57350363897</v>
      </c>
      <c r="F248" s="1011" t="s">
        <v>1702</v>
      </c>
      <c r="G248" s="941">
        <f>IF(F248=$G$2,E248,0)</f>
        <v>0</v>
      </c>
      <c r="H248" s="295">
        <v>0</v>
      </c>
      <c r="I248" s="512">
        <f t="shared" ref="I248" si="104">G248-H248</f>
        <v>0</v>
      </c>
      <c r="J248" s="941">
        <f>IF(F248=$J$2,E248,0)</f>
        <v>0</v>
      </c>
      <c r="K248" s="1012"/>
      <c r="L248" s="179"/>
      <c r="M248" s="512">
        <f>J248-L248</f>
        <v>0</v>
      </c>
      <c r="N248" s="816">
        <f t="shared" ref="N248" si="105">IF(F248=$N$2,E248,0)</f>
        <v>661810.57350363897</v>
      </c>
      <c r="O248" s="295">
        <v>18</v>
      </c>
    </row>
    <row r="249" spans="1:15" s="612" customFormat="1" ht="13">
      <c r="A249" s="916"/>
      <c r="B249" s="1126"/>
      <c r="C249" s="1126"/>
      <c r="D249" s="917"/>
      <c r="E249" s="902"/>
      <c r="F249" s="901"/>
      <c r="G249" s="798"/>
      <c r="H249" s="799"/>
      <c r="I249" s="855"/>
      <c r="J249" s="798"/>
      <c r="K249" s="901"/>
      <c r="L249" s="179"/>
      <c r="M249" s="407"/>
      <c r="N249" s="815"/>
      <c r="O249" s="1015"/>
    </row>
    <row r="250" spans="1:15" s="612" customFormat="1" ht="13">
      <c r="A250" s="515" t="s">
        <v>2190</v>
      </c>
      <c r="B250" s="1127" t="s">
        <v>2191</v>
      </c>
      <c r="C250" s="1128"/>
      <c r="D250" s="1129"/>
      <c r="E250" s="821">
        <f>SUM(E248:E249)</f>
        <v>661810.57350363897</v>
      </c>
      <c r="F250" s="915"/>
      <c r="G250" s="821">
        <f>SUM(G248:G249)</f>
        <v>0</v>
      </c>
      <c r="H250" s="821">
        <f t="shared" ref="H250:J250" si="106">SUM(H248:H249)</f>
        <v>0</v>
      </c>
      <c r="I250" s="821">
        <f t="shared" si="106"/>
        <v>0</v>
      </c>
      <c r="J250" s="821">
        <f t="shared" si="106"/>
        <v>0</v>
      </c>
      <c r="K250" s="910"/>
      <c r="L250" s="821">
        <f>SUM(L248:L249)</f>
        <v>0</v>
      </c>
      <c r="M250" s="821">
        <f t="shared" ref="M250" si="107">SUM(M248:M249)</f>
        <v>0</v>
      </c>
      <c r="N250" s="821">
        <f t="shared" ref="N250" si="108">SUM(N248:N249)</f>
        <v>661810.57350363897</v>
      </c>
      <c r="O250" s="821"/>
    </row>
    <row r="251" spans="1:15" s="612" customFormat="1" ht="13">
      <c r="A251" s="1013" t="s">
        <v>2192</v>
      </c>
      <c r="B251" s="1138" t="s">
        <v>2193</v>
      </c>
      <c r="C251" s="1139"/>
      <c r="D251" s="1140"/>
      <c r="E251" s="1014">
        <f>E252-E250</f>
        <v>25066302.42649636</v>
      </c>
      <c r="F251" s="911"/>
      <c r="G251" s="911"/>
      <c r="H251" s="911"/>
      <c r="I251" s="911"/>
      <c r="J251" s="912"/>
      <c r="K251" s="913"/>
      <c r="L251" s="914"/>
      <c r="M251" s="914"/>
      <c r="N251" s="914"/>
      <c r="O251" s="633"/>
    </row>
    <row r="252" spans="1:15" s="612" customFormat="1" ht="13">
      <c r="A252" s="515" t="s">
        <v>2194</v>
      </c>
      <c r="B252" s="1136" t="s">
        <v>2195</v>
      </c>
      <c r="C252" s="1136"/>
      <c r="D252" s="1136"/>
      <c r="E252" s="1053">
        <v>25728113</v>
      </c>
      <c r="F252" s="824"/>
      <c r="G252" s="911"/>
      <c r="H252" s="911"/>
      <c r="I252" s="911"/>
      <c r="J252" s="912"/>
      <c r="K252" s="913"/>
      <c r="L252" s="914"/>
      <c r="M252" s="914"/>
      <c r="N252" s="914"/>
      <c r="O252" s="633"/>
    </row>
    <row r="253" spans="1:15" s="612" customFormat="1" ht="13">
      <c r="A253" s="890"/>
      <c r="B253" s="886"/>
      <c r="C253" s="871"/>
      <c r="D253" s="871"/>
      <c r="E253" s="903"/>
      <c r="F253" s="904"/>
      <c r="G253" s="904"/>
      <c r="H253" s="904"/>
      <c r="I253" s="904"/>
      <c r="J253" s="904"/>
      <c r="K253" s="904"/>
      <c r="L253" s="904"/>
      <c r="M253" s="904"/>
      <c r="N253" s="904"/>
      <c r="O253" s="633"/>
    </row>
    <row r="254" spans="1:15">
      <c r="A254" s="248"/>
      <c r="B254" s="247"/>
      <c r="C254" s="247"/>
      <c r="D254" s="247"/>
      <c r="E254" s="950"/>
      <c r="F254" s="950"/>
      <c r="G254" s="950"/>
      <c r="H254" s="248"/>
      <c r="I254" s="248"/>
      <c r="J254" s="950"/>
      <c r="K254" s="951"/>
      <c r="L254" s="952"/>
      <c r="M254" s="248"/>
      <c r="N254" s="950"/>
      <c r="O254" s="248"/>
    </row>
    <row r="255" spans="1:15" ht="13">
      <c r="A255" s="295">
        <v>32</v>
      </c>
      <c r="B255" s="174"/>
      <c r="C255" s="173"/>
      <c r="D255" s="115" t="s">
        <v>2196</v>
      </c>
      <c r="E255" s="639">
        <f>E8+E41+E49+E86+E159+E188+E194+E199+E231+E243+E250</f>
        <v>1250913170.8935037</v>
      </c>
      <c r="F255" s="214"/>
      <c r="G255" s="639">
        <f>G8+G41+G49+G86+G159+G188+G194+G199+G231+G243+G250</f>
        <v>279399547.91146398</v>
      </c>
      <c r="H255" s="639">
        <f>H8+H41+H49+H86+H159+H188+H194+H199+H231+H243+H250</f>
        <v>56358829.461663999</v>
      </c>
      <c r="I255" s="639">
        <f>I8+I41+I49+I86+I159+I188+I194+I199+I231+I243+I250</f>
        <v>223040718.44979995</v>
      </c>
      <c r="J255" s="639">
        <f>J8+J41+J49+J86+J159+J188+J194+J199+J231+J243+J250</f>
        <v>89011906.210000008</v>
      </c>
      <c r="K255" s="214"/>
      <c r="L255" s="639">
        <f>L8+L41+L49+L86+L159+L188+L194+L199+L231+L243+L250</f>
        <v>16671389.142128713</v>
      </c>
      <c r="M255" s="639">
        <f>M8+M41+M49+M86+M159+M188+M194+M199+M231+M243+M250</f>
        <v>72340517.067871287</v>
      </c>
      <c r="N255" s="639">
        <f>N8+N41+N49+N86+N159+N188+N194+N199+N231+N243+N250</f>
        <v>882501716.77203953</v>
      </c>
      <c r="O255" s="110"/>
    </row>
    <row r="256" spans="1:15">
      <c r="A256" s="257"/>
      <c r="B256" s="257"/>
      <c r="C256" s="257"/>
      <c r="D256" s="247"/>
      <c r="E256" s="248"/>
      <c r="F256" s="248"/>
      <c r="G256" s="959"/>
      <c r="H256" s="248"/>
      <c r="I256" s="248"/>
      <c r="J256" s="166"/>
      <c r="K256" s="960"/>
      <c r="L256" s="952"/>
      <c r="M256" s="248"/>
      <c r="N256" s="959"/>
      <c r="O256" s="248"/>
    </row>
    <row r="257" spans="1:254">
      <c r="A257" s="257"/>
      <c r="B257" s="257"/>
      <c r="C257" s="257"/>
      <c r="D257" s="247"/>
      <c r="E257" s="248"/>
      <c r="F257" s="248" t="s">
        <v>470</v>
      </c>
      <c r="G257" s="950"/>
      <c r="H257" s="946"/>
      <c r="I257" s="248"/>
      <c r="J257" s="166"/>
      <c r="K257" s="960"/>
      <c r="L257" s="952"/>
      <c r="M257" s="248"/>
      <c r="N257" s="959"/>
      <c r="O257" s="248"/>
    </row>
    <row r="258" spans="1:254">
      <c r="A258" s="295">
        <v>33</v>
      </c>
      <c r="B258" s="961"/>
      <c r="C258" s="961"/>
      <c r="D258" s="962" t="s">
        <v>2197</v>
      </c>
      <c r="E258" s="947">
        <f>L255</f>
        <v>16671389.142128713</v>
      </c>
      <c r="F258" s="963" t="s">
        <v>2198</v>
      </c>
      <c r="G258" s="959"/>
      <c r="H258" s="248"/>
      <c r="I258" s="248"/>
      <c r="J258" s="950"/>
      <c r="K258" s="951"/>
      <c r="L258" s="952"/>
      <c r="M258" s="248"/>
      <c r="N258" s="959"/>
      <c r="O258" s="248"/>
    </row>
    <row r="259" spans="1:254">
      <c r="A259" s="295">
        <v>34</v>
      </c>
      <c r="B259" s="961"/>
      <c r="C259" s="961"/>
      <c r="D259" s="962" t="s">
        <v>2199</v>
      </c>
      <c r="E259" s="947">
        <f>E258*(5.425/16.671)</f>
        <v>5425126.6328383582</v>
      </c>
      <c r="F259" s="516" t="s">
        <v>2200</v>
      </c>
      <c r="G259" s="960"/>
      <c r="H259" s="248"/>
      <c r="I259" s="248"/>
      <c r="J259" s="950"/>
      <c r="K259" s="951"/>
      <c r="L259" s="952"/>
      <c r="M259" s="248"/>
      <c r="N259" s="959"/>
      <c r="O259" s="248"/>
    </row>
    <row r="260" spans="1:254">
      <c r="A260" s="295">
        <v>35</v>
      </c>
      <c r="B260" s="961"/>
      <c r="C260" s="961"/>
      <c r="D260" s="964"/>
      <c r="E260" s="942"/>
      <c r="F260" s="965"/>
      <c r="G260" s="960"/>
      <c r="H260" s="248"/>
      <c r="I260" s="248"/>
      <c r="J260" s="950"/>
      <c r="K260" s="951"/>
      <c r="L260" s="952"/>
      <c r="M260" s="248"/>
      <c r="N260" s="959"/>
      <c r="O260" s="248"/>
    </row>
    <row r="261" spans="1:254">
      <c r="A261" s="295">
        <v>36</v>
      </c>
      <c r="B261" s="961"/>
      <c r="C261" s="961"/>
      <c r="D261" s="962" t="s">
        <v>2201</v>
      </c>
      <c r="E261" s="947">
        <f>SUMIF(K4:K242,"=A",M4:M242)</f>
        <v>41664340.309406869</v>
      </c>
      <c r="F261" s="516" t="s">
        <v>2202</v>
      </c>
      <c r="G261" s="960"/>
      <c r="H261" s="248"/>
      <c r="I261" s="248"/>
      <c r="J261" s="950"/>
      <c r="K261" s="951"/>
      <c r="L261" s="952"/>
      <c r="M261" s="248"/>
      <c r="N261" s="959"/>
      <c r="O261" s="248"/>
    </row>
    <row r="262" spans="1:254">
      <c r="A262" s="295">
        <v>37</v>
      </c>
      <c r="B262" s="938"/>
      <c r="C262" s="938"/>
      <c r="D262" s="962" t="s">
        <v>2203</v>
      </c>
      <c r="E262" s="947">
        <f>0.1*E261</f>
        <v>4166434.0309406873</v>
      </c>
      <c r="F262" s="291" t="str">
        <f>"= Line "&amp;A261&amp;"D * 10%"</f>
        <v>= Line 36D * 10%</v>
      </c>
      <c r="G262" s="247"/>
      <c r="H262" s="167"/>
      <c r="I262" s="168"/>
      <c r="J262" s="950"/>
      <c r="K262" s="951"/>
      <c r="L262" s="952"/>
      <c r="M262" s="248"/>
      <c r="N262" s="950"/>
      <c r="O262" s="248"/>
    </row>
    <row r="263" spans="1:254">
      <c r="A263" s="295">
        <v>38</v>
      </c>
      <c r="B263" s="938"/>
      <c r="C263" s="938"/>
      <c r="D263" s="962" t="s">
        <v>2204</v>
      </c>
      <c r="E263" s="947">
        <f>SUMIF(K4:K242,"=P",M4:M242)</f>
        <v>30676176.758464422</v>
      </c>
      <c r="F263" s="966" t="s">
        <v>2205</v>
      </c>
      <c r="G263" s="247"/>
      <c r="H263" s="248"/>
      <c r="I263" s="168"/>
      <c r="J263" s="950"/>
      <c r="K263" s="951"/>
      <c r="L263" s="952"/>
      <c r="M263" s="248"/>
      <c r="N263" s="950"/>
      <c r="O263" s="248"/>
    </row>
    <row r="264" spans="1:254">
      <c r="A264" s="295">
        <v>39</v>
      </c>
      <c r="B264" s="938"/>
      <c r="C264" s="938"/>
      <c r="D264" s="962" t="s">
        <v>2206</v>
      </c>
      <c r="E264" s="947">
        <f>0.3*E263</f>
        <v>9202853.0275393259</v>
      </c>
      <c r="F264" s="291" t="str">
        <f>"= Line "&amp;A263&amp;"D * 30%"</f>
        <v>= Line 38D * 30%</v>
      </c>
      <c r="G264" s="247"/>
      <c r="H264" s="167"/>
      <c r="I264" s="168"/>
      <c r="J264" s="950"/>
      <c r="K264" s="951"/>
      <c r="L264" s="952"/>
      <c r="M264" s="248"/>
      <c r="N264" s="950"/>
      <c r="O264" s="248"/>
    </row>
    <row r="265" spans="1:254">
      <c r="A265" s="295">
        <v>40</v>
      </c>
      <c r="B265" s="938"/>
      <c r="C265" s="938"/>
      <c r="D265" s="962" t="s">
        <v>2207</v>
      </c>
      <c r="E265" s="947">
        <f>E262+E264</f>
        <v>13369287.058480013</v>
      </c>
      <c r="F265" s="291" t="str">
        <f>"= Line "&amp;A262&amp;"D + Line "&amp;A264&amp;"D"</f>
        <v>= Line 37D + Line 39D</v>
      </c>
      <c r="G265" s="951"/>
      <c r="H265" s="248"/>
      <c r="I265" s="248"/>
      <c r="J265" s="950"/>
      <c r="K265" s="951"/>
      <c r="L265" s="952"/>
      <c r="M265" s="248"/>
      <c r="N265" s="950"/>
      <c r="O265" s="248"/>
    </row>
    <row r="266" spans="1:254">
      <c r="A266" s="295">
        <v>41</v>
      </c>
      <c r="B266" s="938"/>
      <c r="C266" s="938"/>
      <c r="D266" s="962" t="s">
        <v>2208</v>
      </c>
      <c r="E266" s="967">
        <f>5.425/16.671</f>
        <v>0.32541539199808051</v>
      </c>
      <c r="F266" s="516" t="s">
        <v>2209</v>
      </c>
      <c r="G266" s="951"/>
      <c r="H266" s="248"/>
      <c r="I266" s="248"/>
      <c r="J266" s="950"/>
      <c r="K266" s="951"/>
      <c r="L266" s="952"/>
      <c r="M266" s="248"/>
      <c r="N266" s="950"/>
      <c r="O266" s="248"/>
    </row>
    <row r="267" spans="1:254">
      <c r="A267" s="295">
        <v>42</v>
      </c>
      <c r="B267" s="938"/>
      <c r="C267" s="938"/>
      <c r="D267" s="962" t="s">
        <v>2210</v>
      </c>
      <c r="E267" s="947">
        <f>E265*E266</f>
        <v>4350571.7888701381</v>
      </c>
      <c r="F267" s="291" t="str">
        <f>"= Line "&amp;A265&amp;"D * Line "&amp;A266&amp;"D"</f>
        <v>= Line 40D * Line 41D</v>
      </c>
      <c r="G267" s="951"/>
      <c r="H267" s="248"/>
      <c r="I267" s="248"/>
      <c r="J267" s="950"/>
      <c r="K267" s="951"/>
      <c r="L267" s="952"/>
      <c r="M267" s="248"/>
      <c r="N267" s="950"/>
      <c r="O267" s="248"/>
    </row>
    <row r="268" spans="1:254" ht="12.75" customHeight="1">
      <c r="A268" s="295">
        <v>43</v>
      </c>
      <c r="B268" s="938"/>
      <c r="C268" s="938"/>
      <c r="D268" s="177" t="s">
        <v>2211</v>
      </c>
      <c r="E268" s="213">
        <f>E267+E259</f>
        <v>9775698.4217084963</v>
      </c>
      <c r="F268" s="291" t="str">
        <f>"= Line "&amp;A259&amp;"D + Line "&amp;A267&amp;"D"</f>
        <v>= Line 34D + Line 42D</v>
      </c>
      <c r="G268" s="951"/>
      <c r="H268" s="248"/>
      <c r="I268" s="248"/>
      <c r="J268" s="950"/>
      <c r="K268" s="951"/>
      <c r="L268" s="952"/>
      <c r="M268" s="248"/>
      <c r="N268" s="950"/>
      <c r="O268" s="248"/>
    </row>
    <row r="269" spans="1:254">
      <c r="A269" s="247"/>
      <c r="B269" s="247"/>
      <c r="C269" s="247"/>
      <c r="D269" s="951"/>
      <c r="E269" s="968"/>
      <c r="F269" s="516"/>
      <c r="G269" s="951"/>
      <c r="H269" s="248"/>
      <c r="I269" s="248"/>
      <c r="J269" s="950"/>
      <c r="K269" s="951"/>
      <c r="L269" s="952"/>
      <c r="M269" s="248"/>
      <c r="N269" s="950"/>
      <c r="O269" s="248"/>
    </row>
    <row r="270" spans="1:254">
      <c r="A270" s="247"/>
      <c r="B270" s="247"/>
      <c r="C270" s="247"/>
      <c r="D270" s="969"/>
      <c r="E270" s="62" t="s">
        <v>79</v>
      </c>
      <c r="F270" s="62" t="s">
        <v>470</v>
      </c>
      <c r="G270" s="970"/>
      <c r="H270" s="248"/>
      <c r="I270" s="247"/>
      <c r="J270" s="247"/>
      <c r="K270" s="247"/>
      <c r="L270" s="969"/>
      <c r="M270" s="62"/>
      <c r="N270" s="62"/>
      <c r="O270" s="970"/>
      <c r="P270" s="248"/>
      <c r="Q270" s="247"/>
      <c r="R270" s="969"/>
      <c r="S270" s="62"/>
      <c r="T270" s="62"/>
      <c r="U270" s="970"/>
      <c r="V270" s="248"/>
      <c r="W270" s="247"/>
      <c r="X270" s="247"/>
      <c r="Y270" s="247"/>
      <c r="Z270" s="969"/>
      <c r="AA270" s="62"/>
      <c r="AB270" s="62"/>
      <c r="AC270" s="970"/>
      <c r="AD270" s="248"/>
      <c r="AE270" s="247"/>
      <c r="AF270" s="247"/>
      <c r="AG270" s="247"/>
      <c r="AH270" s="969"/>
      <c r="AI270" s="62"/>
      <c r="AJ270" s="62"/>
      <c r="AK270" s="970"/>
      <c r="AL270" s="248"/>
      <c r="AM270" s="247"/>
      <c r="AN270" s="247"/>
      <c r="AO270" s="247"/>
      <c r="AP270" s="969"/>
      <c r="AQ270" s="62"/>
      <c r="AR270" s="62"/>
      <c r="AS270" s="970"/>
      <c r="AT270" s="248"/>
      <c r="AU270" s="247"/>
      <c r="AV270" s="247"/>
      <c r="AW270" s="247"/>
      <c r="AX270" s="969"/>
      <c r="AY270" s="62"/>
      <c r="AZ270" s="62"/>
      <c r="BA270" s="970"/>
      <c r="BB270" s="248"/>
      <c r="BC270" s="247"/>
      <c r="BD270" s="247"/>
      <c r="BE270" s="247"/>
      <c r="BF270" s="969"/>
      <c r="BG270" s="62"/>
      <c r="BH270" s="62"/>
      <c r="BI270" s="970"/>
      <c r="BJ270" s="248"/>
      <c r="BK270" s="247"/>
      <c r="BL270" s="247"/>
      <c r="BM270" s="247"/>
      <c r="BN270" s="969"/>
      <c r="BO270" s="62"/>
      <c r="BP270" s="62"/>
      <c r="BQ270" s="970"/>
      <c r="BR270" s="248"/>
      <c r="BS270" s="247"/>
      <c r="BT270" s="247"/>
      <c r="BU270" s="247"/>
      <c r="BV270" s="969"/>
      <c r="BW270" s="62"/>
      <c r="BX270" s="62"/>
      <c r="BY270" s="970"/>
      <c r="BZ270" s="248"/>
      <c r="CA270" s="247"/>
      <c r="CB270" s="247"/>
      <c r="CC270" s="247"/>
      <c r="CD270" s="969"/>
      <c r="CE270" s="62"/>
      <c r="CF270" s="62"/>
      <c r="CG270" s="970"/>
      <c r="CH270" s="248"/>
      <c r="CI270" s="247"/>
      <c r="CJ270" s="247"/>
      <c r="CK270" s="247"/>
      <c r="CL270" s="969"/>
      <c r="CM270" s="62"/>
      <c r="CN270" s="62"/>
      <c r="CO270" s="970"/>
      <c r="CP270" s="248"/>
      <c r="CQ270" s="247"/>
      <c r="CR270" s="247"/>
      <c r="CS270" s="247"/>
      <c r="CT270" s="969"/>
      <c r="CU270" s="62"/>
      <c r="CV270" s="62"/>
      <c r="CW270" s="970"/>
      <c r="CX270" s="248"/>
      <c r="CY270" s="247"/>
      <c r="CZ270" s="247"/>
      <c r="DA270" s="247"/>
      <c r="DB270" s="969"/>
      <c r="DC270" s="62"/>
      <c r="DD270" s="62"/>
      <c r="DE270" s="970"/>
      <c r="DF270" s="248"/>
      <c r="DG270" s="247"/>
      <c r="DH270" s="247"/>
      <c r="DI270" s="247"/>
      <c r="DJ270" s="969"/>
      <c r="DK270" s="62"/>
      <c r="DL270" s="62"/>
      <c r="DM270" s="970"/>
      <c r="DN270" s="248"/>
      <c r="DO270" s="247"/>
      <c r="DP270" s="247"/>
      <c r="DQ270" s="247"/>
      <c r="DR270" s="969"/>
      <c r="DS270" s="62"/>
      <c r="DT270" s="62"/>
      <c r="DU270" s="970"/>
      <c r="DV270" s="248"/>
      <c r="DW270" s="247"/>
      <c r="DX270" s="247"/>
      <c r="DY270" s="247"/>
      <c r="DZ270" s="969"/>
      <c r="EA270" s="62"/>
      <c r="EB270" s="62"/>
      <c r="EC270" s="970"/>
      <c r="ED270" s="248"/>
      <c r="EE270" s="247"/>
      <c r="EF270" s="247"/>
      <c r="EG270" s="247"/>
      <c r="EH270" s="969"/>
      <c r="EI270" s="62"/>
      <c r="EJ270" s="62"/>
      <c r="EK270" s="970"/>
      <c r="EL270" s="248"/>
      <c r="EM270" s="247"/>
      <c r="EN270" s="247"/>
      <c r="EO270" s="247"/>
      <c r="EP270" s="969"/>
      <c r="EQ270" s="62"/>
      <c r="ER270" s="62"/>
      <c r="ES270" s="970"/>
      <c r="ET270" s="248"/>
      <c r="EU270" s="247"/>
      <c r="EV270" s="247"/>
      <c r="EW270" s="247"/>
      <c r="EX270" s="969"/>
      <c r="EY270" s="62"/>
      <c r="EZ270" s="62"/>
      <c r="FA270" s="970"/>
      <c r="FB270" s="248"/>
      <c r="FC270" s="247"/>
      <c r="FD270" s="247"/>
      <c r="FE270" s="247"/>
      <c r="FF270" s="969"/>
      <c r="FG270" s="62"/>
      <c r="FH270" s="62"/>
      <c r="FI270" s="970"/>
      <c r="FJ270" s="248"/>
      <c r="FK270" s="247"/>
      <c r="FL270" s="247"/>
      <c r="FM270" s="247"/>
      <c r="FN270" s="969"/>
      <c r="FO270" s="62"/>
      <c r="FP270" s="62"/>
      <c r="FQ270" s="970"/>
      <c r="FR270" s="248"/>
      <c r="FS270" s="247"/>
      <c r="FT270" s="247"/>
      <c r="FU270" s="247"/>
      <c r="FV270" s="969"/>
      <c r="FW270" s="62"/>
      <c r="FX270" s="62"/>
      <c r="FY270" s="970"/>
      <c r="FZ270" s="248"/>
      <c r="GA270" s="247"/>
      <c r="GB270" s="247"/>
      <c r="GC270" s="247"/>
      <c r="GD270" s="969"/>
      <c r="GE270" s="62"/>
      <c r="GF270" s="62"/>
      <c r="GG270" s="970"/>
      <c r="GH270" s="248"/>
      <c r="GI270" s="247"/>
      <c r="GJ270" s="247"/>
      <c r="GK270" s="247"/>
      <c r="GL270" s="969"/>
      <c r="GM270" s="62"/>
      <c r="GN270" s="62"/>
      <c r="GO270" s="970"/>
      <c r="GP270" s="248"/>
      <c r="GQ270" s="247"/>
      <c r="GR270" s="247"/>
      <c r="GS270" s="247"/>
      <c r="GT270" s="969"/>
      <c r="GU270" s="62"/>
      <c r="GV270" s="62"/>
      <c r="GW270" s="970"/>
      <c r="GX270" s="248"/>
      <c r="GY270" s="247"/>
      <c r="GZ270" s="247"/>
      <c r="HA270" s="247"/>
      <c r="HB270" s="969"/>
      <c r="HC270" s="62"/>
      <c r="HD270" s="62"/>
      <c r="HE270" s="970"/>
      <c r="HF270" s="248"/>
      <c r="HG270" s="247"/>
      <c r="HH270" s="247"/>
      <c r="HI270" s="247"/>
      <c r="HJ270" s="969"/>
      <c r="HK270" s="62"/>
      <c r="HL270" s="62"/>
      <c r="HM270" s="970"/>
      <c r="HN270" s="248"/>
      <c r="HO270" s="247"/>
      <c r="HP270" s="247"/>
      <c r="HQ270" s="247"/>
      <c r="HR270" s="969"/>
      <c r="HS270" s="62"/>
      <c r="HT270" s="62"/>
      <c r="HU270" s="970"/>
      <c r="HV270" s="248"/>
      <c r="HW270" s="247"/>
      <c r="HX270" s="247"/>
      <c r="HY270" s="247"/>
      <c r="HZ270" s="969"/>
      <c r="IA270" s="62"/>
      <c r="IB270" s="62"/>
      <c r="IC270" s="970"/>
      <c r="ID270" s="248"/>
      <c r="IE270" s="247"/>
      <c r="IF270" s="247"/>
      <c r="IG270" s="247"/>
      <c r="IH270" s="969"/>
      <c r="II270" s="62"/>
      <c r="IJ270" s="62"/>
      <c r="IK270" s="970"/>
      <c r="IL270" s="248"/>
      <c r="IM270" s="247"/>
      <c r="IN270" s="247"/>
      <c r="IO270" s="247"/>
      <c r="IP270" s="969"/>
      <c r="IQ270" s="62"/>
      <c r="IR270" s="62"/>
      <c r="IS270" s="970"/>
      <c r="IT270" s="248"/>
    </row>
    <row r="271" spans="1:254" ht="13">
      <c r="A271" s="295">
        <v>44</v>
      </c>
      <c r="B271" s="1" t="s">
        <v>2212</v>
      </c>
      <c r="C271" s="247"/>
      <c r="D271" s="969"/>
      <c r="E271" s="971">
        <f>H255+E268</f>
        <v>66134527.883372493</v>
      </c>
      <c r="F271" s="405" t="s">
        <v>2213</v>
      </c>
      <c r="G271" s="970"/>
      <c r="H271" s="248"/>
      <c r="I271" s="248"/>
      <c r="J271" s="1"/>
      <c r="K271" s="247"/>
      <c r="L271" s="969"/>
      <c r="M271" s="972"/>
      <c r="N271" s="405"/>
      <c r="O271" s="970"/>
      <c r="P271" s="248"/>
      <c r="Q271" s="247"/>
      <c r="R271" s="969"/>
      <c r="S271" s="972"/>
      <c r="T271" s="405"/>
      <c r="U271" s="970"/>
      <c r="V271" s="248"/>
      <c r="W271" s="248"/>
      <c r="X271" s="1"/>
      <c r="Y271" s="247"/>
      <c r="Z271" s="969"/>
      <c r="AA271" s="972"/>
      <c r="AB271" s="405"/>
      <c r="AC271" s="970"/>
      <c r="AD271" s="248"/>
      <c r="AE271" s="248"/>
      <c r="AF271" s="1"/>
      <c r="AG271" s="247"/>
      <c r="AH271" s="969"/>
      <c r="AI271" s="972"/>
      <c r="AJ271" s="405"/>
      <c r="AK271" s="970"/>
      <c r="AL271" s="248"/>
      <c r="AM271" s="295"/>
      <c r="AN271" s="1"/>
      <c r="AO271" s="247"/>
      <c r="AP271" s="969"/>
      <c r="AQ271" s="972"/>
      <c r="AR271" s="405"/>
      <c r="AS271" s="970"/>
      <c r="AT271" s="248"/>
      <c r="AU271" s="295"/>
      <c r="AV271" s="1"/>
      <c r="AW271" s="247"/>
      <c r="AX271" s="969"/>
      <c r="AY271" s="972"/>
      <c r="AZ271" s="405"/>
      <c r="BA271" s="970"/>
      <c r="BB271" s="248"/>
      <c r="BC271" s="295"/>
      <c r="BD271" s="1"/>
      <c r="BE271" s="247"/>
      <c r="BF271" s="969"/>
      <c r="BG271" s="972"/>
      <c r="BH271" s="405"/>
      <c r="BI271" s="970"/>
      <c r="BJ271" s="248"/>
      <c r="BK271" s="295"/>
      <c r="BL271" s="1"/>
      <c r="BM271" s="247"/>
      <c r="BN271" s="969"/>
      <c r="BO271" s="972"/>
      <c r="BP271" s="405"/>
      <c r="BQ271" s="970"/>
      <c r="BR271" s="248"/>
      <c r="BS271" s="295"/>
      <c r="BT271" s="1"/>
      <c r="BU271" s="247"/>
      <c r="BV271" s="969"/>
      <c r="BW271" s="972"/>
      <c r="BX271" s="405"/>
      <c r="BY271" s="970"/>
      <c r="BZ271" s="248"/>
      <c r="CA271" s="295"/>
      <c r="CB271" s="1"/>
      <c r="CC271" s="247"/>
      <c r="CD271" s="969"/>
      <c r="CE271" s="972"/>
      <c r="CF271" s="405"/>
      <c r="CG271" s="970"/>
      <c r="CH271" s="248"/>
      <c r="CI271" s="295"/>
      <c r="CJ271" s="1"/>
      <c r="CK271" s="247"/>
      <c r="CL271" s="969"/>
      <c r="CM271" s="972"/>
      <c r="CN271" s="405"/>
      <c r="CO271" s="970"/>
      <c r="CP271" s="248"/>
      <c r="CQ271" s="295"/>
      <c r="CR271" s="1"/>
      <c r="CS271" s="247"/>
      <c r="CT271" s="969"/>
      <c r="CU271" s="972"/>
      <c r="CV271" s="405"/>
      <c r="CW271" s="970"/>
      <c r="CX271" s="248"/>
      <c r="CY271" s="295"/>
      <c r="CZ271" s="1"/>
      <c r="DA271" s="247"/>
      <c r="DB271" s="969"/>
      <c r="DC271" s="972"/>
      <c r="DD271" s="405"/>
      <c r="DE271" s="970"/>
      <c r="DF271" s="248"/>
      <c r="DG271" s="295"/>
      <c r="DH271" s="1"/>
      <c r="DI271" s="247"/>
      <c r="DJ271" s="969"/>
      <c r="DK271" s="972"/>
      <c r="DL271" s="405"/>
      <c r="DM271" s="970"/>
      <c r="DN271" s="248"/>
      <c r="DO271" s="295"/>
      <c r="DP271" s="1"/>
      <c r="DQ271" s="247"/>
      <c r="DR271" s="969"/>
      <c r="DS271" s="972"/>
      <c r="DT271" s="405"/>
      <c r="DU271" s="970"/>
      <c r="DV271" s="248"/>
      <c r="DW271" s="295"/>
      <c r="DX271" s="1"/>
      <c r="DY271" s="247"/>
      <c r="DZ271" s="969"/>
      <c r="EA271" s="972"/>
      <c r="EB271" s="405"/>
      <c r="EC271" s="970"/>
      <c r="ED271" s="248"/>
      <c r="EE271" s="295"/>
      <c r="EF271" s="1"/>
      <c r="EG271" s="247"/>
      <c r="EH271" s="969"/>
      <c r="EI271" s="972"/>
      <c r="EJ271" s="405"/>
      <c r="EK271" s="970"/>
      <c r="EL271" s="248"/>
      <c r="EM271" s="295"/>
      <c r="EN271" s="1"/>
      <c r="EO271" s="247"/>
      <c r="EP271" s="969"/>
      <c r="EQ271" s="972"/>
      <c r="ER271" s="405"/>
      <c r="ES271" s="970"/>
      <c r="ET271" s="248"/>
      <c r="EU271" s="295"/>
      <c r="EV271" s="1"/>
      <c r="EW271" s="247"/>
      <c r="EX271" s="969"/>
      <c r="EY271" s="972"/>
      <c r="EZ271" s="405"/>
      <c r="FA271" s="970"/>
      <c r="FB271" s="248"/>
      <c r="FC271" s="295"/>
      <c r="FD271" s="1"/>
      <c r="FE271" s="247"/>
      <c r="FF271" s="969"/>
      <c r="FG271" s="972"/>
      <c r="FH271" s="405"/>
      <c r="FI271" s="970"/>
      <c r="FJ271" s="248"/>
      <c r="FK271" s="295"/>
      <c r="FL271" s="1"/>
      <c r="FM271" s="247"/>
      <c r="FN271" s="969"/>
      <c r="FO271" s="972"/>
      <c r="FP271" s="405"/>
      <c r="FQ271" s="970"/>
      <c r="FR271" s="248"/>
      <c r="FS271" s="295"/>
      <c r="FT271" s="1"/>
      <c r="FU271" s="247"/>
      <c r="FV271" s="969"/>
      <c r="FW271" s="972"/>
      <c r="FX271" s="405"/>
      <c r="FY271" s="970"/>
      <c r="FZ271" s="248"/>
      <c r="GA271" s="295"/>
      <c r="GB271" s="1"/>
      <c r="GC271" s="247"/>
      <c r="GD271" s="969"/>
      <c r="GE271" s="972"/>
      <c r="GF271" s="405"/>
      <c r="GG271" s="970"/>
      <c r="GH271" s="248"/>
      <c r="GI271" s="295"/>
      <c r="GJ271" s="1"/>
      <c r="GK271" s="247"/>
      <c r="GL271" s="969"/>
      <c r="GM271" s="972"/>
      <c r="GN271" s="405"/>
      <c r="GO271" s="970"/>
      <c r="GP271" s="248"/>
      <c r="GQ271" s="295"/>
      <c r="GR271" s="1"/>
      <c r="GS271" s="247"/>
      <c r="GT271" s="969"/>
      <c r="GU271" s="972"/>
      <c r="GV271" s="405"/>
      <c r="GW271" s="970"/>
      <c r="GX271" s="248"/>
      <c r="GY271" s="295"/>
      <c r="GZ271" s="1"/>
      <c r="HA271" s="247"/>
      <c r="HB271" s="969"/>
      <c r="HC271" s="972"/>
      <c r="HD271" s="405"/>
      <c r="HE271" s="970"/>
      <c r="HF271" s="248"/>
      <c r="HG271" s="295"/>
      <c r="HH271" s="1"/>
      <c r="HI271" s="247"/>
      <c r="HJ271" s="969"/>
      <c r="HK271" s="972"/>
      <c r="HL271" s="405"/>
      <c r="HM271" s="970"/>
      <c r="HN271" s="248"/>
      <c r="HO271" s="295"/>
      <c r="HP271" s="1"/>
      <c r="HQ271" s="247"/>
      <c r="HR271" s="969"/>
      <c r="HS271" s="972"/>
      <c r="HT271" s="405"/>
      <c r="HU271" s="970"/>
      <c r="HV271" s="248"/>
      <c r="HW271" s="295"/>
      <c r="HX271" s="1"/>
      <c r="HY271" s="247"/>
      <c r="HZ271" s="969"/>
      <c r="IA271" s="972"/>
      <c r="IB271" s="405"/>
      <c r="IC271" s="970"/>
      <c r="ID271" s="248"/>
      <c r="IE271" s="295"/>
      <c r="IF271" s="1"/>
      <c r="IG271" s="247"/>
      <c r="IH271" s="969"/>
      <c r="II271" s="972"/>
      <c r="IJ271" s="405"/>
      <c r="IK271" s="970"/>
      <c r="IL271" s="248"/>
      <c r="IM271" s="295"/>
      <c r="IN271" s="1"/>
      <c r="IO271" s="247"/>
      <c r="IP271" s="969"/>
      <c r="IQ271" s="972"/>
      <c r="IR271" s="405"/>
      <c r="IS271" s="970"/>
      <c r="IT271" s="248"/>
    </row>
    <row r="272" spans="1:254">
      <c r="A272" s="247"/>
      <c r="B272" s="247"/>
      <c r="C272" s="247"/>
      <c r="D272" s="951"/>
      <c r="E272" s="952"/>
      <c r="F272" s="963"/>
      <c r="G272" s="950"/>
      <c r="H272" s="248"/>
      <c r="I272" s="248"/>
      <c r="J272" s="950"/>
      <c r="K272" s="951"/>
      <c r="L272" s="952"/>
      <c r="M272" s="248"/>
      <c r="N272" s="950"/>
      <c r="O272" s="248"/>
    </row>
    <row r="274" spans="1:15">
      <c r="A274" s="247" t="s">
        <v>228</v>
      </c>
      <c r="B274" s="247"/>
      <c r="C274" s="247"/>
      <c r="D274" s="247"/>
      <c r="E274" s="950"/>
      <c r="F274" s="950"/>
      <c r="G274" s="950"/>
      <c r="H274" s="248"/>
      <c r="I274" s="248"/>
      <c r="J274" s="950"/>
      <c r="K274" s="951"/>
      <c r="L274" s="952"/>
      <c r="M274" s="248"/>
      <c r="N274" s="950"/>
      <c r="O274" s="248"/>
    </row>
    <row r="275" spans="1:15" ht="12.75" customHeight="1">
      <c r="A275" s="298" t="s">
        <v>2214</v>
      </c>
      <c r="B275" s="1133" t="s">
        <v>2215</v>
      </c>
      <c r="C275" s="1124"/>
      <c r="D275" s="1124"/>
      <c r="E275" s="950"/>
      <c r="F275" s="950"/>
      <c r="G275" s="950"/>
      <c r="H275" s="248"/>
      <c r="I275" s="248"/>
      <c r="J275" s="950"/>
      <c r="K275" s="951"/>
      <c r="L275" s="952"/>
      <c r="M275" s="248"/>
      <c r="N275" s="950"/>
      <c r="O275" s="248"/>
    </row>
    <row r="276" spans="1:15" ht="77.25" customHeight="1">
      <c r="A276" s="298" t="s">
        <v>2216</v>
      </c>
      <c r="B276" s="1122" t="s">
        <v>2217</v>
      </c>
      <c r="C276" s="1123"/>
      <c r="D276" s="1123"/>
      <c r="E276" s="1125"/>
      <c r="F276" s="1125"/>
      <c r="G276" s="950"/>
      <c r="H276" s="248"/>
      <c r="I276" s="248"/>
      <c r="J276" s="950"/>
      <c r="K276" s="951"/>
      <c r="L276" s="952"/>
      <c r="M276" s="248"/>
      <c r="N276" s="950"/>
      <c r="O276" s="248"/>
    </row>
    <row r="277" spans="1:15" ht="12.75" customHeight="1">
      <c r="A277" s="298" t="s">
        <v>2218</v>
      </c>
      <c r="B277" s="1122" t="s">
        <v>2219</v>
      </c>
      <c r="C277" s="1123"/>
      <c r="D277" s="1123"/>
      <c r="E277" s="1125"/>
      <c r="F277" s="1125"/>
      <c r="G277" s="950"/>
      <c r="H277" s="248"/>
      <c r="I277" s="248"/>
      <c r="J277" s="950"/>
      <c r="K277" s="951"/>
      <c r="L277" s="952"/>
      <c r="M277" s="248"/>
      <c r="N277" s="950"/>
      <c r="O277" s="248"/>
    </row>
    <row r="278" spans="1:15" ht="12.75" customHeight="1">
      <c r="A278" s="298" t="s">
        <v>2220</v>
      </c>
      <c r="B278" s="1122" t="s">
        <v>2221</v>
      </c>
      <c r="C278" s="1123"/>
      <c r="D278" s="1123"/>
      <c r="E278" s="1125"/>
      <c r="F278" s="1125"/>
      <c r="G278" s="950"/>
      <c r="H278" s="248"/>
      <c r="I278" s="248"/>
      <c r="J278" s="950"/>
      <c r="K278" s="951"/>
      <c r="L278" s="952"/>
      <c r="M278" s="248"/>
      <c r="N278" s="950"/>
      <c r="O278" s="248"/>
    </row>
    <row r="279" spans="1:15" ht="12.75" customHeight="1">
      <c r="A279" s="298" t="s">
        <v>2222</v>
      </c>
      <c r="B279" s="1122" t="s">
        <v>2223</v>
      </c>
      <c r="C279" s="1123"/>
      <c r="D279" s="1123"/>
      <c r="E279" s="1125"/>
      <c r="F279" s="1125"/>
      <c r="G279" s="950"/>
      <c r="H279" s="248"/>
      <c r="I279" s="248"/>
      <c r="J279" s="950"/>
      <c r="K279" s="951"/>
      <c r="L279" s="952"/>
      <c r="M279" s="248"/>
      <c r="N279" s="950"/>
      <c r="O279" s="248"/>
    </row>
    <row r="280" spans="1:15" ht="12.75" customHeight="1">
      <c r="A280" s="298" t="s">
        <v>2224</v>
      </c>
      <c r="B280" s="1122" t="s">
        <v>2225</v>
      </c>
      <c r="C280" s="1123"/>
      <c r="D280" s="1123"/>
      <c r="E280" s="1125"/>
      <c r="F280" s="1125"/>
      <c r="G280" s="950"/>
      <c r="H280" s="248"/>
      <c r="I280" s="248"/>
      <c r="J280" s="950"/>
      <c r="K280" s="951"/>
      <c r="L280" s="952"/>
      <c r="M280" s="248"/>
      <c r="N280" s="950"/>
      <c r="O280" s="248"/>
    </row>
    <row r="281" spans="1:15" ht="12.75" customHeight="1">
      <c r="A281" s="298" t="s">
        <v>2226</v>
      </c>
      <c r="B281" s="1122" t="s">
        <v>2227</v>
      </c>
      <c r="C281" s="1123"/>
      <c r="D281" s="1123"/>
      <c r="E281" s="1124"/>
      <c r="F281" s="1124"/>
      <c r="G281" s="950"/>
      <c r="H281" s="248"/>
      <c r="I281" s="248"/>
      <c r="J281" s="950"/>
      <c r="K281" s="951"/>
      <c r="L281" s="952"/>
      <c r="M281" s="248"/>
      <c r="N281" s="950"/>
      <c r="O281" s="248"/>
    </row>
    <row r="282" spans="1:15" ht="12.75" customHeight="1">
      <c r="A282" s="298"/>
      <c r="B282" s="1124"/>
      <c r="C282" s="1124"/>
      <c r="D282" s="1124"/>
      <c r="E282" s="1124"/>
      <c r="F282" s="1124"/>
      <c r="G282" s="950"/>
      <c r="H282" s="248"/>
      <c r="I282" s="248"/>
      <c r="J282" s="950"/>
      <c r="K282" s="951"/>
      <c r="L282" s="952"/>
      <c r="M282" s="248"/>
      <c r="N282" s="950"/>
      <c r="O282" s="248"/>
    </row>
    <row r="283" spans="1:15" ht="12.75" customHeight="1">
      <c r="A283" s="298"/>
      <c r="B283" s="1122" t="s">
        <v>2228</v>
      </c>
      <c r="C283" s="1123"/>
      <c r="D283" s="551">
        <v>6.6600000000000006E-2</v>
      </c>
      <c r="E283" s="856" t="s">
        <v>2229</v>
      </c>
      <c r="F283" s="254" t="s">
        <v>2962</v>
      </c>
      <c r="G283" s="973"/>
      <c r="H283" s="248"/>
      <c r="I283" s="248"/>
      <c r="J283" s="950"/>
      <c r="K283" s="951"/>
      <c r="L283" s="952"/>
      <c r="M283" s="248"/>
      <c r="N283" s="950"/>
      <c r="O283" s="248"/>
    </row>
    <row r="284" spans="1:15" ht="26.25" customHeight="1">
      <c r="A284" s="298" t="s">
        <v>2230</v>
      </c>
      <c r="B284" s="1122" t="s">
        <v>2231</v>
      </c>
      <c r="C284" s="1123"/>
      <c r="D284" s="1123"/>
      <c r="E284" s="1125"/>
      <c r="F284" s="1125"/>
      <c r="G284" s="950"/>
      <c r="H284" s="248"/>
      <c r="I284" s="248"/>
      <c r="J284" s="950"/>
      <c r="K284" s="951"/>
      <c r="L284" s="952"/>
      <c r="M284" s="248"/>
      <c r="N284" s="950"/>
      <c r="O284" s="248"/>
    </row>
    <row r="285" spans="1:15" ht="27.75" customHeight="1">
      <c r="A285" s="298" t="s">
        <v>2232</v>
      </c>
      <c r="B285" s="1122" t="s">
        <v>2233</v>
      </c>
      <c r="C285" s="1123"/>
      <c r="D285" s="1123"/>
      <c r="E285" s="1125"/>
      <c r="F285" s="1125"/>
      <c r="G285" s="950"/>
      <c r="H285" s="248"/>
      <c r="I285" s="248"/>
      <c r="J285" s="950"/>
      <c r="K285" s="951"/>
      <c r="L285" s="952"/>
      <c r="M285" s="248"/>
      <c r="N285" s="950"/>
      <c r="O285" s="248"/>
    </row>
    <row r="286" spans="1:15" ht="25.5" customHeight="1">
      <c r="A286" s="298" t="s">
        <v>2234</v>
      </c>
      <c r="B286" s="1122" t="s">
        <v>2235</v>
      </c>
      <c r="C286" s="1123"/>
      <c r="D286" s="1123"/>
      <c r="E286" s="1125"/>
      <c r="F286" s="1125"/>
      <c r="G286" s="950"/>
      <c r="H286" s="248"/>
      <c r="I286" s="248"/>
      <c r="J286" s="950"/>
      <c r="K286" s="951"/>
      <c r="L286" s="952"/>
      <c r="M286" s="248"/>
      <c r="N286" s="950"/>
      <c r="O286" s="248"/>
    </row>
    <row r="287" spans="1:15" ht="40.4" customHeight="1">
      <c r="A287" s="298" t="s">
        <v>2236</v>
      </c>
      <c r="B287" s="1122" t="s">
        <v>2237</v>
      </c>
      <c r="C287" s="1123"/>
      <c r="D287" s="1123"/>
      <c r="E287" s="1125"/>
      <c r="F287" s="1125"/>
      <c r="G287" s="951"/>
      <c r="H287" s="248"/>
      <c r="I287" s="248"/>
    </row>
    <row r="288" spans="1:15" ht="38.25" customHeight="1">
      <c r="A288" s="298" t="s">
        <v>2238</v>
      </c>
      <c r="B288" s="1122" t="s">
        <v>2239</v>
      </c>
      <c r="C288" s="1123"/>
      <c r="D288" s="1123"/>
      <c r="E288" s="1124"/>
      <c r="F288" s="1124"/>
      <c r="G288" s="1124"/>
      <c r="H288" s="248"/>
      <c r="I288" s="248"/>
    </row>
    <row r="289" spans="1:9" ht="12.75" customHeight="1">
      <c r="A289" s="298"/>
      <c r="B289" s="1122" t="s">
        <v>2228</v>
      </c>
      <c r="C289" s="1123"/>
      <c r="D289" s="551">
        <v>6.6600000000000006E-2</v>
      </c>
      <c r="E289" s="856" t="s">
        <v>2229</v>
      </c>
      <c r="F289" s="254" t="s">
        <v>2962</v>
      </c>
      <c r="G289" s="973"/>
      <c r="H289" s="248"/>
      <c r="I289" s="248"/>
    </row>
    <row r="290" spans="1:9" ht="12.75" customHeight="1">
      <c r="A290" s="298" t="s">
        <v>2240</v>
      </c>
      <c r="B290" s="1122" t="s">
        <v>2241</v>
      </c>
      <c r="C290" s="1123"/>
      <c r="D290" s="1123"/>
      <c r="E290" s="1124"/>
      <c r="F290" s="1124"/>
      <c r="G290" s="1124"/>
      <c r="H290" s="1124"/>
      <c r="I290" s="248"/>
    </row>
    <row r="291" spans="1:9" ht="12.75" customHeight="1">
      <c r="A291" s="298" t="s">
        <v>2242</v>
      </c>
      <c r="B291" s="1122" t="s">
        <v>2243</v>
      </c>
      <c r="C291" s="1123"/>
      <c r="D291" s="1123"/>
      <c r="E291" s="1124"/>
      <c r="F291" s="1124"/>
      <c r="G291" s="1124"/>
      <c r="H291" s="248"/>
      <c r="I291" s="248"/>
    </row>
    <row r="292" spans="1:9" ht="27" customHeight="1">
      <c r="A292" s="298" t="s">
        <v>2244</v>
      </c>
      <c r="B292" s="1122" t="s">
        <v>2245</v>
      </c>
      <c r="C292" s="1123"/>
      <c r="D292" s="1123"/>
      <c r="E292" s="1125"/>
      <c r="F292" s="1125"/>
      <c r="G292" s="951"/>
      <c r="H292" s="248"/>
      <c r="I292" s="248"/>
    </row>
    <row r="293" spans="1:9">
      <c r="A293" s="298" t="s">
        <v>2246</v>
      </c>
      <c r="B293" s="247" t="s">
        <v>2247</v>
      </c>
      <c r="C293" s="247"/>
      <c r="D293" s="247"/>
      <c r="E293" s="247"/>
      <c r="F293" s="247"/>
      <c r="G293" s="951"/>
      <c r="H293" s="248"/>
      <c r="I293" s="248"/>
    </row>
    <row r="294" spans="1:9">
      <c r="A294" s="298" t="s">
        <v>2248</v>
      </c>
      <c r="B294" s="247" t="s">
        <v>2249</v>
      </c>
      <c r="C294" s="247"/>
      <c r="D294" s="247"/>
      <c r="E294" s="951"/>
      <c r="F294" s="951"/>
      <c r="G294" s="951"/>
      <c r="H294" s="248"/>
      <c r="I294" s="248"/>
    </row>
    <row r="295" spans="1:9">
      <c r="A295" s="247"/>
      <c r="B295" s="247" t="s">
        <v>2250</v>
      </c>
      <c r="C295" s="247"/>
      <c r="D295" s="247"/>
      <c r="E295" s="951"/>
      <c r="F295" s="951"/>
      <c r="G295" s="951"/>
      <c r="H295" s="248"/>
      <c r="I295" s="248"/>
    </row>
    <row r="296" spans="1:9">
      <c r="A296" s="247"/>
      <c r="B296" s="247" t="s">
        <v>2251</v>
      </c>
      <c r="C296" s="247"/>
      <c r="D296" s="247"/>
      <c r="E296" s="951"/>
      <c r="F296" s="951"/>
      <c r="G296" s="951"/>
      <c r="H296" s="248"/>
      <c r="I296" s="248"/>
    </row>
    <row r="297" spans="1:9">
      <c r="A297" s="247"/>
      <c r="B297" s="247" t="s">
        <v>2252</v>
      </c>
      <c r="C297" s="247"/>
      <c r="D297" s="247"/>
      <c r="E297" s="951"/>
      <c r="F297" s="951"/>
      <c r="G297" s="951"/>
      <c r="H297" s="248"/>
      <c r="I297" s="248"/>
    </row>
    <row r="298" spans="1:9">
      <c r="A298" s="298" t="s">
        <v>2253</v>
      </c>
      <c r="B298" s="247" t="s">
        <v>2254</v>
      </c>
      <c r="C298" s="247"/>
      <c r="D298" s="247"/>
      <c r="E298" s="950"/>
      <c r="F298" s="873"/>
      <c r="G298" s="898"/>
      <c r="H298" s="899"/>
      <c r="I298" s="899"/>
    </row>
    <row r="299" spans="1:9">
      <c r="A299" s="247"/>
      <c r="B299" s="247" t="s">
        <v>2255</v>
      </c>
      <c r="C299" s="247"/>
      <c r="D299" s="247"/>
      <c r="E299" s="950"/>
      <c r="F299" s="950"/>
      <c r="G299" s="950"/>
      <c r="H299" s="248"/>
      <c r="I299" s="248"/>
    </row>
    <row r="300" spans="1:9">
      <c r="A300" s="247"/>
      <c r="B300" s="897"/>
      <c r="C300" s="247"/>
      <c r="D300" s="247"/>
      <c r="E300" s="873"/>
      <c r="F300" s="950"/>
      <c r="G300" s="950"/>
      <c r="H300" s="248"/>
      <c r="I300" s="248"/>
    </row>
  </sheetData>
  <autoFilter ref="A1:O297" xr:uid="{00000000-0009-0000-0000-00001A000000}"/>
  <mergeCells count="50">
    <mergeCell ref="B292:F292"/>
    <mergeCell ref="B285:F285"/>
    <mergeCell ref="B276:F276"/>
    <mergeCell ref="B277:F277"/>
    <mergeCell ref="B278:F278"/>
    <mergeCell ref="B280:F280"/>
    <mergeCell ref="B279:F279"/>
    <mergeCell ref="B284:F284"/>
    <mergeCell ref="B290:H290"/>
    <mergeCell ref="B291:G291"/>
    <mergeCell ref="B286:F286"/>
    <mergeCell ref="B289:C289"/>
    <mergeCell ref="B288:G288"/>
    <mergeCell ref="J2:M2"/>
    <mergeCell ref="G2:I2"/>
    <mergeCell ref="B233:D233"/>
    <mergeCell ref="B189:D189"/>
    <mergeCell ref="B87:D87"/>
    <mergeCell ref="B50:D50"/>
    <mergeCell ref="B42:D42"/>
    <mergeCell ref="B232:D232"/>
    <mergeCell ref="B199:D199"/>
    <mergeCell ref="B8:D8"/>
    <mergeCell ref="B9:D9"/>
    <mergeCell ref="B49:D49"/>
    <mergeCell ref="B41:D41"/>
    <mergeCell ref="B86:D86"/>
    <mergeCell ref="B160:D160"/>
    <mergeCell ref="B159:D159"/>
    <mergeCell ref="B244:D244"/>
    <mergeCell ref="B238:C238"/>
    <mergeCell ref="B251:D251"/>
    <mergeCell ref="B252:D252"/>
    <mergeCell ref="B248:C248"/>
    <mergeCell ref="B194:D194"/>
    <mergeCell ref="B188:D188"/>
    <mergeCell ref="B283:C283"/>
    <mergeCell ref="B281:F282"/>
    <mergeCell ref="B287:F287"/>
    <mergeCell ref="B249:C249"/>
    <mergeCell ref="B250:D250"/>
    <mergeCell ref="B195:D195"/>
    <mergeCell ref="B231:D231"/>
    <mergeCell ref="B200:D200"/>
    <mergeCell ref="B275:D275"/>
    <mergeCell ref="B236:C236"/>
    <mergeCell ref="B237:C237"/>
    <mergeCell ref="B239:C239"/>
    <mergeCell ref="B243:D243"/>
    <mergeCell ref="B245:D245"/>
  </mergeCells>
  <conditionalFormatting sqref="A279:A285">
    <cfRule type="cellIs" dxfId="14" priority="20" stopIfTrue="1" operator="between">
      <formula>4990000</formula>
      <formula>4999999</formula>
    </cfRule>
  </conditionalFormatting>
  <conditionalFormatting sqref="A287:A294">
    <cfRule type="cellIs" dxfId="13" priority="17" stopIfTrue="1" operator="between">
      <formula>4990000</formula>
      <formula>4999999</formula>
    </cfRule>
  </conditionalFormatting>
  <conditionalFormatting sqref="A298">
    <cfRule type="cellIs" dxfId="12" priority="4" stopIfTrue="1" operator="between">
      <formula>4990000</formula>
      <formula>4999999</formula>
    </cfRule>
  </conditionalFormatting>
  <conditionalFormatting sqref="C2:C7 C43:C48 D92 C190:C193 C196:C198 C200:C207 C294:C297">
    <cfRule type="cellIs" dxfId="11" priority="22" stopIfTrue="1" operator="between">
      <formula>4990000</formula>
      <formula>4999999</formula>
    </cfRule>
  </conditionalFormatting>
  <conditionalFormatting sqref="C10:C40">
    <cfRule type="cellIs" dxfId="10" priority="11" stopIfTrue="1" operator="between">
      <formula>4990000</formula>
      <formula>4999999</formula>
    </cfRule>
  </conditionalFormatting>
  <conditionalFormatting sqref="C51:C78">
    <cfRule type="cellIs" dxfId="9" priority="16" stopIfTrue="1" operator="between">
      <formula>4990000</formula>
      <formula>4999999</formula>
    </cfRule>
  </conditionalFormatting>
  <conditionalFormatting sqref="C81:C85">
    <cfRule type="cellIs" dxfId="8" priority="8" stopIfTrue="1" operator="between">
      <formula>4990000</formula>
      <formula>4999999</formula>
    </cfRule>
  </conditionalFormatting>
  <conditionalFormatting sqref="C88:C145">
    <cfRule type="cellIs" dxfId="7" priority="15" stopIfTrue="1" operator="between">
      <formula>4990000</formula>
      <formula>4999999</formula>
    </cfRule>
  </conditionalFormatting>
  <conditionalFormatting sqref="C148:C158">
    <cfRule type="cellIs" dxfId="6" priority="7" stopIfTrue="1" operator="between">
      <formula>4990000</formula>
      <formula>4999999</formula>
    </cfRule>
  </conditionalFormatting>
  <conditionalFormatting sqref="C161:C181">
    <cfRule type="cellIs" dxfId="5" priority="13" stopIfTrue="1" operator="between">
      <formula>4990000</formula>
      <formula>4999999</formula>
    </cfRule>
  </conditionalFormatting>
  <conditionalFormatting sqref="C184:C187">
    <cfRule type="cellIs" dxfId="4" priority="9" stopIfTrue="1" operator="between">
      <formula>4990000</formula>
      <formula>4999999</formula>
    </cfRule>
  </conditionalFormatting>
  <conditionalFormatting sqref="C253">
    <cfRule type="cellIs" dxfId="3" priority="2" stopIfTrue="1" operator="between">
      <formula>4990000</formula>
      <formula>4999999</formula>
    </cfRule>
  </conditionalFormatting>
  <conditionalFormatting sqref="C255:C274">
    <cfRule type="cellIs" dxfId="2" priority="18" stopIfTrue="1" operator="between">
      <formula>4990000</formula>
      <formula>4999999</formula>
    </cfRule>
  </conditionalFormatting>
  <conditionalFormatting sqref="C300:C65603">
    <cfRule type="cellIs" dxfId="1" priority="5" stopIfTrue="1" operator="between">
      <formula>4990000</formula>
      <formula>4999999</formula>
    </cfRule>
  </conditionalFormatting>
  <conditionalFormatting sqref="K270:K271 Q270:Q271 Y270:Y271 AG270:AG271 AO270:AO271 AW270:AW271 BE270:BE271 BM270:BM271 BU270:BU271 CC270:CC271 CK270:CK271 CS270:CS271 DA270:DA271 DI270:DI271 DQ270:DQ271 DY270:DY271 EG270:EG271 EO270:EO271 EW270:EW271 FE270:FE271 FM270:FM271 FU270:FU271 GC270:GC271 GK270:GK271 GS270:GS271 HA270:HA271 HI270:HI271 HQ270:HQ271 HY270:HY271 IG270:IG271 IO270:IO271">
    <cfRule type="cellIs" dxfId="0" priority="19" stopIfTrue="1" operator="between">
      <formula>4990000</formula>
      <formula>4999999</formula>
    </cfRule>
  </conditionalFormatting>
  <pageMargins left="0.7" right="0.7" top="0.75" bottom="0.75" header="0.3" footer="0.3"/>
  <pageSetup scale="40" fitToHeight="0" orientation="landscape" cellComments="asDisplayed" r:id="rId1"/>
  <headerFooter>
    <oddHeader>&amp;CSchedule 21
Revenue Credits
&amp;RTO2024 Annual Update 
Attachment 1</oddHeader>
    <oddFooter>&amp;R&amp;A</oddFooter>
  </headerFooter>
  <rowBreaks count="2" manualBreakCount="2">
    <brk id="77" max="14" man="1"/>
    <brk id="223" max="14" man="1"/>
  </rowBreaks>
  <ignoredErrors>
    <ignoredError sqref="G142" formula="1"/>
    <ignoredError sqref="C168"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248" customWidth="1"/>
    <col min="2" max="2" width="14" style="247" customWidth="1"/>
    <col min="3" max="3" width="26.54296875" style="247" customWidth="1"/>
    <col min="4" max="4" width="28.54296875" style="247" customWidth="1"/>
    <col min="5" max="5" width="16.453125" style="247" bestFit="1" customWidth="1"/>
    <col min="6" max="6" width="20.54296875" style="620" customWidth="1"/>
    <col min="7" max="7" width="9.54296875" style="247" customWidth="1"/>
    <col min="8" max="16384" width="9.453125" style="247"/>
  </cols>
  <sheetData>
    <row r="1" spans="1:8" ht="13">
      <c r="A1" s="47" t="s">
        <v>2303</v>
      </c>
      <c r="C1" s="47"/>
      <c r="D1" s="47"/>
      <c r="E1" s="47"/>
    </row>
    <row r="2" spans="1:8" ht="13">
      <c r="A2" s="47"/>
      <c r="C2" s="39" t="s">
        <v>195</v>
      </c>
      <c r="D2" s="254" t="s">
        <v>2304</v>
      </c>
      <c r="E2" s="117" t="s">
        <v>641</v>
      </c>
      <c r="F2" s="862">
        <v>2022</v>
      </c>
    </row>
    <row r="3" spans="1:8" ht="13">
      <c r="B3" s="47" t="s">
        <v>2305</v>
      </c>
      <c r="C3" s="47"/>
      <c r="D3" s="689"/>
      <c r="E3" s="47"/>
    </row>
    <row r="4" spans="1:8" ht="13">
      <c r="A4" s="30" t="s">
        <v>273</v>
      </c>
      <c r="C4" s="694"/>
      <c r="D4" s="689"/>
      <c r="E4" s="3" t="s">
        <v>788</v>
      </c>
      <c r="F4" s="629" t="s">
        <v>100</v>
      </c>
    </row>
    <row r="5" spans="1:8" ht="13">
      <c r="A5" s="119">
        <v>1</v>
      </c>
      <c r="B5" s="291" t="s">
        <v>2306</v>
      </c>
      <c r="C5" s="291"/>
      <c r="E5" s="412">
        <v>34056810.969999999</v>
      </c>
      <c r="F5" s="574" t="s">
        <v>576</v>
      </c>
    </row>
    <row r="6" spans="1:8" ht="13">
      <c r="A6" s="119">
        <v>2</v>
      </c>
      <c r="B6" s="247" t="s">
        <v>2307</v>
      </c>
      <c r="E6" s="36">
        <f>E7-E5</f>
        <v>180908722.03</v>
      </c>
      <c r="F6" s="574" t="s">
        <v>2308</v>
      </c>
      <c r="H6" s="574"/>
    </row>
    <row r="7" spans="1:8" ht="13">
      <c r="A7" s="119">
        <v>3</v>
      </c>
      <c r="B7" s="247" t="s">
        <v>2309</v>
      </c>
      <c r="C7" s="291"/>
      <c r="D7" s="291"/>
      <c r="E7" s="277">
        <v>214965533</v>
      </c>
      <c r="F7" s="246" t="s">
        <v>2310</v>
      </c>
      <c r="H7" s="574"/>
    </row>
    <row r="8" spans="1:8" ht="14">
      <c r="A8" s="630"/>
      <c r="B8" s="621"/>
      <c r="C8" s="622"/>
      <c r="D8" s="622"/>
      <c r="E8" s="619"/>
      <c r="F8" s="623"/>
      <c r="G8" s="624"/>
    </row>
    <row r="9" spans="1:8" ht="14">
      <c r="A9" s="630"/>
      <c r="B9" s="47" t="s">
        <v>2311</v>
      </c>
      <c r="C9" s="622"/>
      <c r="D9" s="622"/>
      <c r="E9" s="619"/>
      <c r="F9" s="625"/>
      <c r="G9" s="624"/>
    </row>
    <row r="10" spans="1:8" ht="14">
      <c r="A10" s="2"/>
      <c r="B10" s="291"/>
      <c r="C10" s="291"/>
      <c r="D10" s="291"/>
      <c r="E10" s="275"/>
      <c r="F10" s="625"/>
      <c r="G10" s="624"/>
    </row>
    <row r="11" spans="1:8" ht="14">
      <c r="A11" s="2">
        <v>4</v>
      </c>
      <c r="B11" s="291" t="s">
        <v>2306</v>
      </c>
      <c r="C11" s="291"/>
      <c r="D11" s="291"/>
      <c r="E11" s="539">
        <v>37405734.116853178</v>
      </c>
      <c r="F11" s="574" t="s">
        <v>347</v>
      </c>
      <c r="G11" s="624"/>
    </row>
    <row r="12" spans="1:8" ht="14">
      <c r="A12" s="2">
        <v>5</v>
      </c>
      <c r="B12" s="291" t="s">
        <v>2307</v>
      </c>
      <c r="C12" s="291"/>
      <c r="D12" s="291"/>
      <c r="E12" s="36">
        <f>E13-E11</f>
        <v>229137810.88314682</v>
      </c>
      <c r="F12" s="574" t="s">
        <v>2312</v>
      </c>
      <c r="G12" s="624"/>
    </row>
    <row r="13" spans="1:8" ht="14">
      <c r="A13" s="2">
        <v>6</v>
      </c>
      <c r="B13" s="247" t="s">
        <v>2309</v>
      </c>
      <c r="C13" s="291"/>
      <c r="D13" s="291"/>
      <c r="E13" s="277">
        <v>266543545</v>
      </c>
      <c r="F13" s="246" t="s">
        <v>2313</v>
      </c>
      <c r="G13" s="624"/>
    </row>
    <row r="14" spans="1:8" ht="13">
      <c r="A14" s="119"/>
      <c r="B14" s="291"/>
      <c r="C14" s="291"/>
      <c r="D14" s="291"/>
      <c r="E14" s="275"/>
      <c r="F14" s="574"/>
    </row>
    <row r="15" spans="1:8" ht="13">
      <c r="A15" s="119">
        <v>7</v>
      </c>
      <c r="B15" s="291" t="s">
        <v>2314</v>
      </c>
      <c r="C15" s="291"/>
      <c r="D15" s="291"/>
      <c r="E15" s="275">
        <f>(E5+E11)/2</f>
        <v>35731272.543426588</v>
      </c>
      <c r="F15" s="246" t="str">
        <f>"(Line "&amp;A5&amp;" + Line "&amp;A11&amp;") / 2"</f>
        <v>(Line 1 + Line 4) / 2</v>
      </c>
      <c r="G15" s="377"/>
    </row>
    <row r="16" spans="1:8" ht="13">
      <c r="A16" s="119"/>
      <c r="D16" s="198"/>
      <c r="E16" s="275"/>
      <c r="F16" s="574"/>
    </row>
    <row r="17" spans="1:6" ht="13">
      <c r="A17" s="119">
        <v>8</v>
      </c>
      <c r="B17" s="247" t="s">
        <v>2315</v>
      </c>
      <c r="E17" s="628">
        <f>2069893.05+13837.98</f>
        <v>2083731.03</v>
      </c>
      <c r="F17" s="574" t="s">
        <v>348</v>
      </c>
    </row>
    <row r="18" spans="1:6" ht="13">
      <c r="A18" s="119">
        <v>9</v>
      </c>
      <c r="B18" s="247" t="s">
        <v>2316</v>
      </c>
      <c r="E18" s="36">
        <f>E19-E17</f>
        <v>791484266.97000003</v>
      </c>
      <c r="F18" s="574" t="s">
        <v>2317</v>
      </c>
    </row>
    <row r="19" spans="1:6" ht="13">
      <c r="A19" s="119">
        <v>10</v>
      </c>
      <c r="B19" s="247" t="s">
        <v>2318</v>
      </c>
      <c r="E19" s="277">
        <v>793567998</v>
      </c>
      <c r="F19" s="246" t="s">
        <v>2319</v>
      </c>
    </row>
    <row r="22" spans="1:6" ht="13">
      <c r="A22" s="30" t="s">
        <v>228</v>
      </c>
    </row>
    <row r="23" spans="1:6">
      <c r="A23" s="248">
        <v>1</v>
      </c>
      <c r="B23" s="247" t="s">
        <v>2320</v>
      </c>
    </row>
    <row r="24" spans="1:6">
      <c r="A24" s="248">
        <v>2</v>
      </c>
      <c r="B24" s="247" t="s">
        <v>2321</v>
      </c>
    </row>
    <row r="25" spans="1:6">
      <c r="A25" s="248">
        <v>3</v>
      </c>
      <c r="B25" s="247" t="s">
        <v>2322</v>
      </c>
    </row>
    <row r="26" spans="1:6">
      <c r="A26" s="248">
        <v>4</v>
      </c>
      <c r="B26" s="247" t="s">
        <v>2323</v>
      </c>
      <c r="E26" s="626"/>
    </row>
    <row r="27" spans="1:6">
      <c r="B27" s="247" t="s">
        <v>2324</v>
      </c>
      <c r="E27" s="626"/>
    </row>
    <row r="28" spans="1:6">
      <c r="E28" s="626"/>
    </row>
    <row r="29" spans="1:6">
      <c r="A29" s="247"/>
      <c r="E29" s="626"/>
    </row>
    <row r="30" spans="1:6">
      <c r="A30" s="247"/>
      <c r="E30" s="626"/>
    </row>
    <row r="31" spans="1:6">
      <c r="A31" s="247"/>
      <c r="E31" s="626"/>
    </row>
    <row r="32" spans="1:6">
      <c r="A32" s="247"/>
      <c r="E32" s="626"/>
    </row>
    <row r="36" spans="1:5">
      <c r="A36" s="247"/>
      <c r="C36" s="627"/>
      <c r="D36" s="627"/>
      <c r="E36" s="627"/>
    </row>
    <row r="37" spans="1:5">
      <c r="A37" s="247"/>
      <c r="C37" s="627"/>
      <c r="D37" s="627"/>
      <c r="E37" s="627"/>
    </row>
    <row r="38" spans="1:5">
      <c r="A38" s="247"/>
      <c r="C38" s="627"/>
      <c r="D38" s="627"/>
      <c r="E38" s="627"/>
    </row>
    <row r="39" spans="1:5">
      <c r="A39" s="247"/>
      <c r="C39" s="627"/>
      <c r="D39" s="627"/>
      <c r="E39" s="627"/>
    </row>
    <row r="40" spans="1:5">
      <c r="A40" s="247"/>
      <c r="C40" s="627"/>
      <c r="D40" s="627"/>
      <c r="E40" s="627"/>
    </row>
    <row r="41" spans="1:5">
      <c r="A41" s="247"/>
      <c r="C41" s="627"/>
      <c r="D41" s="627"/>
      <c r="E41" s="627"/>
    </row>
    <row r="42" spans="1:5">
      <c r="A42" s="247"/>
      <c r="C42" s="627"/>
      <c r="D42" s="627"/>
      <c r="E42" s="627"/>
    </row>
    <row r="43" spans="1:5">
      <c r="A43" s="247"/>
      <c r="C43" s="627"/>
      <c r="D43" s="627"/>
      <c r="E43" s="627"/>
    </row>
    <row r="44" spans="1:5">
      <c r="A44" s="247"/>
      <c r="C44" s="627"/>
      <c r="D44" s="627"/>
      <c r="E44" s="627"/>
    </row>
    <row r="45" spans="1:5">
      <c r="A45" s="247"/>
      <c r="C45" s="627"/>
      <c r="D45" s="627"/>
      <c r="E45" s="627"/>
    </row>
    <row r="46" spans="1:5">
      <c r="A46" s="247"/>
      <c r="C46" s="627"/>
      <c r="D46" s="627"/>
      <c r="E46" s="627"/>
    </row>
    <row r="47" spans="1:5">
      <c r="A47" s="247"/>
      <c r="C47" s="627"/>
      <c r="D47" s="627"/>
      <c r="E47" s="627"/>
    </row>
    <row r="48" spans="1:5">
      <c r="A48" s="247"/>
      <c r="C48" s="627"/>
      <c r="D48" s="627"/>
      <c r="E48" s="627"/>
    </row>
    <row r="51" spans="1:5">
      <c r="A51" s="247"/>
      <c r="E51" s="627"/>
    </row>
  </sheetData>
  <pageMargins left="0.7" right="0.7" top="0.75" bottom="0.75" header="0.3" footer="0.3"/>
  <pageSetup scale="75" orientation="portrait" cellComments="asDisplayed" r:id="rId1"/>
  <headerFooter>
    <oddHeader>&amp;CSchedule 22
Network Upgrade Credits and Interest Expense
&amp;RTO2024 Annual Update 
Attachment 1</oddHeader>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7" ht="13">
      <c r="A1" s="303" t="s">
        <v>2325</v>
      </c>
      <c r="B1" s="304"/>
      <c r="C1" s="304"/>
      <c r="D1" s="304"/>
      <c r="E1" s="304"/>
      <c r="F1" s="304"/>
      <c r="G1" s="304"/>
    </row>
    <row r="3" spans="1:7" ht="13">
      <c r="A3" s="305" t="s">
        <v>273</v>
      </c>
      <c r="B3" s="304"/>
      <c r="C3" s="304"/>
      <c r="D3" s="304"/>
      <c r="E3" s="304"/>
      <c r="F3" s="304"/>
      <c r="G3" s="304"/>
    </row>
    <row r="4" spans="1:7" ht="13">
      <c r="A4" s="306">
        <v>1</v>
      </c>
      <c r="B4" s="304" t="s">
        <v>2326</v>
      </c>
      <c r="C4" s="304"/>
      <c r="D4" s="304"/>
      <c r="E4" s="304"/>
      <c r="F4" s="304"/>
      <c r="G4" s="304"/>
    </row>
    <row r="5" spans="1:7" ht="13">
      <c r="A5" s="306">
        <v>2</v>
      </c>
      <c r="B5" s="304" t="s">
        <v>2327</v>
      </c>
      <c r="C5" s="304"/>
      <c r="D5" s="304"/>
      <c r="E5" s="304"/>
      <c r="F5" s="304"/>
      <c r="G5" s="304"/>
    </row>
    <row r="6" spans="1:7" ht="13">
      <c r="A6" s="306">
        <v>3</v>
      </c>
      <c r="B6" s="304" t="s">
        <v>2328</v>
      </c>
      <c r="C6" s="304"/>
      <c r="D6" s="304"/>
      <c r="E6" s="304"/>
      <c r="F6" s="304"/>
      <c r="G6" s="304"/>
    </row>
    <row r="7" spans="1:7" ht="13">
      <c r="A7" s="306">
        <v>4</v>
      </c>
      <c r="B7" s="304"/>
      <c r="C7" s="304"/>
      <c r="D7" s="304"/>
      <c r="E7" s="304"/>
      <c r="F7" s="304"/>
      <c r="G7" s="304"/>
    </row>
    <row r="8" spans="1:7" ht="13">
      <c r="A8" s="306">
        <v>5</v>
      </c>
      <c r="B8" s="304" t="s">
        <v>2329</v>
      </c>
      <c r="C8" s="304"/>
      <c r="D8" s="304"/>
      <c r="E8" s="304"/>
      <c r="F8" s="304"/>
      <c r="G8" s="304"/>
    </row>
    <row r="9" spans="1:7" ht="13">
      <c r="A9" s="306">
        <v>6</v>
      </c>
      <c r="B9" s="304" t="s">
        <v>2330</v>
      </c>
      <c r="C9" s="304"/>
      <c r="D9" s="304"/>
      <c r="E9" s="304"/>
      <c r="F9" s="304"/>
      <c r="G9" s="304"/>
    </row>
    <row r="10" spans="1:7" ht="13">
      <c r="A10" s="306">
        <v>7</v>
      </c>
      <c r="B10" s="304"/>
      <c r="C10" s="304"/>
      <c r="D10" s="304"/>
      <c r="E10" s="304"/>
      <c r="F10" s="304"/>
      <c r="G10" s="304"/>
    </row>
    <row r="11" spans="1:7" ht="13">
      <c r="A11" s="306">
        <v>8</v>
      </c>
      <c r="B11" s="304" t="s">
        <v>2331</v>
      </c>
      <c r="C11" s="304"/>
      <c r="D11" s="304"/>
      <c r="E11" s="304"/>
      <c r="F11" s="304"/>
      <c r="G11" s="304"/>
    </row>
    <row r="12" spans="1:7" ht="13">
      <c r="A12" s="306">
        <v>9</v>
      </c>
      <c r="B12" s="304" t="s">
        <v>2332</v>
      </c>
      <c r="C12" s="304"/>
      <c r="D12" s="304"/>
      <c r="E12" s="304"/>
      <c r="F12" s="304"/>
      <c r="G12" s="304"/>
    </row>
    <row r="13" spans="1:7" ht="13">
      <c r="A13" s="306">
        <v>10</v>
      </c>
      <c r="B13" s="304" t="s">
        <v>2333</v>
      </c>
      <c r="C13" s="304"/>
      <c r="D13" s="304"/>
      <c r="E13" s="304"/>
      <c r="F13" s="304"/>
      <c r="G13" s="304"/>
    </row>
    <row r="14" spans="1:7" ht="13">
      <c r="A14" s="306">
        <v>11</v>
      </c>
      <c r="B14" s="304"/>
      <c r="C14" s="304"/>
      <c r="D14" s="304"/>
      <c r="E14" s="304"/>
      <c r="F14" s="304"/>
      <c r="G14" s="304"/>
    </row>
    <row r="15" spans="1:7" ht="13">
      <c r="A15" s="306">
        <v>12</v>
      </c>
      <c r="B15" s="304"/>
      <c r="C15" s="304"/>
      <c r="D15" s="304"/>
      <c r="E15" s="306" t="s">
        <v>859</v>
      </c>
      <c r="F15" s="304"/>
      <c r="G15" s="304"/>
    </row>
    <row r="16" spans="1:7" ht="13">
      <c r="A16" s="306">
        <v>13</v>
      </c>
      <c r="B16" s="304"/>
      <c r="C16" s="304"/>
      <c r="D16" s="304"/>
      <c r="E16" s="307" t="s">
        <v>79</v>
      </c>
      <c r="F16" s="304"/>
      <c r="G16" s="308" t="s">
        <v>2334</v>
      </c>
    </row>
    <row r="17" spans="1:8" ht="13">
      <c r="A17" s="306">
        <v>14</v>
      </c>
      <c r="B17" s="304" t="s">
        <v>2335</v>
      </c>
      <c r="C17" s="304"/>
      <c r="D17" s="304"/>
      <c r="E17" s="309">
        <f>D29</f>
        <v>0</v>
      </c>
      <c r="F17" s="304"/>
      <c r="G17" s="304" t="s">
        <v>2336</v>
      </c>
    </row>
    <row r="18" spans="1:8" ht="13">
      <c r="A18" s="306">
        <v>15</v>
      </c>
      <c r="B18" s="304" t="s">
        <v>2337</v>
      </c>
      <c r="C18" s="304"/>
      <c r="D18" s="304"/>
      <c r="E18" s="309">
        <f>(C29+D29)/2</f>
        <v>0</v>
      </c>
      <c r="F18" s="304"/>
      <c r="G18" s="304" t="s">
        <v>2338</v>
      </c>
    </row>
    <row r="19" spans="1:8" ht="13">
      <c r="A19" s="306">
        <v>16</v>
      </c>
      <c r="B19" s="304" t="s">
        <v>2339</v>
      </c>
      <c r="C19" s="304"/>
      <c r="D19" s="304"/>
      <c r="E19" s="309">
        <f>E29</f>
        <v>0</v>
      </c>
      <c r="F19" s="304"/>
      <c r="G19" s="304" t="s">
        <v>2340</v>
      </c>
    </row>
    <row r="20" spans="1:8" ht="13">
      <c r="A20" s="306"/>
      <c r="B20" s="304"/>
      <c r="C20" s="304"/>
      <c r="D20" s="304"/>
      <c r="E20" s="309"/>
      <c r="F20" s="304"/>
      <c r="G20" s="304"/>
    </row>
    <row r="21" spans="1:8" ht="13">
      <c r="A21" s="306"/>
      <c r="B21" s="304"/>
      <c r="C21" s="387" t="s">
        <v>336</v>
      </c>
      <c r="D21" s="387" t="s">
        <v>337</v>
      </c>
      <c r="E21" s="387" t="s">
        <v>338</v>
      </c>
      <c r="F21" s="304"/>
      <c r="G21" s="304"/>
    </row>
    <row r="22" spans="1:8" ht="13">
      <c r="A22" s="306"/>
      <c r="B22" s="304"/>
      <c r="C22" s="306" t="s">
        <v>859</v>
      </c>
      <c r="D22" s="306" t="s">
        <v>859</v>
      </c>
      <c r="E22" s="306" t="s">
        <v>859</v>
      </c>
      <c r="F22" s="304"/>
      <c r="G22" s="304"/>
    </row>
    <row r="23" spans="1:8" ht="14.5">
      <c r="A23" s="306"/>
      <c r="B23" s="306" t="s">
        <v>2341</v>
      </c>
      <c r="C23" s="306" t="s">
        <v>796</v>
      </c>
      <c r="D23" s="306" t="s">
        <v>1092</v>
      </c>
      <c r="E23" s="192" t="s">
        <v>2342</v>
      </c>
      <c r="F23" s="304"/>
      <c r="G23" s="303" t="s">
        <v>2343</v>
      </c>
      <c r="H23" s="247"/>
    </row>
    <row r="24" spans="1:8" ht="13">
      <c r="A24" s="306"/>
      <c r="B24" s="306" t="s">
        <v>2344</v>
      </c>
      <c r="C24" s="306" t="s">
        <v>2345</v>
      </c>
      <c r="D24" s="306" t="s">
        <v>2345</v>
      </c>
      <c r="E24" s="306" t="s">
        <v>2346</v>
      </c>
      <c r="F24" s="304"/>
      <c r="G24" s="303" t="s">
        <v>2347</v>
      </c>
      <c r="H24" s="247"/>
    </row>
    <row r="25" spans="1:8" ht="13">
      <c r="A25" s="306"/>
      <c r="B25" s="307" t="s">
        <v>2348</v>
      </c>
      <c r="C25" s="307" t="s">
        <v>2348</v>
      </c>
      <c r="D25" s="307" t="s">
        <v>2348</v>
      </c>
      <c r="E25" s="307" t="s">
        <v>2349</v>
      </c>
      <c r="F25" s="304"/>
      <c r="G25" s="305" t="s">
        <v>2350</v>
      </c>
      <c r="H25" s="247"/>
    </row>
    <row r="26" spans="1:8" ht="13">
      <c r="A26" s="306">
        <v>17</v>
      </c>
      <c r="B26" s="310"/>
      <c r="C26" s="311"/>
      <c r="D26" s="311"/>
      <c r="E26" s="311"/>
      <c r="F26" s="304"/>
      <c r="G26" s="310"/>
      <c r="H26" s="54"/>
    </row>
    <row r="27" spans="1:8" ht="13">
      <c r="A27" s="306">
        <v>18</v>
      </c>
      <c r="B27" s="310"/>
      <c r="C27" s="311"/>
      <c r="D27" s="311"/>
      <c r="E27" s="311"/>
      <c r="F27" s="304"/>
      <c r="G27" s="310"/>
      <c r="H27" s="54"/>
    </row>
    <row r="28" spans="1:8" ht="13">
      <c r="A28" s="306">
        <v>19</v>
      </c>
      <c r="B28" s="310"/>
      <c r="C28" s="312"/>
      <c r="D28" s="312"/>
      <c r="E28" s="312"/>
      <c r="F28" s="304"/>
      <c r="G28" s="310"/>
      <c r="H28" s="54"/>
    </row>
    <row r="29" spans="1:8" ht="13">
      <c r="A29" s="306">
        <v>20</v>
      </c>
      <c r="B29" s="304" t="s">
        <v>431</v>
      </c>
      <c r="C29" s="309">
        <f>SUM(C26:C28)</f>
        <v>0</v>
      </c>
      <c r="D29" s="309">
        <f>SUM(D26:D28)</f>
        <v>0</v>
      </c>
      <c r="E29" s="309">
        <f>SUM(E26:E28)</f>
        <v>0</v>
      </c>
      <c r="F29" s="304"/>
      <c r="G29" s="304" t="s">
        <v>2351</v>
      </c>
    </row>
    <row r="30" spans="1:8" ht="13">
      <c r="A30" s="306"/>
      <c r="B30" s="304"/>
      <c r="C30" s="304"/>
      <c r="D30" s="304"/>
      <c r="E30" s="304"/>
      <c r="F30" s="304"/>
      <c r="G30" s="304"/>
    </row>
    <row r="31" spans="1:8" ht="13">
      <c r="A31" s="306"/>
      <c r="B31" s="303" t="s">
        <v>433</v>
      </c>
      <c r="C31" s="304"/>
      <c r="D31" s="304"/>
      <c r="E31" s="304"/>
      <c r="F31" s="304"/>
      <c r="G31" s="304"/>
    </row>
    <row r="32" spans="1:8" ht="13">
      <c r="A32" s="306"/>
      <c r="B32" s="304" t="s">
        <v>2352</v>
      </c>
      <c r="C32" s="304"/>
      <c r="D32" s="304"/>
      <c r="E32" s="304"/>
      <c r="F32" s="304"/>
      <c r="G32" s="304"/>
    </row>
    <row r="33" spans="1:5" ht="13">
      <c r="A33" s="306"/>
      <c r="B33" s="304" t="s">
        <v>2353</v>
      </c>
    </row>
    <row r="34" spans="1:5" ht="13">
      <c r="A34" s="306"/>
      <c r="B34" s="517" t="s">
        <v>2354</v>
      </c>
    </row>
    <row r="35" spans="1:5" ht="13">
      <c r="A35" s="306"/>
      <c r="B35" s="517" t="s">
        <v>2355</v>
      </c>
      <c r="E35" s="247"/>
    </row>
    <row r="36" spans="1:5" ht="13">
      <c r="A36" s="306"/>
      <c r="B36" s="304" t="s">
        <v>2356</v>
      </c>
    </row>
    <row r="37" spans="1:5" ht="13">
      <c r="A37" s="306"/>
    </row>
    <row r="38" spans="1:5" ht="13">
      <c r="A38" s="306"/>
      <c r="B38" s="304"/>
    </row>
    <row r="39" spans="1:5" ht="13">
      <c r="A39" s="306"/>
      <c r="B39" s="304"/>
    </row>
  </sheetData>
  <pageMargins left="0.7" right="0.7" top="0.75" bottom="0.75" header="0.3" footer="0.3"/>
  <pageSetup orientation="landscape" cellComments="asDisplayed" r:id="rId1"/>
  <headerFooter>
    <oddHeader>&amp;CSchedule 23
Regulatory Assets and Liabilities
&amp;RTO2024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5"/>
  <cols>
    <col min="1" max="1" width="3.54296875" customWidth="1"/>
    <col min="2" max="2" width="45.54296875" customWidth="1"/>
    <col min="3" max="3" width="15.1796875" customWidth="1"/>
  </cols>
  <sheetData>
    <row r="1" spans="1:5" ht="13">
      <c r="A1" s="1" t="s">
        <v>76</v>
      </c>
    </row>
    <row r="3" spans="1:5">
      <c r="A3" s="247" t="s">
        <v>77</v>
      </c>
    </row>
    <row r="5" spans="1:5" ht="13">
      <c r="B5" s="3" t="s">
        <v>78</v>
      </c>
      <c r="C5" s="3" t="s">
        <v>79</v>
      </c>
    </row>
    <row r="6" spans="1:5">
      <c r="B6" t="s">
        <v>80</v>
      </c>
      <c r="C6" s="6">
        <f>'1-BaseTRR'!K144</f>
        <v>1276123159.3364916</v>
      </c>
    </row>
    <row r="7" spans="1:5">
      <c r="B7" t="s">
        <v>81</v>
      </c>
      <c r="C7" s="6">
        <f>'1-BaseTRR'!K150</f>
        <v>65627902.850031734</v>
      </c>
    </row>
    <row r="8" spans="1:5" ht="13">
      <c r="B8" t="s">
        <v>82</v>
      </c>
      <c r="C8" s="249">
        <f>'1-BaseTRR'!K151</f>
        <v>-133413458.79766294</v>
      </c>
      <c r="E8" s="1"/>
    </row>
    <row r="9" spans="1:5" ht="13">
      <c r="B9" s="247" t="s">
        <v>83</v>
      </c>
      <c r="C9" s="249">
        <f>'1-BaseTRR'!K152</f>
        <v>-12394780.052277384</v>
      </c>
      <c r="E9" s="1"/>
    </row>
    <row r="10" spans="1:5" ht="13">
      <c r="B10" s="247" t="s">
        <v>84</v>
      </c>
      <c r="C10" s="53">
        <f>'1-BaseTRR'!K153</f>
        <v>-71442363.177482024</v>
      </c>
      <c r="E10" s="1"/>
    </row>
    <row r="11" spans="1:5">
      <c r="B11" t="s">
        <v>85</v>
      </c>
      <c r="C11" s="6">
        <f>SUM(C6:C10)</f>
        <v>1124500460.159101</v>
      </c>
    </row>
    <row r="13" spans="1:5">
      <c r="A13" t="s">
        <v>86</v>
      </c>
    </row>
    <row r="15" spans="1:5">
      <c r="B15" t="s">
        <v>87</v>
      </c>
    </row>
    <row r="16" spans="1:5">
      <c r="B16" s="246" t="s">
        <v>88</v>
      </c>
    </row>
    <row r="17" spans="2:7">
      <c r="B17" s="12"/>
    </row>
    <row r="18" spans="2:7">
      <c r="B18" t="s">
        <v>89</v>
      </c>
    </row>
    <row r="19" spans="2:7">
      <c r="B19" s="247" t="s">
        <v>90</v>
      </c>
    </row>
    <row r="20" spans="2:7">
      <c r="B20" s="12"/>
    </row>
    <row r="21" spans="2:7">
      <c r="B21" s="38" t="s">
        <v>91</v>
      </c>
    </row>
    <row r="22" spans="2:7">
      <c r="B22" s="246" t="s">
        <v>92</v>
      </c>
    </row>
    <row r="23" spans="2:7">
      <c r="B23" s="246"/>
    </row>
    <row r="24" spans="2:7">
      <c r="B24" s="291" t="s">
        <v>93</v>
      </c>
      <c r="C24" s="247"/>
      <c r="D24" s="247"/>
      <c r="E24" s="247"/>
      <c r="F24" s="247"/>
      <c r="G24" s="247"/>
    </row>
    <row r="25" spans="2:7">
      <c r="B25" s="246" t="s">
        <v>94</v>
      </c>
      <c r="C25" s="247"/>
      <c r="D25" s="247"/>
      <c r="E25" s="247"/>
      <c r="F25" s="247"/>
      <c r="G25" s="247"/>
    </row>
    <row r="27" spans="2:7">
      <c r="B27" s="247" t="s">
        <v>2923</v>
      </c>
    </row>
  </sheetData>
  <phoneticPr fontId="23" type="noConversion"/>
  <pageMargins left="0.75" right="0.75" top="1.25" bottom="1" header="0.5" footer="0.5"/>
  <pageSetup orientation="landscape" r:id="rId1"/>
  <headerFooter alignWithMargins="0">
    <oddHeader>&amp;COverview
&amp;RTO2024 Annual Update 
Attachment 1</oddHeader>
    <oddFooter>&amp;R&amp;A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2357</v>
      </c>
      <c r="I1" s="192"/>
    </row>
    <row r="3" spans="1:9" ht="13">
      <c r="B3" s="1" t="s">
        <v>2358</v>
      </c>
    </row>
    <row r="4" spans="1:9" ht="13">
      <c r="B4" s="1"/>
    </row>
    <row r="5" spans="1:9" ht="13">
      <c r="B5" s="1"/>
      <c r="C5" s="1" t="s">
        <v>2359</v>
      </c>
      <c r="D5" s="48" t="s">
        <v>336</v>
      </c>
      <c r="E5" s="48" t="s">
        <v>337</v>
      </c>
      <c r="F5" s="48" t="s">
        <v>338</v>
      </c>
    </row>
    <row r="6" spans="1:9" ht="14.5">
      <c r="D6" s="124" t="s">
        <v>859</v>
      </c>
      <c r="E6" s="124" t="s">
        <v>859</v>
      </c>
      <c r="F6" s="124" t="s">
        <v>983</v>
      </c>
    </row>
    <row r="7" spans="1:9" ht="14.5">
      <c r="C7" s="1"/>
      <c r="D7" s="124" t="s">
        <v>1092</v>
      </c>
      <c r="E7" s="124" t="s">
        <v>798</v>
      </c>
      <c r="F7" s="124" t="s">
        <v>619</v>
      </c>
    </row>
    <row r="8" spans="1:9" ht="13">
      <c r="A8" s="3" t="s">
        <v>273</v>
      </c>
      <c r="C8" s="3" t="s">
        <v>1074</v>
      </c>
      <c r="D8" s="3" t="s">
        <v>79</v>
      </c>
      <c r="E8" s="3" t="s">
        <v>79</v>
      </c>
      <c r="F8" s="3" t="s">
        <v>79</v>
      </c>
      <c r="G8" s="3" t="s">
        <v>651</v>
      </c>
    </row>
    <row r="9" spans="1:9" ht="13">
      <c r="A9" s="2">
        <v>1</v>
      </c>
      <c r="C9" s="245" t="s">
        <v>2360</v>
      </c>
      <c r="D9" s="6">
        <f>'10-CWIP'!E25</f>
        <v>569300.1</v>
      </c>
      <c r="E9" s="6">
        <f>'10-CWIP'!E26</f>
        <v>381025.51615384617</v>
      </c>
      <c r="F9" s="6">
        <f>'10-CWIP'!K113</f>
        <v>-569300.09999999974</v>
      </c>
      <c r="G9" s="246" t="str">
        <f>"10-CWIP, Lines "&amp;'10-CWIP'!A25&amp;", "&amp;'10-CWIP'!A26&amp;", "&amp;'10-CWIP'!A113&amp;""</f>
        <v>10-CWIP, Lines 13, 14, 80</v>
      </c>
    </row>
    <row r="10" spans="1:9" ht="13">
      <c r="A10" s="2">
        <f>A9+1</f>
        <v>2</v>
      </c>
      <c r="C10" s="245" t="s">
        <v>2361</v>
      </c>
      <c r="D10" s="6">
        <f>'10-CWIP'!F25</f>
        <v>0</v>
      </c>
      <c r="E10" s="6">
        <f>'10-CWIP'!F26</f>
        <v>0</v>
      </c>
      <c r="F10" s="6">
        <f>'10-CWIP'!K146</f>
        <v>0</v>
      </c>
      <c r="G10" s="246" t="str">
        <f>"10-CWIP, Lines "&amp;'10-CWIP'!A25&amp;", "&amp;'10-CWIP'!A26&amp;", "&amp;'10-CWIP'!A146&amp;""</f>
        <v>10-CWIP, Lines 13, 14, 106</v>
      </c>
    </row>
    <row r="11" spans="1:9" ht="13">
      <c r="A11" s="2">
        <f t="shared" ref="A11:A21" si="0">A10+1</f>
        <v>3</v>
      </c>
      <c r="C11" s="245" t="s">
        <v>2362</v>
      </c>
      <c r="D11" s="6">
        <f>'10-CWIP'!G25</f>
        <v>6391146.5599999996</v>
      </c>
      <c r="E11" s="6">
        <f>'10-CWIP'!G26</f>
        <v>6246772.8100000005</v>
      </c>
      <c r="F11" s="6">
        <f>'10-CWIP'!K179</f>
        <v>2293057.692307692</v>
      </c>
      <c r="G11" s="246" t="str">
        <f>"10-CWIP, Lines "&amp;'10-CWIP'!A25&amp;", "&amp;'10-CWIP'!A26&amp;", "&amp;'10-CWIP'!A179&amp;""</f>
        <v>10-CWIP, Lines 13, 14, 132</v>
      </c>
    </row>
    <row r="12" spans="1:9" ht="13">
      <c r="A12" s="2">
        <f t="shared" si="0"/>
        <v>4</v>
      </c>
      <c r="C12" s="245" t="s">
        <v>2363</v>
      </c>
      <c r="D12" s="6">
        <f>'10-CWIP'!H25</f>
        <v>974727.83</v>
      </c>
      <c r="E12" s="6">
        <f>'10-CWIP'!H26</f>
        <v>671682.44923076918</v>
      </c>
      <c r="F12" s="6">
        <f>'10-CWIP'!K212</f>
        <v>-974727.83</v>
      </c>
      <c r="G12" s="246" t="str">
        <f>"10-CWIP, Lines "&amp;'10-CWIP'!A25&amp;", "&amp;'10-CWIP'!A26&amp;", "&amp;'10-CWIP'!A212&amp;""</f>
        <v>10-CWIP, Lines 13, 14, 158</v>
      </c>
    </row>
    <row r="13" spans="1:9" ht="13">
      <c r="A13" s="2">
        <f t="shared" si="0"/>
        <v>5</v>
      </c>
      <c r="C13" s="245" t="s">
        <v>2364</v>
      </c>
      <c r="D13" s="6">
        <f>'10-CWIP'!I25</f>
        <v>0</v>
      </c>
      <c r="E13" s="6">
        <f>'10-CWIP'!I26</f>
        <v>0</v>
      </c>
      <c r="F13" s="6">
        <f>'10-CWIP'!K245</f>
        <v>0</v>
      </c>
      <c r="G13" s="246" t="str">
        <f>"10-CWIP, Lines "&amp;'10-CWIP'!A25&amp;", "&amp;'10-CWIP'!A26&amp;", "&amp;'10-CWIP'!A245&amp;""</f>
        <v>10-CWIP, Lines 13, 14, 184</v>
      </c>
    </row>
    <row r="14" spans="1:9" ht="13">
      <c r="A14" s="2">
        <f t="shared" si="0"/>
        <v>6</v>
      </c>
      <c r="C14" s="245" t="s">
        <v>2365</v>
      </c>
      <c r="D14" s="6">
        <f>'10-CWIP'!D45</f>
        <v>0</v>
      </c>
      <c r="E14" s="6">
        <f>'10-CWIP'!D46</f>
        <v>0</v>
      </c>
      <c r="F14" s="6">
        <f>'10-CWIP'!K278</f>
        <v>0</v>
      </c>
      <c r="G14" s="246" t="str">
        <f>"10-CWIP, Lines "&amp;'10-CWIP'!A45&amp;", "&amp;'10-CWIP'!A46&amp;", "&amp;'10-CWIP'!A278&amp;""</f>
        <v>10-CWIP, Lines 27, 28, 210</v>
      </c>
    </row>
    <row r="15" spans="1:9" ht="13">
      <c r="A15" s="2">
        <f t="shared" si="0"/>
        <v>7</v>
      </c>
      <c r="C15" s="245" t="s">
        <v>2366</v>
      </c>
      <c r="D15" s="6">
        <f>'10-CWIP'!E45</f>
        <v>0</v>
      </c>
      <c r="E15" s="6">
        <f>'10-CWIP'!E46</f>
        <v>0</v>
      </c>
      <c r="F15" s="6">
        <f>'10-CWIP'!K311</f>
        <v>0</v>
      </c>
      <c r="G15" s="246" t="str">
        <f>"10-CWIP, Lines "&amp;'10-CWIP'!A45&amp;", "&amp;'10-CWIP'!A46&amp;", "&amp;'10-CWIP'!A311&amp;""</f>
        <v>10-CWIP, Lines 27, 28, 236</v>
      </c>
    </row>
    <row r="16" spans="1:9" ht="13">
      <c r="A16" s="2">
        <f t="shared" si="0"/>
        <v>8</v>
      </c>
      <c r="C16" s="245" t="s">
        <v>2367</v>
      </c>
      <c r="D16" s="6">
        <f>'10-CWIP'!F45</f>
        <v>0</v>
      </c>
      <c r="E16" s="6">
        <f>'10-CWIP'!F46</f>
        <v>80790781.849230766</v>
      </c>
      <c r="F16" s="6">
        <f>'10-CWIP'!K344</f>
        <v>0</v>
      </c>
      <c r="G16" s="246" t="str">
        <f>"10-CWIP, Lines "&amp;'10-CWIP'!A45&amp;", "&amp;'10-CWIP'!A46&amp;", "&amp;'10-CWIP'!A344&amp;""</f>
        <v>10-CWIP, Lines 27, 28, 262</v>
      </c>
    </row>
    <row r="17" spans="1:7" ht="13">
      <c r="A17" s="2">
        <f t="shared" si="0"/>
        <v>9</v>
      </c>
      <c r="C17" s="245" t="s">
        <v>2368</v>
      </c>
      <c r="D17" s="6">
        <f>'10-CWIP'!G45</f>
        <v>26660116.48</v>
      </c>
      <c r="E17" s="6">
        <f>'10-CWIP'!G46</f>
        <v>25800174.070769232</v>
      </c>
      <c r="F17" s="6">
        <f>'10-CWIP'!K377</f>
        <v>1701166.0000000037</v>
      </c>
      <c r="G17" s="246" t="str">
        <f>"10-CWIP, Lines "&amp;'10-CWIP'!A45&amp;", "&amp;'10-CWIP'!A46&amp;", "&amp;'10-CWIP'!A377&amp;""</f>
        <v>10-CWIP, Lines 27, 28, 288</v>
      </c>
    </row>
    <row r="18" spans="1:7" ht="13">
      <c r="A18" s="2">
        <f t="shared" si="0"/>
        <v>10</v>
      </c>
      <c r="C18" s="245" t="s">
        <v>2369</v>
      </c>
      <c r="D18" s="505">
        <f>'10-CWIP'!H45</f>
        <v>212122946.66999999</v>
      </c>
      <c r="E18" s="505">
        <f>'10-CWIP'!H46</f>
        <v>199888733.48846155</v>
      </c>
      <c r="F18" s="505">
        <f>'10-CWIP'!K410</f>
        <v>-210638551.53461522</v>
      </c>
      <c r="G18" s="246" t="str">
        <f>"10-CWIP, Lines "&amp;'10-CWIP'!A45&amp;", "&amp;'10-CWIP'!A46&amp;", "&amp;'10-CWIP'!A410&amp;""</f>
        <v>10-CWIP, Lines 27, 28, 314</v>
      </c>
    </row>
    <row r="19" spans="1:7" ht="13">
      <c r="A19" s="2">
        <f t="shared" si="0"/>
        <v>11</v>
      </c>
      <c r="C19" s="245" t="s">
        <v>2370</v>
      </c>
      <c r="D19" s="275">
        <f>'10-CWIP'!I45</f>
        <v>38488677.479999997</v>
      </c>
      <c r="E19" s="275">
        <f>'10-CWIP'!I46</f>
        <v>32384190.809230771</v>
      </c>
      <c r="F19" s="275">
        <f>'10-CWIP'!K443</f>
        <v>1447798.1771499813</v>
      </c>
      <c r="G19" s="246" t="str">
        <f>"10-CWIP, Lines "&amp;'10-CWIP'!A45&amp;", "&amp;'10-CWIP'!A46&amp;", "&amp;'10-CWIP'!A443&amp;""</f>
        <v>10-CWIP, Lines 27, 28, 340</v>
      </c>
    </row>
    <row r="20" spans="1:7" ht="13">
      <c r="A20" s="2">
        <f t="shared" si="0"/>
        <v>12</v>
      </c>
      <c r="C20" s="841"/>
      <c r="D20" s="36">
        <f>'10-CWIP'!J45</f>
        <v>0</v>
      </c>
      <c r="E20" s="36" t="str">
        <f>'10-CWIP'!J46</f>
        <v>---</v>
      </c>
      <c r="F20" s="36">
        <f>'10-CWIP'!K476</f>
        <v>0</v>
      </c>
      <c r="G20" s="246" t="str">
        <f>"10-CWIP, Lines "&amp;'10-CWIP'!A45&amp;", "&amp;'10-CWIP'!A46&amp;", "&amp;'10-CWIP'!A476&amp;""</f>
        <v>10-CWIP, Lines 27, 28, 366</v>
      </c>
    </row>
    <row r="21" spans="1:7" ht="13">
      <c r="A21" s="2">
        <f t="shared" si="0"/>
        <v>13</v>
      </c>
      <c r="C21" s="245" t="s">
        <v>431</v>
      </c>
      <c r="D21" s="6">
        <f>SUM(D9:D20)</f>
        <v>285206915.12</v>
      </c>
      <c r="E21" s="6">
        <f>SUM(E9:E20)</f>
        <v>346163360.99307692</v>
      </c>
      <c r="F21" s="6">
        <f>SUM(F9:F20)</f>
        <v>-206740557.59515753</v>
      </c>
      <c r="G21" s="246" t="str">
        <f>"Sum of Lines "&amp;A9&amp;" to "&amp;A20&amp;""</f>
        <v>Sum of Lines 1 to 12</v>
      </c>
    </row>
    <row r="22" spans="1:7" ht="13">
      <c r="A22" s="2"/>
      <c r="C22" s="1"/>
    </row>
    <row r="23" spans="1:7" ht="14.5">
      <c r="A23" s="2"/>
      <c r="C23" s="1" t="s">
        <v>2371</v>
      </c>
      <c r="D23" s="124" t="s">
        <v>1092</v>
      </c>
      <c r="E23" s="124" t="s">
        <v>798</v>
      </c>
      <c r="F23" s="246"/>
    </row>
    <row r="24" spans="1:7" ht="13">
      <c r="D24" s="3" t="s">
        <v>79</v>
      </c>
      <c r="E24" s="3" t="s">
        <v>79</v>
      </c>
      <c r="F24" s="3" t="s">
        <v>651</v>
      </c>
    </row>
    <row r="25" spans="1:7" ht="13">
      <c r="A25" s="2">
        <f>A21+1</f>
        <v>14</v>
      </c>
      <c r="C25" s="245" t="s">
        <v>2372</v>
      </c>
      <c r="D25" s="6">
        <f>D21</f>
        <v>285206915.12</v>
      </c>
      <c r="E25" s="6">
        <f>E21</f>
        <v>346163360.99307692</v>
      </c>
      <c r="F25" s="12" t="str">
        <f>"Line "&amp;A21&amp;""</f>
        <v>Line 13</v>
      </c>
    </row>
    <row r="26" spans="1:7" ht="13">
      <c r="A26" s="2">
        <f>A25+1</f>
        <v>15</v>
      </c>
      <c r="C26" s="245" t="s">
        <v>2373</v>
      </c>
      <c r="D26" s="7">
        <f>'1-BaseTRR'!K93</f>
        <v>7.008465551625527E-2</v>
      </c>
      <c r="E26" s="7">
        <f>'1-BaseTRR'!K93</f>
        <v>7.008465551625527E-2</v>
      </c>
      <c r="F26" s="12" t="str">
        <f>"1-BaseTRR, Line "&amp;'1-BaseTRR'!A93&amp;""</f>
        <v>1-BaseTRR, Line 54</v>
      </c>
    </row>
    <row r="27" spans="1:7" ht="13">
      <c r="A27" s="2">
        <f>A26+1</f>
        <v>16</v>
      </c>
      <c r="C27" s="25" t="s">
        <v>2374</v>
      </c>
      <c r="D27" s="6">
        <f>D25*D26</f>
        <v>19988628.397039056</v>
      </c>
      <c r="E27" s="6">
        <f>E25*E26</f>
        <v>24260739.907548912</v>
      </c>
      <c r="F27" s="12" t="str">
        <f>"Line "&amp;A25&amp;" * Line "&amp;A26&amp;""</f>
        <v>Line 14 * Line 15</v>
      </c>
    </row>
    <row r="29" spans="1:7" ht="13">
      <c r="C29" s="1" t="s">
        <v>2375</v>
      </c>
    </row>
    <row r="30" spans="1:7" ht="14.5">
      <c r="D30" s="124" t="s">
        <v>1092</v>
      </c>
      <c r="E30" s="124" t="s">
        <v>798</v>
      </c>
    </row>
    <row r="31" spans="1:7" ht="13">
      <c r="D31" s="3" t="s">
        <v>79</v>
      </c>
      <c r="E31" s="3" t="s">
        <v>79</v>
      </c>
      <c r="F31" s="3" t="s">
        <v>651</v>
      </c>
    </row>
    <row r="32" spans="1:7" ht="14.5">
      <c r="A32" s="124">
        <f>A27+1</f>
        <v>17</v>
      </c>
      <c r="C32" s="245" t="s">
        <v>2372</v>
      </c>
      <c r="D32" s="6">
        <f>D21</f>
        <v>285206915.12</v>
      </c>
      <c r="E32" s="6">
        <f>E21</f>
        <v>346163360.99307692</v>
      </c>
      <c r="F32" s="12" t="str">
        <f>"Line "&amp;A21&amp;""</f>
        <v>Line 13</v>
      </c>
    </row>
    <row r="33" spans="1:7" ht="13">
      <c r="A33" s="2">
        <f t="shared" ref="A33:A39" si="1">A32+1</f>
        <v>18</v>
      </c>
      <c r="C33" s="245" t="s">
        <v>2376</v>
      </c>
      <c r="D33" s="7">
        <f>'1-BaseTRR'!K95</f>
        <v>5.1480302527773449E-2</v>
      </c>
      <c r="E33" s="7">
        <f>'1-BaseTRR'!K95</f>
        <v>5.1480302527773449E-2</v>
      </c>
      <c r="F33" s="12" t="str">
        <f>"1-BaseTRR, Line "&amp;'1-BaseTRR'!A95&amp;""</f>
        <v>1-BaseTRR, Line 55</v>
      </c>
    </row>
    <row r="34" spans="1:7" ht="13">
      <c r="A34" s="2">
        <f t="shared" si="1"/>
        <v>19</v>
      </c>
      <c r="C34" s="245" t="s">
        <v>283</v>
      </c>
      <c r="D34" s="7">
        <f>'1-BaseTRR'!K104</f>
        <v>0.27983599999999997</v>
      </c>
      <c r="E34" s="7">
        <f>'1-BaseTRR'!K104</f>
        <v>0.27983599999999997</v>
      </c>
      <c r="F34" s="12" t="str">
        <f>"1-BaseTRR, Line "&amp;'1-BaseTRR'!A104&amp;""</f>
        <v>1-BaseTRR, Line 59</v>
      </c>
    </row>
    <row r="35" spans="1:7" ht="13">
      <c r="A35" s="2">
        <f t="shared" si="1"/>
        <v>20</v>
      </c>
      <c r="C35" s="245" t="s">
        <v>187</v>
      </c>
      <c r="D35" s="6">
        <f>((D25*D33)*(D34/(1-D34)))</f>
        <v>5705232.1141747329</v>
      </c>
      <c r="E35" s="6">
        <f>((E25*E33)*(E34/(1-E34)))</f>
        <v>6924594.808851013</v>
      </c>
      <c r="F35" s="246" t="str">
        <f>"Formula on Line "&amp;A37&amp;""</f>
        <v>Formula on Line 22</v>
      </c>
    </row>
    <row r="36" spans="1:7" ht="13">
      <c r="A36" s="2">
        <f t="shared" si="1"/>
        <v>21</v>
      </c>
    </row>
    <row r="37" spans="1:7" ht="13">
      <c r="A37" s="2">
        <f t="shared" si="1"/>
        <v>22</v>
      </c>
      <c r="C37" s="246" t="str">
        <f>"Income Taxes = [(RB * ER) * (CTR/(1 – CTR)], or [(L"&amp;A25&amp;" * L"&amp;A33&amp;") * (L"&amp;A34&amp;" / (1 - L"&amp;A34&amp;")]"</f>
        <v>Income Taxes = [(RB * ER) * (CTR/(1 – CTR)], or [(L14 * L18) * (L19 / (1 - L19)]</v>
      </c>
      <c r="E37" s="6"/>
      <c r="F37" s="247"/>
    </row>
    <row r="38" spans="1:7" ht="13">
      <c r="A38" s="2">
        <f t="shared" si="1"/>
        <v>23</v>
      </c>
      <c r="C38" s="246" t="s">
        <v>2377</v>
      </c>
      <c r="E38" s="6"/>
      <c r="F38" s="247"/>
    </row>
    <row r="39" spans="1:7" ht="13">
      <c r="A39" s="2">
        <f t="shared" si="1"/>
        <v>24</v>
      </c>
      <c r="D39" s="246"/>
      <c r="E39" s="6"/>
      <c r="F39" s="247"/>
      <c r="G39" s="246"/>
    </row>
    <row r="40" spans="1:7" ht="13">
      <c r="C40" s="1" t="s">
        <v>2378</v>
      </c>
    </row>
    <row r="41" spans="1:7" ht="13">
      <c r="D41" s="3" t="s">
        <v>102</v>
      </c>
      <c r="E41" s="3" t="s">
        <v>651</v>
      </c>
    </row>
    <row r="42" spans="1:7" ht="13">
      <c r="A42" s="2">
        <f>A39+1</f>
        <v>25</v>
      </c>
      <c r="C42" s="245" t="s">
        <v>1271</v>
      </c>
      <c r="D42" s="6">
        <f>'15-IncentiveAdder'!G17</f>
        <v>6595.7198638087975</v>
      </c>
      <c r="E42" s="12" t="str">
        <f>"15-IncentiveAdder, Line "&amp;'15-IncentiveAdder'!A17&amp;""</f>
        <v>15-IncentiveAdder, Line 3</v>
      </c>
    </row>
    <row r="44" spans="1:7" ht="13">
      <c r="C44" s="34" t="s">
        <v>1160</v>
      </c>
    </row>
    <row r="45" spans="1:7" ht="14.5">
      <c r="D45" s="124" t="s">
        <v>1092</v>
      </c>
      <c r="E45" s="124" t="s">
        <v>798</v>
      </c>
    </row>
    <row r="46" spans="1:7" ht="13">
      <c r="D46" s="3" t="s">
        <v>79</v>
      </c>
      <c r="E46" s="3" t="s">
        <v>79</v>
      </c>
    </row>
    <row r="47" spans="1:7" ht="13">
      <c r="A47" s="2">
        <f>A42+1</f>
        <v>26</v>
      </c>
      <c r="C47" s="245" t="s">
        <v>303</v>
      </c>
      <c r="D47" s="6">
        <f>D9</f>
        <v>569300.1</v>
      </c>
      <c r="E47" s="6">
        <f>E9</f>
        <v>381025.51615384617</v>
      </c>
      <c r="F47" s="12" t="str">
        <f>"Line "&amp;A9&amp;""</f>
        <v>Line 1</v>
      </c>
    </row>
    <row r="48" spans="1:7" ht="13">
      <c r="A48" s="2">
        <f>A47+1</f>
        <v>27</v>
      </c>
      <c r="C48" s="245" t="s">
        <v>2379</v>
      </c>
      <c r="D48" s="26">
        <f>'15-IncentiveAdder'!E26</f>
        <v>1.2500000000000001E-2</v>
      </c>
      <c r="E48" s="26">
        <f>'15-IncentiveAdder'!E26</f>
        <v>1.2500000000000001E-2</v>
      </c>
      <c r="F48" s="12" t="str">
        <f>"15-IncentiveAdder, Line "&amp;'15-IncentiveAdder'!A26&amp;""</f>
        <v>15-IncentiveAdder, Line 5</v>
      </c>
    </row>
    <row r="49" spans="1:6" ht="13">
      <c r="A49" s="2">
        <f>A48+1</f>
        <v>28</v>
      </c>
      <c r="C49" s="245" t="s">
        <v>2380</v>
      </c>
      <c r="D49" s="6">
        <f>(D47/1000000)*($D$42*(D48/0.01))</f>
        <v>4693.6799725479186</v>
      </c>
      <c r="E49" s="6">
        <f>(E47/1000000)*($D$42*(E48/0.01))</f>
        <v>3141.4219568924041</v>
      </c>
      <c r="F49" s="246" t="str">
        <f>"Formula on Line "&amp;A58&amp;""</f>
        <v>Formula on Line 33</v>
      </c>
    </row>
    <row r="50" spans="1:6">
      <c r="C50" s="194"/>
    </row>
    <row r="51" spans="1:6" ht="13">
      <c r="C51" s="34" t="s">
        <v>2381</v>
      </c>
      <c r="E51" s="3"/>
      <c r="F51" s="3"/>
    </row>
    <row r="52" spans="1:6" ht="14.5">
      <c r="D52" s="124" t="s">
        <v>1092</v>
      </c>
      <c r="E52" s="124" t="s">
        <v>798</v>
      </c>
    </row>
    <row r="53" spans="1:6" ht="13">
      <c r="D53" s="3" t="s">
        <v>79</v>
      </c>
      <c r="E53" s="3" t="s">
        <v>79</v>
      </c>
    </row>
    <row r="54" spans="1:6" ht="13">
      <c r="A54" s="2">
        <f>A49+1</f>
        <v>29</v>
      </c>
      <c r="C54" s="245" t="s">
        <v>306</v>
      </c>
      <c r="D54" s="6">
        <f>D10</f>
        <v>0</v>
      </c>
      <c r="E54" s="6">
        <f>E10</f>
        <v>0</v>
      </c>
      <c r="F54" s="12" t="str">
        <f>"Line "&amp;A10&amp;""</f>
        <v>Line 2</v>
      </c>
    </row>
    <row r="55" spans="1:6" ht="13">
      <c r="A55" s="2">
        <f>A54+1</f>
        <v>30</v>
      </c>
      <c r="C55" s="245" t="s">
        <v>2379</v>
      </c>
      <c r="D55" s="26">
        <f>'15-IncentiveAdder'!E27</f>
        <v>0.01</v>
      </c>
      <c r="E55" s="26">
        <f>'15-IncentiveAdder'!E27</f>
        <v>0.01</v>
      </c>
      <c r="F55" s="12" t="str">
        <f>"15-IncentiveAdder, Line "&amp;'15-IncentiveAdder'!A27&amp;""</f>
        <v>15-IncentiveAdder, Line 6</v>
      </c>
    </row>
    <row r="56" spans="1:6" ht="13">
      <c r="A56" s="2">
        <f>A55+1</f>
        <v>31</v>
      </c>
      <c r="C56" s="245" t="s">
        <v>2380</v>
      </c>
      <c r="D56" s="6">
        <f>(D54/1000000)*($D$42*(D55/0.01))</f>
        <v>0</v>
      </c>
      <c r="E56" s="6">
        <f>(E54/1000000)*($D$42*(E55/0.01))</f>
        <v>0</v>
      </c>
      <c r="F56" s="246" t="str">
        <f>"Formula on Line "&amp;A58&amp;""</f>
        <v>Formula on Line 33</v>
      </c>
    </row>
    <row r="57" spans="1:6" ht="13">
      <c r="A57" s="2">
        <f>A56+1</f>
        <v>32</v>
      </c>
      <c r="D57" s="291"/>
      <c r="E57" s="6"/>
      <c r="F57" s="246"/>
    </row>
    <row r="58" spans="1:6" ht="13">
      <c r="A58" s="2">
        <f>A57+1</f>
        <v>33</v>
      </c>
      <c r="C58" s="291" t="s">
        <v>2382</v>
      </c>
      <c r="D58" s="6"/>
      <c r="E58" s="246"/>
    </row>
    <row r="60" spans="1:6" ht="13">
      <c r="C60" s="1" t="s">
        <v>2383</v>
      </c>
    </row>
    <row r="61" spans="1:6" ht="13">
      <c r="C61" s="1"/>
    </row>
    <row r="62" spans="1:6" ht="14.5">
      <c r="C62" s="1"/>
      <c r="E62" s="124" t="s">
        <v>366</v>
      </c>
    </row>
    <row r="63" spans="1:6" ht="14.5">
      <c r="C63" s="1"/>
      <c r="D63" s="124" t="s">
        <v>2384</v>
      </c>
      <c r="E63" s="124" t="s">
        <v>373</v>
      </c>
    </row>
    <row r="64" spans="1:6" ht="13">
      <c r="D64" s="3" t="s">
        <v>79</v>
      </c>
      <c r="E64" s="3" t="s">
        <v>79</v>
      </c>
      <c r="F64" s="3" t="s">
        <v>651</v>
      </c>
    </row>
    <row r="65" spans="1:9" ht="13">
      <c r="A65" s="2">
        <f>A58+1</f>
        <v>34</v>
      </c>
      <c r="C65" s="245" t="s">
        <v>2385</v>
      </c>
      <c r="D65" s="6">
        <f>D27</f>
        <v>19988628.397039056</v>
      </c>
      <c r="E65" s="6">
        <f>E27</f>
        <v>24260739.907548912</v>
      </c>
      <c r="F65" s="12" t="str">
        <f>"Line "&amp;A27&amp;""</f>
        <v>Line 16</v>
      </c>
    </row>
    <row r="66" spans="1:9" ht="13">
      <c r="A66" s="2">
        <f>A65+1</f>
        <v>35</v>
      </c>
      <c r="C66" s="245" t="s">
        <v>187</v>
      </c>
      <c r="D66" s="6">
        <f>D35</f>
        <v>5705232.1141747329</v>
      </c>
      <c r="E66" s="6">
        <f>E35</f>
        <v>6924594.808851013</v>
      </c>
      <c r="F66" s="12" t="str">
        <f>"Line "&amp;A35&amp;""</f>
        <v>Line 20</v>
      </c>
    </row>
    <row r="67" spans="1:9" ht="13">
      <c r="A67" s="2">
        <f>A66+1</f>
        <v>36</v>
      </c>
      <c r="C67" s="245" t="s">
        <v>2386</v>
      </c>
      <c r="D67" s="6">
        <f>D49</f>
        <v>4693.6799725479186</v>
      </c>
      <c r="E67" s="6">
        <f>E49</f>
        <v>3141.4219568924041</v>
      </c>
      <c r="F67" s="12" t="str">
        <f>"Line "&amp;A49&amp;""</f>
        <v>Line 28</v>
      </c>
    </row>
    <row r="68" spans="1:9" ht="13">
      <c r="A68" s="2">
        <f>A67+1</f>
        <v>37</v>
      </c>
      <c r="C68" s="245" t="s">
        <v>2387</v>
      </c>
      <c r="D68" s="249">
        <f>D56</f>
        <v>0</v>
      </c>
      <c r="E68" s="118">
        <f>E56</f>
        <v>0</v>
      </c>
      <c r="F68" s="12" t="str">
        <f>"Line "&amp;A56&amp;""</f>
        <v>Line 31</v>
      </c>
    </row>
    <row r="69" spans="1:9" ht="13">
      <c r="A69" s="2">
        <f t="shared" ref="A69:A70" si="2">A68+1</f>
        <v>38</v>
      </c>
      <c r="C69" s="245" t="s">
        <v>2388</v>
      </c>
      <c r="D69" s="53">
        <f>SUM(D65:D68)*('28-FFU'!D22+'28-FFU'!E22)</f>
        <v>460090.47583576257</v>
      </c>
      <c r="E69" s="53">
        <f>SUM(E65:E68)*('28-FFU'!D22)</f>
        <v>292067.03094662307</v>
      </c>
      <c r="F69" s="246" t="s">
        <v>144</v>
      </c>
    </row>
    <row r="70" spans="1:9" ht="13">
      <c r="A70" s="2">
        <f t="shared" si="2"/>
        <v>39</v>
      </c>
      <c r="C70" s="245" t="s">
        <v>409</v>
      </c>
      <c r="D70" s="6">
        <f>SUM(D65:D69)</f>
        <v>26158644.667022098</v>
      </c>
      <c r="E70" s="6">
        <f>SUM(E65:E69)</f>
        <v>31480543.16930344</v>
      </c>
      <c r="F70" s="246" t="str">
        <f>"Sum Lines "&amp;A65&amp;" to "&amp;A69&amp;""</f>
        <v>Sum Lines 34 to 38</v>
      </c>
    </row>
    <row r="71" spans="1:9" ht="13">
      <c r="A71" s="2"/>
      <c r="D71" s="245"/>
      <c r="E71" s="6"/>
      <c r="F71" s="246"/>
    </row>
    <row r="72" spans="1:9" ht="12.75" customHeight="1">
      <c r="A72" s="2"/>
      <c r="C72" s="192" t="s">
        <v>2389</v>
      </c>
      <c r="D72" s="245"/>
      <c r="E72" s="6"/>
      <c r="F72" s="246"/>
    </row>
    <row r="73" spans="1:9" ht="13">
      <c r="A73" s="2"/>
      <c r="D73" s="245"/>
      <c r="E73" s="6"/>
      <c r="F73" s="246"/>
    </row>
    <row r="74" spans="1:9" ht="12.75" customHeight="1">
      <c r="A74" s="2"/>
      <c r="C74" s="192" t="s">
        <v>2390</v>
      </c>
      <c r="D74" s="245"/>
      <c r="E74" s="6"/>
      <c r="F74" s="246"/>
    </row>
    <row r="75" spans="1:9" ht="14.5">
      <c r="A75" s="2"/>
      <c r="C75" s="192"/>
      <c r="D75" s="48" t="s">
        <v>336</v>
      </c>
      <c r="E75" s="48" t="s">
        <v>337</v>
      </c>
      <c r="F75" s="48" t="s">
        <v>338</v>
      </c>
      <c r="G75" s="48" t="s">
        <v>339</v>
      </c>
      <c r="H75" s="48" t="s">
        <v>340</v>
      </c>
    </row>
    <row r="76" spans="1:9" ht="14.5">
      <c r="A76" s="2"/>
      <c r="C76" s="192"/>
      <c r="D76" s="2" t="s">
        <v>2391</v>
      </c>
      <c r="E76" s="244" t="s">
        <v>2392</v>
      </c>
      <c r="F76" s="2"/>
      <c r="H76" s="253" t="s">
        <v>2393</v>
      </c>
    </row>
    <row r="77" spans="1:9" ht="14.5">
      <c r="A77" s="2"/>
      <c r="C77" s="3" t="s">
        <v>1074</v>
      </c>
      <c r="D77" s="3" t="s">
        <v>2394</v>
      </c>
      <c r="E77" s="211" t="s">
        <v>2395</v>
      </c>
      <c r="F77" s="3" t="s">
        <v>1277</v>
      </c>
      <c r="G77" s="3" t="s">
        <v>2396</v>
      </c>
      <c r="H77" s="3" t="s">
        <v>249</v>
      </c>
      <c r="I77" s="3" t="s">
        <v>651</v>
      </c>
    </row>
    <row r="78" spans="1:9" ht="13">
      <c r="A78" s="2">
        <f>A70+1</f>
        <v>40</v>
      </c>
      <c r="C78" s="245" t="s">
        <v>2360</v>
      </c>
      <c r="D78" s="249">
        <f t="shared" ref="D78:D88" si="3">$D$27*(D9/$D$21)</f>
        <v>39899.201393869669</v>
      </c>
      <c r="E78" s="249">
        <f t="shared" ref="E78:E87" si="4">$D$35*(D9/$D$21)</f>
        <v>11388.185352225082</v>
      </c>
      <c r="F78" s="249">
        <f>D49</f>
        <v>4693.6799725479186</v>
      </c>
      <c r="G78" s="6">
        <f>(D78+E78+F78)*('28-FFU'!$D$22+'28-FFU'!$E$22)</f>
        <v>1002.2492095375299</v>
      </c>
      <c r="H78" s="6">
        <f>SUM(D78:G78)</f>
        <v>56983.3159281802</v>
      </c>
      <c r="I78" s="246" t="s">
        <v>165</v>
      </c>
    </row>
    <row r="79" spans="1:9" ht="13">
      <c r="A79" s="2">
        <f t="shared" ref="A79:A90" si="5">A78+1</f>
        <v>41</v>
      </c>
      <c r="C79" s="245" t="s">
        <v>2361</v>
      </c>
      <c r="D79" s="249">
        <f t="shared" si="3"/>
        <v>0</v>
      </c>
      <c r="E79" s="249">
        <f t="shared" si="4"/>
        <v>0</v>
      </c>
      <c r="F79" s="249">
        <f>D56</f>
        <v>0</v>
      </c>
      <c r="G79" s="6">
        <f>(D79+E79+F79)*('28-FFU'!$D$22+'28-FFU'!$E$22)</f>
        <v>0</v>
      </c>
      <c r="H79" s="6">
        <f t="shared" ref="H79:H87" si="6">SUM(D79:G79)</f>
        <v>0</v>
      </c>
      <c r="I79" s="246" t="s">
        <v>165</v>
      </c>
    </row>
    <row r="80" spans="1:9" ht="13">
      <c r="A80" s="2">
        <f t="shared" si="5"/>
        <v>42</v>
      </c>
      <c r="C80" s="245" t="s">
        <v>2362</v>
      </c>
      <c r="D80" s="249">
        <f t="shared" si="3"/>
        <v>447921.30501149985</v>
      </c>
      <c r="E80" s="249">
        <f t="shared" si="4"/>
        <v>127847.44221635607</v>
      </c>
      <c r="F80" s="249">
        <v>0</v>
      </c>
      <c r="G80" s="6">
        <f>(D80+E80+F80)*('28-FFU'!$D$22+'28-FFU'!$E$22)</f>
        <v>10308.195352650544</v>
      </c>
      <c r="H80" s="6">
        <f t="shared" si="6"/>
        <v>586076.94258050655</v>
      </c>
      <c r="I80" s="246" t="s">
        <v>165</v>
      </c>
    </row>
    <row r="81" spans="1:9" ht="13">
      <c r="A81" s="2">
        <f t="shared" si="5"/>
        <v>43</v>
      </c>
      <c r="C81" s="245" t="s">
        <v>2363</v>
      </c>
      <c r="D81" s="249">
        <f t="shared" si="3"/>
        <v>68313.464187657024</v>
      </c>
      <c r="E81" s="249">
        <f t="shared" si="4"/>
        <v>19498.294829057893</v>
      </c>
      <c r="F81" s="249">
        <v>0</v>
      </c>
      <c r="G81" s="6">
        <f>(D81+E81+F81)*('28-FFU'!$D$22+'28-FFU'!$E$22)</f>
        <v>1572.1255635397524</v>
      </c>
      <c r="H81" s="6">
        <f t="shared" si="6"/>
        <v>89383.884580254671</v>
      </c>
      <c r="I81" s="246" t="s">
        <v>165</v>
      </c>
    </row>
    <row r="82" spans="1:9" ht="13">
      <c r="A82" s="2">
        <f t="shared" si="5"/>
        <v>44</v>
      </c>
      <c r="C82" s="245" t="s">
        <v>2364</v>
      </c>
      <c r="D82" s="249">
        <f t="shared" si="3"/>
        <v>0</v>
      </c>
      <c r="E82" s="249">
        <f t="shared" si="4"/>
        <v>0</v>
      </c>
      <c r="F82" s="249">
        <v>0</v>
      </c>
      <c r="G82" s="6">
        <f>(D82+E82+F82)*('28-FFU'!$D$22+'28-FFU'!$E$22)</f>
        <v>0</v>
      </c>
      <c r="H82" s="6">
        <f t="shared" si="6"/>
        <v>0</v>
      </c>
      <c r="I82" s="246" t="s">
        <v>165</v>
      </c>
    </row>
    <row r="83" spans="1:9" ht="13">
      <c r="A83" s="2">
        <f t="shared" si="5"/>
        <v>45</v>
      </c>
      <c r="C83" s="245" t="s">
        <v>2365</v>
      </c>
      <c r="D83" s="249">
        <f t="shared" si="3"/>
        <v>0</v>
      </c>
      <c r="E83" s="249">
        <f t="shared" si="4"/>
        <v>0</v>
      </c>
      <c r="F83" s="249">
        <v>0</v>
      </c>
      <c r="G83" s="6">
        <f>(D83+E83+F83)*('28-FFU'!$D$22+'28-FFU'!$E$22)</f>
        <v>0</v>
      </c>
      <c r="H83" s="6">
        <f t="shared" si="6"/>
        <v>0</v>
      </c>
      <c r="I83" s="246" t="s">
        <v>165</v>
      </c>
    </row>
    <row r="84" spans="1:9" ht="13">
      <c r="A84" s="2">
        <f t="shared" si="5"/>
        <v>46</v>
      </c>
      <c r="C84" s="245" t="s">
        <v>2366</v>
      </c>
      <c r="D84" s="249">
        <f t="shared" si="3"/>
        <v>0</v>
      </c>
      <c r="E84" s="249">
        <f t="shared" si="4"/>
        <v>0</v>
      </c>
      <c r="F84" s="249">
        <v>0</v>
      </c>
      <c r="G84" s="6">
        <f>(D84+E84+F84)*('28-FFU'!$D$22+'28-FFU'!$E$22)</f>
        <v>0</v>
      </c>
      <c r="H84" s="6">
        <f t="shared" si="6"/>
        <v>0</v>
      </c>
      <c r="I84" s="246" t="s">
        <v>165</v>
      </c>
    </row>
    <row r="85" spans="1:9" ht="13">
      <c r="A85" s="2">
        <f t="shared" si="5"/>
        <v>47</v>
      </c>
      <c r="C85" s="245" t="s">
        <v>2367</v>
      </c>
      <c r="D85" s="249">
        <f t="shared" si="3"/>
        <v>0</v>
      </c>
      <c r="E85" s="249">
        <f t="shared" si="4"/>
        <v>0</v>
      </c>
      <c r="F85" s="249">
        <v>0</v>
      </c>
      <c r="G85" s="6">
        <f>(D85+E85+F85)*('28-FFU'!$D$22+'28-FFU'!$E$22)</f>
        <v>0</v>
      </c>
      <c r="H85" s="6">
        <f t="shared" si="6"/>
        <v>0</v>
      </c>
      <c r="I85" s="246" t="s">
        <v>165</v>
      </c>
    </row>
    <row r="86" spans="1:9" ht="13">
      <c r="A86" s="2">
        <f t="shared" si="5"/>
        <v>48</v>
      </c>
      <c r="C86" s="245" t="s">
        <v>2368</v>
      </c>
      <c r="D86" s="249">
        <f t="shared" si="3"/>
        <v>1868465.07952404</v>
      </c>
      <c r="E86" s="249">
        <f t="shared" si="4"/>
        <v>533304.57519004575</v>
      </c>
      <c r="F86" s="249">
        <v>0</v>
      </c>
      <c r="G86" s="6">
        <f>(D86+E86+F86)*('28-FFU'!$D$22+'28-FFU'!$E$22)</f>
        <v>42999.747575849389</v>
      </c>
      <c r="H86" s="6">
        <f t="shared" si="6"/>
        <v>2444769.4022899349</v>
      </c>
      <c r="I86" s="246" t="s">
        <v>165</v>
      </c>
    </row>
    <row r="87" spans="1:9" ht="13">
      <c r="A87" s="2">
        <f t="shared" si="5"/>
        <v>49</v>
      </c>
      <c r="C87" s="245" t="s">
        <v>2369</v>
      </c>
      <c r="D87" s="249">
        <f t="shared" si="3"/>
        <v>14866563.644459937</v>
      </c>
      <c r="E87" s="249">
        <f t="shared" si="4"/>
        <v>4243272.4570716154</v>
      </c>
      <c r="F87" s="249">
        <v>0</v>
      </c>
      <c r="G87" s="6">
        <f>(D87+E87+F87)*('28-FFU'!$D$22+'28-FFU'!$E$22)</f>
        <v>342130.28171493427</v>
      </c>
      <c r="H87" s="6">
        <f t="shared" si="6"/>
        <v>19451966.383246485</v>
      </c>
      <c r="I87" s="246" t="s">
        <v>165</v>
      </c>
    </row>
    <row r="88" spans="1:9" ht="13">
      <c r="A88" s="2">
        <f t="shared" si="5"/>
        <v>50</v>
      </c>
      <c r="C88" s="245" t="s">
        <v>2370</v>
      </c>
      <c r="D88" s="249">
        <f t="shared" si="3"/>
        <v>2697465.7024620515</v>
      </c>
      <c r="E88" s="249">
        <f t="shared" ref="E88" si="7">$D$35*(D19/$D$21)</f>
        <v>769921.15951543197</v>
      </c>
      <c r="F88" s="249">
        <v>0</v>
      </c>
      <c r="G88" s="6">
        <f>(D88+E88+F88)*('28-FFU'!$D$22+'28-FFU'!$E$22)</f>
        <v>62077.876419251072</v>
      </c>
      <c r="H88" s="6">
        <f t="shared" ref="H88" si="8">SUM(D88:G88)</f>
        <v>3529464.7383967345</v>
      </c>
      <c r="I88" s="246" t="s">
        <v>165</v>
      </c>
    </row>
    <row r="89" spans="1:9" ht="13">
      <c r="A89" s="2">
        <f t="shared" si="5"/>
        <v>51</v>
      </c>
      <c r="C89" s="841"/>
      <c r="D89" s="349" t="s">
        <v>380</v>
      </c>
      <c r="E89" s="349" t="s">
        <v>380</v>
      </c>
      <c r="F89" s="349" t="s">
        <v>380</v>
      </c>
      <c r="G89" s="349" t="s">
        <v>380</v>
      </c>
      <c r="H89" s="349" t="s">
        <v>380</v>
      </c>
      <c r="I89" s="246" t="s">
        <v>165</v>
      </c>
    </row>
    <row r="90" spans="1:9" ht="13">
      <c r="A90" s="2">
        <f t="shared" si="5"/>
        <v>52</v>
      </c>
      <c r="C90" s="245" t="s">
        <v>431</v>
      </c>
      <c r="D90" s="275">
        <f>SUM(D78:D89)</f>
        <v>19988628.397039056</v>
      </c>
      <c r="E90" s="275">
        <f>SUM(E78:E89)</f>
        <v>5705232.114174732</v>
      </c>
      <c r="F90" s="275">
        <f>SUM(F78:F89)</f>
        <v>4693.6799725479186</v>
      </c>
      <c r="G90" s="275">
        <f>SUM(G78:G89)</f>
        <v>460090.47583576257</v>
      </c>
      <c r="H90" s="275">
        <f>SUM(H78:H89)</f>
        <v>26158644.667022094</v>
      </c>
      <c r="I90" s="246" t="str">
        <f>"Sum L "&amp;A78&amp;" to L "&amp;A89&amp;""</f>
        <v>Sum L 40 to L 51</v>
      </c>
    </row>
    <row r="91" spans="1:9" ht="13">
      <c r="A91" s="2"/>
      <c r="C91" s="245"/>
      <c r="D91" s="245"/>
      <c r="E91" s="6"/>
      <c r="F91" s="246"/>
    </row>
    <row r="92" spans="1:9" ht="14.5">
      <c r="A92" s="2"/>
      <c r="C92" s="192" t="s">
        <v>2397</v>
      </c>
      <c r="D92" s="245"/>
      <c r="E92" s="6"/>
      <c r="F92" s="246"/>
    </row>
    <row r="93" spans="1:9" ht="14.5">
      <c r="A93" s="2"/>
      <c r="C93" s="192"/>
      <c r="D93" s="48" t="s">
        <v>336</v>
      </c>
      <c r="E93" s="48" t="s">
        <v>337</v>
      </c>
      <c r="F93" s="48" t="s">
        <v>338</v>
      </c>
      <c r="G93" s="48" t="s">
        <v>339</v>
      </c>
      <c r="H93" s="48" t="s">
        <v>340</v>
      </c>
    </row>
    <row r="94" spans="1:9" ht="14.5">
      <c r="A94" s="2"/>
      <c r="C94" s="192"/>
      <c r="D94" s="2" t="s">
        <v>2391</v>
      </c>
      <c r="E94" s="244" t="s">
        <v>2392</v>
      </c>
      <c r="F94" s="2"/>
      <c r="H94" s="253" t="s">
        <v>2393</v>
      </c>
    </row>
    <row r="95" spans="1:9" ht="14.5">
      <c r="A95" s="2"/>
      <c r="C95" s="3" t="s">
        <v>1074</v>
      </c>
      <c r="D95" s="3" t="s">
        <v>2394</v>
      </c>
      <c r="E95" s="211" t="s">
        <v>2395</v>
      </c>
      <c r="F95" s="3" t="s">
        <v>1277</v>
      </c>
      <c r="G95" s="3" t="s">
        <v>2396</v>
      </c>
      <c r="H95" s="3" t="s">
        <v>249</v>
      </c>
      <c r="I95" s="3" t="s">
        <v>651</v>
      </c>
    </row>
    <row r="96" spans="1:9" ht="13">
      <c r="A96" s="2">
        <f>A90+1</f>
        <v>53</v>
      </c>
      <c r="C96" s="245" t="s">
        <v>2360</v>
      </c>
      <c r="D96" s="275">
        <f t="shared" ref="D96:D104" si="9">$E$27*(E9/$E$21)</f>
        <v>26704.042042545665</v>
      </c>
      <c r="E96" s="275">
        <f t="shared" ref="E96:E106" si="10">$E$35*(E9/$E$21)</f>
        <v>7621.9716137187279</v>
      </c>
      <c r="F96" s="974">
        <f>E49</f>
        <v>3141.4219568924041</v>
      </c>
      <c r="G96" s="6">
        <f>(D96+E96+F96)*('28-FFU'!$D$22+'28-FFU'!$E$22)</f>
        <v>670.7930007017768</v>
      </c>
      <c r="H96" s="505">
        <f>SUM(D96:G96)</f>
        <v>38138.22861385857</v>
      </c>
      <c r="I96" s="246" t="s">
        <v>184</v>
      </c>
    </row>
    <row r="97" spans="1:9" ht="13">
      <c r="A97" s="2">
        <f t="shared" ref="A97:A108" si="11">A96+1</f>
        <v>54</v>
      </c>
      <c r="C97" s="245" t="s">
        <v>2361</v>
      </c>
      <c r="D97" s="275">
        <f t="shared" si="9"/>
        <v>0</v>
      </c>
      <c r="E97" s="275">
        <f t="shared" si="10"/>
        <v>0</v>
      </c>
      <c r="F97" s="974">
        <f>E56</f>
        <v>0</v>
      </c>
      <c r="G97" s="6">
        <f>(D97+E97+F97)*('28-FFU'!$D$22+'28-FFU'!$E$22)</f>
        <v>0</v>
      </c>
      <c r="H97" s="505">
        <f t="shared" ref="H97:H104" si="12">SUM(D97:G97)</f>
        <v>0</v>
      </c>
      <c r="I97" s="246" t="s">
        <v>184</v>
      </c>
    </row>
    <row r="98" spans="1:9" ht="13">
      <c r="A98" s="2">
        <f t="shared" si="11"/>
        <v>55</v>
      </c>
      <c r="C98" s="245" t="s">
        <v>2362</v>
      </c>
      <c r="D98" s="275">
        <f t="shared" si="9"/>
        <v>437802.92047715996</v>
      </c>
      <c r="E98" s="275">
        <f t="shared" si="10"/>
        <v>124959.41352112872</v>
      </c>
      <c r="F98" s="974">
        <v>0</v>
      </c>
      <c r="G98" s="6">
        <f>(D98+E98+F98)*('28-FFU'!$D$22+'28-FFU'!$E$22)</f>
        <v>10075.336849904095</v>
      </c>
      <c r="H98" s="505">
        <f t="shared" si="12"/>
        <v>572837.67084819288</v>
      </c>
      <c r="I98" s="246" t="s">
        <v>184</v>
      </c>
    </row>
    <row r="99" spans="1:9" ht="13">
      <c r="A99" s="2">
        <f t="shared" si="11"/>
        <v>56</v>
      </c>
      <c r="C99" s="245" t="s">
        <v>2363</v>
      </c>
      <c r="D99" s="275">
        <f t="shared" si="9"/>
        <v>47074.633070653072</v>
      </c>
      <c r="E99" s="275">
        <f t="shared" si="10"/>
        <v>13436.22498867735</v>
      </c>
      <c r="F99" s="974">
        <v>0</v>
      </c>
      <c r="G99" s="6">
        <f>(D99+E99+F99)*('28-FFU'!$D$22+'28-FFU'!$E$22)</f>
        <v>1083.3476961632296</v>
      </c>
      <c r="H99" s="505">
        <f t="shared" si="12"/>
        <v>61594.205755493647</v>
      </c>
      <c r="I99" s="246" t="s">
        <v>184</v>
      </c>
    </row>
    <row r="100" spans="1:9" ht="13">
      <c r="A100" s="2">
        <f t="shared" si="11"/>
        <v>57</v>
      </c>
      <c r="C100" s="245" t="s">
        <v>2364</v>
      </c>
      <c r="D100" s="275">
        <f t="shared" si="9"/>
        <v>0</v>
      </c>
      <c r="E100" s="275">
        <f t="shared" si="10"/>
        <v>0</v>
      </c>
      <c r="F100" s="974">
        <v>0</v>
      </c>
      <c r="G100" s="6">
        <f>(D100+E100+F100)*('28-FFU'!$D$22+'28-FFU'!$E$22)</f>
        <v>0</v>
      </c>
      <c r="H100" s="505">
        <f t="shared" si="12"/>
        <v>0</v>
      </c>
      <c r="I100" s="246" t="s">
        <v>184</v>
      </c>
    </row>
    <row r="101" spans="1:9" ht="13">
      <c r="A101" s="2">
        <f t="shared" si="11"/>
        <v>58</v>
      </c>
      <c r="C101" s="245" t="s">
        <v>2365</v>
      </c>
      <c r="D101" s="275">
        <f t="shared" si="9"/>
        <v>0</v>
      </c>
      <c r="E101" s="275">
        <f t="shared" si="10"/>
        <v>0</v>
      </c>
      <c r="F101" s="974">
        <v>0</v>
      </c>
      <c r="G101" s="6">
        <f>(D101+E101+F101)*('28-FFU'!$D$22+'28-FFU'!$E$22)</f>
        <v>0</v>
      </c>
      <c r="H101" s="505">
        <f t="shared" si="12"/>
        <v>0</v>
      </c>
      <c r="I101" s="246" t="s">
        <v>184</v>
      </c>
    </row>
    <row r="102" spans="1:9" ht="13">
      <c r="A102" s="2">
        <f t="shared" si="11"/>
        <v>59</v>
      </c>
      <c r="C102" s="245" t="s">
        <v>2366</v>
      </c>
      <c r="D102" s="275">
        <f t="shared" si="9"/>
        <v>0</v>
      </c>
      <c r="E102" s="275">
        <f t="shared" si="10"/>
        <v>0</v>
      </c>
      <c r="F102" s="974">
        <v>0</v>
      </c>
      <c r="G102" s="6">
        <f>(D102+E102+F102)*('28-FFU'!$D$22+'28-FFU'!$E$22)</f>
        <v>0</v>
      </c>
      <c r="H102" s="505">
        <f t="shared" si="12"/>
        <v>0</v>
      </c>
      <c r="I102" s="246" t="s">
        <v>184</v>
      </c>
    </row>
    <row r="103" spans="1:9" ht="13">
      <c r="A103" s="2">
        <f t="shared" si="11"/>
        <v>60</v>
      </c>
      <c r="C103" s="245" t="s">
        <v>2367</v>
      </c>
      <c r="D103" s="275">
        <f t="shared" si="9"/>
        <v>5662194.1147922669</v>
      </c>
      <c r="E103" s="275">
        <f t="shared" si="10"/>
        <v>1616125.4818859543</v>
      </c>
      <c r="F103" s="974">
        <v>0</v>
      </c>
      <c r="G103" s="6">
        <f>(D103+E103+F103)*('28-FFU'!$D$22+'28-FFU'!$E$22)</f>
        <v>130306.37839030319</v>
      </c>
      <c r="H103" s="505">
        <f t="shared" si="12"/>
        <v>7408625.9750685245</v>
      </c>
      <c r="I103" s="246" t="s">
        <v>184</v>
      </c>
    </row>
    <row r="104" spans="1:9" ht="13">
      <c r="A104" s="2">
        <f t="shared" si="11"/>
        <v>61</v>
      </c>
      <c r="C104" s="245" t="s">
        <v>2368</v>
      </c>
      <c r="D104" s="275">
        <f t="shared" si="9"/>
        <v>1808196.3120092831</v>
      </c>
      <c r="E104" s="275">
        <f t="shared" si="10"/>
        <v>516102.42899586982</v>
      </c>
      <c r="F104" s="974">
        <v>0</v>
      </c>
      <c r="G104" s="6">
        <f>(D104+E104+F104)*('28-FFU'!$D$22+'28-FFU'!$E$22)</f>
        <v>41612.757892048481</v>
      </c>
      <c r="H104" s="505">
        <f t="shared" si="12"/>
        <v>2365911.4988972014</v>
      </c>
      <c r="I104" s="246" t="s">
        <v>184</v>
      </c>
    </row>
    <row r="105" spans="1:9" ht="13">
      <c r="A105" s="2">
        <f t="shared" si="11"/>
        <v>62</v>
      </c>
      <c r="C105" s="245" t="s">
        <v>2369</v>
      </c>
      <c r="D105" s="275">
        <f t="shared" ref="D105" si="13">$E$27*(E18/$E$21)</f>
        <v>14009133.028119387</v>
      </c>
      <c r="E105" s="275">
        <f t="shared" si="10"/>
        <v>3998541.2733778222</v>
      </c>
      <c r="F105" s="974">
        <v>0</v>
      </c>
      <c r="G105" s="6">
        <f>(D105+E105+F105)*('28-FFU'!$D$22+'28-FFU'!$E$22)</f>
        <v>322397.88185876975</v>
      </c>
      <c r="H105" s="505">
        <f t="shared" ref="H105" si="14">SUM(D105:G105)</f>
        <v>18330072.18335598</v>
      </c>
      <c r="I105" s="246" t="s">
        <v>184</v>
      </c>
    </row>
    <row r="106" spans="1:9" ht="13">
      <c r="A106" s="2">
        <f t="shared" si="11"/>
        <v>63</v>
      </c>
      <c r="C106" s="245" t="s">
        <v>2370</v>
      </c>
      <c r="D106" s="275">
        <f>$E$27*(E19/$E$21)</f>
        <v>2269634.8570376183</v>
      </c>
      <c r="E106" s="275">
        <f t="shared" si="10"/>
        <v>647808.01446784218</v>
      </c>
      <c r="F106" s="974">
        <v>0</v>
      </c>
      <c r="G106" s="6">
        <f>(D106+E106+F106)*('28-FFU'!$D$22+'28-FFU'!$E$22)</f>
        <v>52232.030992426669</v>
      </c>
      <c r="H106" s="505">
        <f t="shared" ref="H106" si="15">SUM(D106:G106)</f>
        <v>2969674.9024978871</v>
      </c>
      <c r="I106" s="246" t="s">
        <v>184</v>
      </c>
    </row>
    <row r="107" spans="1:9" ht="13">
      <c r="A107" s="2">
        <f t="shared" si="11"/>
        <v>64</v>
      </c>
      <c r="C107" s="841"/>
      <c r="D107" s="349" t="s">
        <v>380</v>
      </c>
      <c r="E107" s="349" t="s">
        <v>380</v>
      </c>
      <c r="F107" s="349" t="s">
        <v>380</v>
      </c>
      <c r="G107" s="349" t="s">
        <v>380</v>
      </c>
      <c r="H107" s="349" t="s">
        <v>380</v>
      </c>
      <c r="I107" s="246" t="s">
        <v>184</v>
      </c>
    </row>
    <row r="108" spans="1:9" ht="13">
      <c r="A108" s="2">
        <f t="shared" si="11"/>
        <v>65</v>
      </c>
      <c r="C108" s="245" t="s">
        <v>431</v>
      </c>
      <c r="D108" s="6">
        <f>SUM(D96:D107)</f>
        <v>24260739.907548916</v>
      </c>
      <c r="E108" s="6">
        <f>SUM(E96:E107)</f>
        <v>6924594.8088510139</v>
      </c>
      <c r="F108" s="6">
        <f>SUM(F96:F107)</f>
        <v>3141.4219568924041</v>
      </c>
      <c r="G108" s="275">
        <f>SUM(G96:G107)</f>
        <v>558378.52668031713</v>
      </c>
      <c r="H108" s="6">
        <f>SUM(H96:H107)</f>
        <v>31746854.66503714</v>
      </c>
      <c r="I108" s="246" t="str">
        <f>"Sum of L "&amp;A96&amp;" to "&amp;A107&amp;""</f>
        <v>Sum of L 53 to 64</v>
      </c>
    </row>
    <row r="109" spans="1:9">
      <c r="C109" s="245"/>
    </row>
    <row r="110" spans="1:9" ht="13">
      <c r="B110" s="1" t="s">
        <v>2398</v>
      </c>
    </row>
    <row r="111" spans="1:9" ht="13">
      <c r="B111" s="1"/>
    </row>
    <row r="112" spans="1:9" ht="14.5">
      <c r="B112" s="1"/>
      <c r="C112" s="192" t="s">
        <v>2399</v>
      </c>
    </row>
    <row r="113" spans="1:6" ht="13">
      <c r="E113" s="3" t="s">
        <v>102</v>
      </c>
      <c r="F113" s="3" t="s">
        <v>651</v>
      </c>
    </row>
    <row r="114" spans="1:6" ht="13">
      <c r="A114" s="2">
        <f>A108+1</f>
        <v>66</v>
      </c>
      <c r="D114" s="245" t="s">
        <v>321</v>
      </c>
      <c r="E114" s="6">
        <f>F21</f>
        <v>-206740557.59515753</v>
      </c>
      <c r="F114" s="12" t="str">
        <f>"Line "&amp;A21&amp;", Col 3"</f>
        <v>Line 13, Col 3</v>
      </c>
    </row>
    <row r="115" spans="1:6" ht="13">
      <c r="A115" s="2">
        <f>A114+1</f>
        <v>67</v>
      </c>
      <c r="D115" s="245" t="s">
        <v>299</v>
      </c>
      <c r="E115" s="196">
        <f>'2-IFPTRR'!D25</f>
        <v>9.0088490667917964E-2</v>
      </c>
      <c r="F115" s="246" t="str">
        <f>"2-IFPTRR, Line "&amp;'2-IFPTRR'!A25&amp;""</f>
        <v>2-IFPTRR, Line 16</v>
      </c>
    </row>
    <row r="116" spans="1:6" ht="13">
      <c r="A116" s="2">
        <f>A115+1</f>
        <v>68</v>
      </c>
      <c r="D116" s="245" t="s">
        <v>2400</v>
      </c>
      <c r="E116" s="6">
        <f>E114*E115</f>
        <v>-18624944.793591507</v>
      </c>
      <c r="F116" s="12" t="str">
        <f>"Line "&amp;A114&amp;" * Line "&amp;A115&amp;""</f>
        <v>Line 66 * Line 67</v>
      </c>
    </row>
    <row r="117" spans="1:6" ht="13">
      <c r="A117" s="2">
        <f>A116+1</f>
        <v>69</v>
      </c>
      <c r="D117" s="245" t="s">
        <v>2388</v>
      </c>
      <c r="E117" s="53">
        <f>E116*('28-FFU'!D22+'28-FFU'!E22)</f>
        <v>-333449.09790439624</v>
      </c>
      <c r="F117" s="246" t="str">
        <f>"Line "&amp;A116&amp;" * (28-FFU, L"&amp;'28-FFU'!A22&amp;" FF Factor + U Factor)"</f>
        <v>Line 68 * (28-FFU, L5 FF Factor + U Factor)</v>
      </c>
    </row>
    <row r="118" spans="1:6" ht="13">
      <c r="A118" s="2">
        <f>A117+1</f>
        <v>70</v>
      </c>
      <c r="D118" s="245" t="s">
        <v>2401</v>
      </c>
      <c r="E118" s="6">
        <f>SUM(E116:E117)</f>
        <v>-18958393.891495902</v>
      </c>
      <c r="F118" s="12" t="str">
        <f>"Line "&amp;A116&amp;" + Line "&amp;A117&amp;""</f>
        <v>Line 68 + Line 69</v>
      </c>
    </row>
    <row r="119" spans="1:6" ht="13">
      <c r="A119" s="2"/>
      <c r="D119" s="245"/>
      <c r="E119" s="6"/>
    </row>
    <row r="120" spans="1:6" ht="14.5">
      <c r="A120" s="2"/>
      <c r="C120" s="192" t="s">
        <v>2402</v>
      </c>
      <c r="D120" s="245"/>
      <c r="E120" s="6"/>
      <c r="F120" s="12"/>
    </row>
    <row r="121" spans="1:6" ht="13">
      <c r="A121" s="2"/>
      <c r="D121" s="2" t="s">
        <v>79</v>
      </c>
      <c r="E121" s="2" t="s">
        <v>79</v>
      </c>
    </row>
    <row r="122" spans="1:6" ht="13">
      <c r="A122" s="2"/>
      <c r="C122" s="3" t="s">
        <v>1074</v>
      </c>
      <c r="D122" s="3" t="s">
        <v>2403</v>
      </c>
      <c r="E122" s="3" t="s">
        <v>2404</v>
      </c>
      <c r="F122" s="3" t="s">
        <v>651</v>
      </c>
    </row>
    <row r="123" spans="1:6" ht="13">
      <c r="A123" s="2">
        <f>A118+1</f>
        <v>71</v>
      </c>
      <c r="C123" s="245" t="s">
        <v>2360</v>
      </c>
      <c r="D123" s="275">
        <f t="shared" ref="D123:D131" si="16">$E$116*(F9/$F$21)</f>
        <v>-51287.386746094744</v>
      </c>
      <c r="E123" s="275">
        <f t="shared" ref="E123:E131" si="17">$E$118*(F9/$F$21)</f>
        <v>-52205.603311775172</v>
      </c>
      <c r="F123" s="246" t="s">
        <v>222</v>
      </c>
    </row>
    <row r="124" spans="1:6" ht="13">
      <c r="A124" s="2">
        <f t="shared" ref="A124:A135" si="18">A123+1</f>
        <v>72</v>
      </c>
      <c r="C124" s="245" t="s">
        <v>2361</v>
      </c>
      <c r="D124" s="275">
        <f t="shared" si="16"/>
        <v>0</v>
      </c>
      <c r="E124" s="275">
        <f t="shared" si="17"/>
        <v>0</v>
      </c>
      <c r="F124" s="246" t="s">
        <v>222</v>
      </c>
    </row>
    <row r="125" spans="1:6" ht="13">
      <c r="A125" s="2">
        <f t="shared" si="18"/>
        <v>73</v>
      </c>
      <c r="C125" s="245" t="s">
        <v>2362</v>
      </c>
      <c r="D125" s="275">
        <f t="shared" si="16"/>
        <v>206578.10651445904</v>
      </c>
      <c r="E125" s="275">
        <f t="shared" si="17"/>
        <v>210276.54879321123</v>
      </c>
      <c r="F125" s="246" t="s">
        <v>222</v>
      </c>
    </row>
    <row r="126" spans="1:6" ht="13">
      <c r="A126" s="2">
        <f t="shared" si="18"/>
        <v>74</v>
      </c>
      <c r="C126" s="245" t="s">
        <v>2363</v>
      </c>
      <c r="D126" s="275">
        <f t="shared" si="16"/>
        <v>-87811.759016714917</v>
      </c>
      <c r="E126" s="275">
        <f t="shared" si="17"/>
        <v>-89383.884580254671</v>
      </c>
      <c r="F126" s="246" t="s">
        <v>222</v>
      </c>
    </row>
    <row r="127" spans="1:6" ht="13">
      <c r="A127" s="2">
        <f t="shared" si="18"/>
        <v>75</v>
      </c>
      <c r="C127" s="245" t="s">
        <v>2364</v>
      </c>
      <c r="D127" s="275">
        <f t="shared" si="16"/>
        <v>0</v>
      </c>
      <c r="E127" s="275">
        <f t="shared" si="17"/>
        <v>0</v>
      </c>
      <c r="F127" s="246" t="s">
        <v>222</v>
      </c>
    </row>
    <row r="128" spans="1:6" ht="13">
      <c r="A128" s="2">
        <f t="shared" si="18"/>
        <v>76</v>
      </c>
      <c r="C128" s="245" t="s">
        <v>2365</v>
      </c>
      <c r="D128" s="275">
        <f t="shared" si="16"/>
        <v>0</v>
      </c>
      <c r="E128" s="275">
        <f t="shared" si="17"/>
        <v>0</v>
      </c>
      <c r="F128" s="246" t="s">
        <v>222</v>
      </c>
    </row>
    <row r="129" spans="1:8" ht="13">
      <c r="A129" s="2">
        <f t="shared" si="18"/>
        <v>77</v>
      </c>
      <c r="C129" s="245" t="s">
        <v>2366</v>
      </c>
      <c r="D129" s="275">
        <f t="shared" si="16"/>
        <v>0</v>
      </c>
      <c r="E129" s="275">
        <f t="shared" si="17"/>
        <v>0</v>
      </c>
      <c r="F129" s="246" t="s">
        <v>222</v>
      </c>
    </row>
    <row r="130" spans="1:8" ht="13">
      <c r="A130" s="2">
        <f t="shared" si="18"/>
        <v>78</v>
      </c>
      <c r="C130" s="245" t="s">
        <v>2367</v>
      </c>
      <c r="D130" s="275">
        <f t="shared" si="16"/>
        <v>0</v>
      </c>
      <c r="E130" s="275">
        <f t="shared" si="17"/>
        <v>0</v>
      </c>
      <c r="F130" s="246" t="s">
        <v>222</v>
      </c>
    </row>
    <row r="131" spans="1:8" ht="13">
      <c r="A131" s="2">
        <f t="shared" si="18"/>
        <v>79</v>
      </c>
      <c r="C131" s="245" t="s">
        <v>2368</v>
      </c>
      <c r="D131" s="275">
        <f t="shared" si="16"/>
        <v>153255.47731557969</v>
      </c>
      <c r="E131" s="275">
        <f t="shared" si="17"/>
        <v>155999.26534964523</v>
      </c>
      <c r="F131" s="246" t="s">
        <v>222</v>
      </c>
    </row>
    <row r="132" spans="1:8" ht="13">
      <c r="A132" s="2">
        <f t="shared" si="18"/>
        <v>80</v>
      </c>
      <c r="C132" s="245" t="s">
        <v>2369</v>
      </c>
      <c r="D132" s="275">
        <f t="shared" ref="D132" si="19">$E$116*(F18/$F$21)</f>
        <v>-18976109.18422994</v>
      </c>
      <c r="E132" s="275">
        <f t="shared" ref="E132" si="20">$E$118*(F18/$F$21)</f>
        <v>-19315845.30475761</v>
      </c>
      <c r="F132" s="246" t="s">
        <v>222</v>
      </c>
    </row>
    <row r="133" spans="1:8" ht="13">
      <c r="A133" s="2">
        <f t="shared" si="18"/>
        <v>81</v>
      </c>
      <c r="C133" s="245" t="s">
        <v>2370</v>
      </c>
      <c r="D133" s="275">
        <f t="shared" ref="D133" si="21">$E$116*(F19/$F$21)</f>
        <v>130429.95257120473</v>
      </c>
      <c r="E133" s="275">
        <f t="shared" ref="E133" si="22">$E$118*(F19/$F$21)</f>
        <v>132765.08701088082</v>
      </c>
      <c r="F133" s="246" t="s">
        <v>222</v>
      </c>
    </row>
    <row r="134" spans="1:8" ht="13">
      <c r="A134" s="2">
        <f t="shared" si="18"/>
        <v>82</v>
      </c>
      <c r="C134" s="841"/>
      <c r="D134" s="1077" t="s">
        <v>380</v>
      </c>
      <c r="E134" s="1077" t="s">
        <v>380</v>
      </c>
      <c r="F134" s="246" t="s">
        <v>222</v>
      </c>
    </row>
    <row r="135" spans="1:8" ht="13">
      <c r="A135" s="2">
        <f t="shared" si="18"/>
        <v>83</v>
      </c>
      <c r="C135" s="245" t="s">
        <v>431</v>
      </c>
      <c r="D135" s="6">
        <f>SUM(D123:D134)</f>
        <v>-18624944.793591507</v>
      </c>
      <c r="E135" s="6">
        <f>SUM(E123:E134)</f>
        <v>-18958393.891495906</v>
      </c>
      <c r="F135" s="246" t="str">
        <f>"Sum of Lines "&amp;A123&amp;" to "&amp;A134&amp;""</f>
        <v>Sum of Lines 71 to 82</v>
      </c>
    </row>
    <row r="137" spans="1:8" ht="13">
      <c r="B137" s="1" t="s">
        <v>2405</v>
      </c>
    </row>
    <row r="138" spans="1:8" ht="13">
      <c r="B138" s="1"/>
    </row>
    <row r="139" spans="1:8" ht="14.5">
      <c r="C139" s="192" t="s">
        <v>2399</v>
      </c>
    </row>
    <row r="140" spans="1:8" ht="13">
      <c r="E140" s="3" t="s">
        <v>102</v>
      </c>
      <c r="F140" s="3" t="s">
        <v>651</v>
      </c>
      <c r="H140" s="1"/>
    </row>
    <row r="141" spans="1:8" ht="13">
      <c r="A141" s="2">
        <f>A135+1</f>
        <v>84</v>
      </c>
      <c r="D141" s="245" t="s">
        <v>2406</v>
      </c>
      <c r="E141" s="6">
        <f>SUM(D65:D68)</f>
        <v>25698554.191186335</v>
      </c>
      <c r="F141" s="12" t="str">
        <f>"Sum Line "&amp;A65&amp;" to "&amp;A68&amp;""</f>
        <v>Sum Line 34 to 37</v>
      </c>
    </row>
    <row r="142" spans="1:8" ht="13">
      <c r="A142" s="2">
        <f t="shared" ref="A142:A149" si="23">A141+1</f>
        <v>85</v>
      </c>
      <c r="D142" s="245" t="s">
        <v>2407</v>
      </c>
      <c r="E142" s="6">
        <f>E116</f>
        <v>-18624944.793591507</v>
      </c>
      <c r="F142" s="12" t="str">
        <f>"Line "&amp;A116&amp;""</f>
        <v>Line 68</v>
      </c>
    </row>
    <row r="143" spans="1:8" ht="13">
      <c r="A143" s="2">
        <f t="shared" si="23"/>
        <v>86</v>
      </c>
      <c r="D143" s="245" t="s">
        <v>2408</v>
      </c>
      <c r="E143" s="6">
        <f>SUM(E141:E142)</f>
        <v>7073609.3975948282</v>
      </c>
      <c r="F143" s="12" t="str">
        <f>"Line "&amp;A141&amp;" + Line "&amp;A142&amp;""</f>
        <v>Line 84 + Line 85</v>
      </c>
    </row>
    <row r="144" spans="1:8" ht="13">
      <c r="A144" s="2">
        <f t="shared" si="23"/>
        <v>87</v>
      </c>
      <c r="D144" s="245" t="s">
        <v>2409</v>
      </c>
      <c r="E144" s="7">
        <f>'28-FFU'!D22</f>
        <v>9.3645816374923023E-3</v>
      </c>
      <c r="F144" s="246" t="str">
        <f>"28-FFU, Line "&amp;'28-FFU'!A22&amp;""</f>
        <v>28-FFU, Line 5</v>
      </c>
    </row>
    <row r="145" spans="1:8" ht="13">
      <c r="A145" s="2">
        <f t="shared" si="23"/>
        <v>88</v>
      </c>
      <c r="D145" s="245" t="s">
        <v>2410</v>
      </c>
      <c r="E145" s="7">
        <f>'28-FFU'!E22</f>
        <v>8.5387786999369854E-3</v>
      </c>
      <c r="F145" s="246" t="str">
        <f>"28-FFU, Line "&amp;'28-FFU'!A22&amp;""</f>
        <v>28-FFU, Line 5</v>
      </c>
    </row>
    <row r="146" spans="1:8" ht="13">
      <c r="A146" s="2">
        <f t="shared" si="23"/>
        <v>89</v>
      </c>
      <c r="D146" s="245" t="s">
        <v>2411</v>
      </c>
      <c r="E146" s="6">
        <f>E143*E144</f>
        <v>66241.392675509516</v>
      </c>
      <c r="F146" s="12" t="str">
        <f>"Line "&amp;A143&amp;" * Line "&amp;A144&amp;""</f>
        <v>Line 86 * Line 87</v>
      </c>
    </row>
    <row r="147" spans="1:8" ht="13">
      <c r="A147" s="2">
        <f t="shared" si="23"/>
        <v>90</v>
      </c>
      <c r="D147" s="245" t="s">
        <v>2412</v>
      </c>
      <c r="E147" s="6">
        <f>E143*E145</f>
        <v>60399.985255856809</v>
      </c>
      <c r="F147" s="12" t="str">
        <f>"Line "&amp;A143&amp;" * Line "&amp;A145&amp;""</f>
        <v>Line 86 * Line 88</v>
      </c>
    </row>
    <row r="148" spans="1:8" ht="13">
      <c r="A148" s="2">
        <f t="shared" si="23"/>
        <v>91</v>
      </c>
      <c r="D148" s="245" t="s">
        <v>2413</v>
      </c>
      <c r="E148" s="6">
        <f>E143+E146+E147</f>
        <v>7200250.7755261948</v>
      </c>
      <c r="F148" s="246" t="str">
        <f>"Line "&amp;A143&amp;" + Line "&amp;A146&amp;" + Line "&amp;A147&amp;""</f>
        <v>Line 86 + Line 89 + Line 90</v>
      </c>
    </row>
    <row r="149" spans="1:8" ht="13">
      <c r="A149" s="2">
        <f t="shared" si="23"/>
        <v>92</v>
      </c>
      <c r="D149" s="245" t="s">
        <v>2414</v>
      </c>
      <c r="E149" s="6">
        <f>E143+E146</f>
        <v>7139850.7902703378</v>
      </c>
      <c r="F149" s="246" t="str">
        <f>"Line "&amp;A143&amp;" + Line "&amp;A146&amp;""</f>
        <v>Line 86 + Line 89</v>
      </c>
    </row>
    <row r="151" spans="1:8" ht="14.5">
      <c r="C151" s="192" t="s">
        <v>2415</v>
      </c>
    </row>
    <row r="152" spans="1:8" ht="14.5">
      <c r="C152" s="192"/>
      <c r="D152" s="48" t="s">
        <v>336</v>
      </c>
      <c r="E152" s="48" t="s">
        <v>337</v>
      </c>
      <c r="F152" s="48" t="s">
        <v>338</v>
      </c>
      <c r="G152" s="48" t="s">
        <v>339</v>
      </c>
    </row>
    <row r="153" spans="1:8" ht="12.75" customHeight="1">
      <c r="D153" s="124" t="s">
        <v>2384</v>
      </c>
      <c r="E153" s="124" t="s">
        <v>8</v>
      </c>
    </row>
    <row r="154" spans="1:8" ht="12.75" customHeight="1">
      <c r="D154" s="3" t="s">
        <v>2403</v>
      </c>
      <c r="E154" s="3" t="s">
        <v>2403</v>
      </c>
      <c r="F154" s="3" t="s">
        <v>2396</v>
      </c>
      <c r="G154" s="125" t="s">
        <v>249</v>
      </c>
      <c r="H154" s="3" t="s">
        <v>651</v>
      </c>
    </row>
    <row r="155" spans="1:8" ht="13">
      <c r="A155" s="2">
        <f>A149+1</f>
        <v>93</v>
      </c>
      <c r="C155" s="245" t="s">
        <v>2360</v>
      </c>
      <c r="D155" s="6">
        <f t="shared" ref="D155:D163" si="24">D78+E78+F78</f>
        <v>55981.066718642673</v>
      </c>
      <c r="E155" s="6">
        <f t="shared" ref="E155:E163" si="25">D123</f>
        <v>-51287.386746094744</v>
      </c>
      <c r="F155" s="6">
        <f>(D155+E155)*('28-FFU'!$D$22+'28-FFU'!$E$22)</f>
        <v>84.032643857100766</v>
      </c>
      <c r="G155" s="6">
        <f>SUM(D155:F155)</f>
        <v>4777.7126164050296</v>
      </c>
      <c r="H155" s="246" t="s">
        <v>213</v>
      </c>
    </row>
    <row r="156" spans="1:8" ht="13">
      <c r="A156" s="2">
        <f t="shared" ref="A156:A167" si="26">A155+1</f>
        <v>94</v>
      </c>
      <c r="C156" s="245" t="s">
        <v>2361</v>
      </c>
      <c r="D156" s="6">
        <f t="shared" si="24"/>
        <v>0</v>
      </c>
      <c r="E156" s="6">
        <f t="shared" si="25"/>
        <v>0</v>
      </c>
      <c r="F156" s="6">
        <f>(D156+E156)*('28-FFU'!$D$22+'28-FFU'!$E$22)</f>
        <v>0</v>
      </c>
      <c r="G156" s="6">
        <f t="shared" ref="G156:G163" si="27">SUM(D156:F156)</f>
        <v>0</v>
      </c>
      <c r="H156" s="246" t="s">
        <v>213</v>
      </c>
    </row>
    <row r="157" spans="1:8" ht="13">
      <c r="A157" s="2">
        <f t="shared" si="26"/>
        <v>95</v>
      </c>
      <c r="C157" s="245" t="s">
        <v>2362</v>
      </c>
      <c r="D157" s="6">
        <f t="shared" si="24"/>
        <v>575768.74722785596</v>
      </c>
      <c r="E157" s="6">
        <f t="shared" si="25"/>
        <v>206578.10651445904</v>
      </c>
      <c r="F157" s="6">
        <f>(D157+E157)*('28-FFU'!$D$22+'28-FFU'!$E$22)</f>
        <v>14006.637631402753</v>
      </c>
      <c r="G157" s="6">
        <f t="shared" si="27"/>
        <v>796353.49137371767</v>
      </c>
      <c r="H157" s="246" t="s">
        <v>213</v>
      </c>
    </row>
    <row r="158" spans="1:8" ht="13">
      <c r="A158" s="2">
        <f t="shared" si="26"/>
        <v>96</v>
      </c>
      <c r="C158" s="245" t="s">
        <v>2363</v>
      </c>
      <c r="D158" s="6">
        <f t="shared" si="24"/>
        <v>87811.759016714917</v>
      </c>
      <c r="E158" s="6">
        <f t="shared" si="25"/>
        <v>-87811.759016714917</v>
      </c>
      <c r="F158" s="6">
        <f>(D158+E158)*('28-FFU'!$D$22+'28-FFU'!$E$22)</f>
        <v>0</v>
      </c>
      <c r="G158" s="6">
        <f t="shared" si="27"/>
        <v>0</v>
      </c>
      <c r="H158" s="246" t="s">
        <v>213</v>
      </c>
    </row>
    <row r="159" spans="1:8" ht="13">
      <c r="A159" s="2">
        <f t="shared" si="26"/>
        <v>97</v>
      </c>
      <c r="C159" s="245" t="s">
        <v>2364</v>
      </c>
      <c r="D159" s="6">
        <f t="shared" si="24"/>
        <v>0</v>
      </c>
      <c r="E159" s="6">
        <f t="shared" si="25"/>
        <v>0</v>
      </c>
      <c r="F159" s="6">
        <f>(D159+E159)*('28-FFU'!$D$22+'28-FFU'!$E$22)</f>
        <v>0</v>
      </c>
      <c r="G159" s="6">
        <f t="shared" si="27"/>
        <v>0</v>
      </c>
      <c r="H159" s="246" t="s">
        <v>213</v>
      </c>
    </row>
    <row r="160" spans="1:8" ht="13">
      <c r="A160" s="2">
        <f t="shared" si="26"/>
        <v>98</v>
      </c>
      <c r="C160" s="245" t="s">
        <v>2365</v>
      </c>
      <c r="D160" s="6">
        <f t="shared" si="24"/>
        <v>0</v>
      </c>
      <c r="E160" s="6">
        <f t="shared" si="25"/>
        <v>0</v>
      </c>
      <c r="F160" s="6">
        <f>(D160+E160)*('28-FFU'!$D$22+'28-FFU'!$E$22)</f>
        <v>0</v>
      </c>
      <c r="G160" s="6">
        <f t="shared" si="27"/>
        <v>0</v>
      </c>
      <c r="H160" s="246" t="s">
        <v>213</v>
      </c>
    </row>
    <row r="161" spans="1:8" ht="13">
      <c r="A161" s="2">
        <f t="shared" si="26"/>
        <v>99</v>
      </c>
      <c r="C161" s="245" t="s">
        <v>2366</v>
      </c>
      <c r="D161" s="6">
        <f t="shared" si="24"/>
        <v>0</v>
      </c>
      <c r="E161" s="6">
        <f t="shared" si="25"/>
        <v>0</v>
      </c>
      <c r="F161" s="6">
        <f>(D161+E161)*('28-FFU'!$D$22+'28-FFU'!$E$22)</f>
        <v>0</v>
      </c>
      <c r="G161" s="6">
        <f t="shared" si="27"/>
        <v>0</v>
      </c>
      <c r="H161" s="246" t="s">
        <v>213</v>
      </c>
    </row>
    <row r="162" spans="1:8" ht="13">
      <c r="A162" s="2">
        <f t="shared" si="26"/>
        <v>100</v>
      </c>
      <c r="C162" s="245" t="s">
        <v>2367</v>
      </c>
      <c r="D162" s="6">
        <f t="shared" si="24"/>
        <v>0</v>
      </c>
      <c r="E162" s="6">
        <f t="shared" si="25"/>
        <v>0</v>
      </c>
      <c r="F162" s="6">
        <f>(D162+E162)*('28-FFU'!$D$22+'28-FFU'!$E$22)</f>
        <v>0</v>
      </c>
      <c r="G162" s="6">
        <f t="shared" si="27"/>
        <v>0</v>
      </c>
      <c r="H162" s="246" t="s">
        <v>213</v>
      </c>
    </row>
    <row r="163" spans="1:8" ht="13">
      <c r="A163" s="2">
        <f t="shared" si="26"/>
        <v>101</v>
      </c>
      <c r="C163" s="245" t="s">
        <v>2368</v>
      </c>
      <c r="D163" s="6">
        <f t="shared" si="24"/>
        <v>2401769.6547140856</v>
      </c>
      <c r="E163" s="6">
        <f t="shared" si="25"/>
        <v>153255.47731557969</v>
      </c>
      <c r="F163" s="6">
        <f>(D163+E163)*('28-FFU'!$D$22+'28-FFU'!$E$22)</f>
        <v>45743.535609914936</v>
      </c>
      <c r="G163" s="6">
        <f t="shared" si="27"/>
        <v>2600768.6676395801</v>
      </c>
      <c r="H163" s="246" t="s">
        <v>213</v>
      </c>
    </row>
    <row r="164" spans="1:8" ht="13">
      <c r="A164" s="2">
        <f t="shared" si="26"/>
        <v>102</v>
      </c>
      <c r="C164" s="245" t="s">
        <v>2369</v>
      </c>
      <c r="D164" s="6">
        <f t="shared" ref="D164:D165" si="28">D87+E87+F87</f>
        <v>19109836.10153155</v>
      </c>
      <c r="E164" s="6">
        <f t="shared" ref="E164" si="29">D132</f>
        <v>-18976109.18422994</v>
      </c>
      <c r="F164" s="6">
        <f>(D164+E164)*('28-FFU'!$D$22+'28-FFU'!$E$22)</f>
        <v>2394.1611872643325</v>
      </c>
      <c r="G164" s="6">
        <f t="shared" ref="G164" si="30">SUM(D164:F164)</f>
        <v>136121.07848887445</v>
      </c>
      <c r="H164" s="246" t="s">
        <v>213</v>
      </c>
    </row>
    <row r="165" spans="1:8" ht="13">
      <c r="A165" s="2">
        <f t="shared" si="26"/>
        <v>103</v>
      </c>
      <c r="C165" s="245" t="s">
        <v>2370</v>
      </c>
      <c r="D165" s="6">
        <f t="shared" si="28"/>
        <v>3467386.8619774836</v>
      </c>
      <c r="E165" s="6">
        <f t="shared" ref="E165" si="31">D133</f>
        <v>130429.95257120473</v>
      </c>
      <c r="F165" s="6">
        <f>(D165+E165)*('28-FFU'!$D$22+'28-FFU'!$E$22)</f>
        <v>64413.010858927169</v>
      </c>
      <c r="G165" s="6">
        <f t="shared" ref="G165" si="32">SUM(D165:F165)</f>
        <v>3662229.8254076159</v>
      </c>
      <c r="H165" s="246" t="s">
        <v>213</v>
      </c>
    </row>
    <row r="166" spans="1:8" ht="13">
      <c r="A166" s="2">
        <f t="shared" si="26"/>
        <v>104</v>
      </c>
      <c r="C166" s="841"/>
      <c r="D166" s="1077" t="s">
        <v>380</v>
      </c>
      <c r="E166" s="1077" t="s">
        <v>380</v>
      </c>
      <c r="F166" s="1077" t="s">
        <v>380</v>
      </c>
      <c r="G166" s="1077" t="s">
        <v>380</v>
      </c>
      <c r="H166" s="246" t="s">
        <v>213</v>
      </c>
    </row>
    <row r="167" spans="1:8" ht="13">
      <c r="A167" s="2">
        <f t="shared" si="26"/>
        <v>105</v>
      </c>
      <c r="C167" s="245" t="s">
        <v>431</v>
      </c>
      <c r="D167" s="6">
        <f>SUM(D155:D166)</f>
        <v>25698554.191186335</v>
      </c>
      <c r="E167" s="6">
        <f>SUM(E155:E166)</f>
        <v>-18624944.793591507</v>
      </c>
      <c r="F167" s="6">
        <f>SUM(F155:F166)</f>
        <v>126641.3779313663</v>
      </c>
      <c r="G167" s="6">
        <f>SUM(G155:G166)</f>
        <v>7200250.775526193</v>
      </c>
    </row>
    <row r="169" spans="1:8" ht="14.5">
      <c r="C169" s="192" t="s">
        <v>2416</v>
      </c>
    </row>
    <row r="170" spans="1:8" ht="14.5">
      <c r="C170" s="192"/>
    </row>
    <row r="171" spans="1:8" ht="13">
      <c r="D171" s="48" t="s">
        <v>336</v>
      </c>
      <c r="E171" s="48" t="s">
        <v>337</v>
      </c>
      <c r="F171" s="48" t="s">
        <v>338</v>
      </c>
      <c r="G171" s="48" t="s">
        <v>339</v>
      </c>
    </row>
    <row r="172" spans="1:8" ht="12.75" customHeight="1">
      <c r="D172" s="124" t="s">
        <v>2384</v>
      </c>
      <c r="E172" s="124" t="s">
        <v>8</v>
      </c>
      <c r="F172" s="48"/>
      <c r="G172" s="48"/>
    </row>
    <row r="173" spans="1:8" ht="12.75" customHeight="1">
      <c r="D173" s="3" t="s">
        <v>2403</v>
      </c>
      <c r="E173" s="3" t="s">
        <v>2403</v>
      </c>
      <c r="F173" s="3" t="s">
        <v>2417</v>
      </c>
      <c r="G173" s="125" t="s">
        <v>249</v>
      </c>
      <c r="H173" s="3" t="s">
        <v>651</v>
      </c>
    </row>
    <row r="174" spans="1:8" ht="13">
      <c r="A174" s="2">
        <f>A167+1</f>
        <v>106</v>
      </c>
      <c r="C174" s="245" t="s">
        <v>2360</v>
      </c>
      <c r="D174" s="6">
        <f t="shared" ref="D174:D182" si="33">D78+E78+F78</f>
        <v>55981.066718642673</v>
      </c>
      <c r="E174" s="6">
        <f t="shared" ref="E174:E182" si="34">D123</f>
        <v>-51287.386746094744</v>
      </c>
      <c r="F174" s="6">
        <f>(D174+E174)*('28-FFU'!$D$22)</f>
        <v>43.954349283187703</v>
      </c>
      <c r="G174" s="6">
        <f>SUM(D174:F174)</f>
        <v>4737.6343218311167</v>
      </c>
      <c r="H174" s="246" t="s">
        <v>126</v>
      </c>
    </row>
    <row r="175" spans="1:8" ht="13">
      <c r="A175" s="2">
        <f t="shared" ref="A175:A186" si="35">A174+1</f>
        <v>107</v>
      </c>
      <c r="C175" s="245" t="s">
        <v>2361</v>
      </c>
      <c r="D175" s="6">
        <f t="shared" si="33"/>
        <v>0</v>
      </c>
      <c r="E175" s="6">
        <f t="shared" si="34"/>
        <v>0</v>
      </c>
      <c r="F175" s="6">
        <f>(D175+E175)*('28-FFU'!$D$22)</f>
        <v>0</v>
      </c>
      <c r="G175" s="6">
        <f t="shared" ref="G175:G182" si="36">SUM(D175:F175)</f>
        <v>0</v>
      </c>
      <c r="H175" s="246" t="s">
        <v>126</v>
      </c>
    </row>
    <row r="176" spans="1:8" ht="13">
      <c r="A176" s="2">
        <f t="shared" si="35"/>
        <v>108</v>
      </c>
      <c r="C176" s="245" t="s">
        <v>2362</v>
      </c>
      <c r="D176" s="6">
        <f t="shared" si="33"/>
        <v>575768.74722785596</v>
      </c>
      <c r="E176" s="6">
        <f t="shared" si="34"/>
        <v>206578.10651445904</v>
      </c>
      <c r="F176" s="6">
        <f>(D176+E176)*('28-FFU'!$D$22)</f>
        <v>7326.3509807051587</v>
      </c>
      <c r="G176" s="6">
        <f t="shared" si="36"/>
        <v>789673.20472302008</v>
      </c>
      <c r="H176" s="246" t="s">
        <v>126</v>
      </c>
    </row>
    <row r="177" spans="1:8" ht="13">
      <c r="A177" s="2">
        <f t="shared" si="35"/>
        <v>109</v>
      </c>
      <c r="C177" s="245" t="s">
        <v>2363</v>
      </c>
      <c r="D177" s="6">
        <f t="shared" si="33"/>
        <v>87811.759016714917</v>
      </c>
      <c r="E177" s="6">
        <f t="shared" si="34"/>
        <v>-87811.759016714917</v>
      </c>
      <c r="F177" s="6">
        <f>(D177+E177)*('28-FFU'!$D$22)</f>
        <v>0</v>
      </c>
      <c r="G177" s="6">
        <f t="shared" si="36"/>
        <v>0</v>
      </c>
      <c r="H177" s="246" t="s">
        <v>126</v>
      </c>
    </row>
    <row r="178" spans="1:8" ht="13">
      <c r="A178" s="2">
        <f t="shared" si="35"/>
        <v>110</v>
      </c>
      <c r="C178" s="245" t="s">
        <v>2364</v>
      </c>
      <c r="D178" s="6">
        <f t="shared" si="33"/>
        <v>0</v>
      </c>
      <c r="E178" s="6">
        <f t="shared" si="34"/>
        <v>0</v>
      </c>
      <c r="F178" s="6">
        <f>(D178+E178)*('28-FFU'!$D$22)</f>
        <v>0</v>
      </c>
      <c r="G178" s="6">
        <f t="shared" si="36"/>
        <v>0</v>
      </c>
      <c r="H178" s="246" t="s">
        <v>126</v>
      </c>
    </row>
    <row r="179" spans="1:8" ht="13">
      <c r="A179" s="2">
        <f t="shared" si="35"/>
        <v>111</v>
      </c>
      <c r="C179" s="245" t="s">
        <v>2365</v>
      </c>
      <c r="D179" s="6">
        <f t="shared" si="33"/>
        <v>0</v>
      </c>
      <c r="E179" s="6">
        <f t="shared" si="34"/>
        <v>0</v>
      </c>
      <c r="F179" s="6">
        <f>(D179+E179)*('28-FFU'!$D$22)</f>
        <v>0</v>
      </c>
      <c r="G179" s="6">
        <f t="shared" si="36"/>
        <v>0</v>
      </c>
      <c r="H179" s="246" t="s">
        <v>126</v>
      </c>
    </row>
    <row r="180" spans="1:8" ht="13">
      <c r="A180" s="2">
        <f t="shared" si="35"/>
        <v>112</v>
      </c>
      <c r="C180" s="245" t="s">
        <v>2366</v>
      </c>
      <c r="D180" s="6">
        <f t="shared" si="33"/>
        <v>0</v>
      </c>
      <c r="E180" s="6">
        <f t="shared" si="34"/>
        <v>0</v>
      </c>
      <c r="F180" s="6">
        <f>(D180+E180)*('28-FFU'!$D$22)</f>
        <v>0</v>
      </c>
      <c r="G180" s="6">
        <f t="shared" si="36"/>
        <v>0</v>
      </c>
      <c r="H180" s="246" t="s">
        <v>126</v>
      </c>
    </row>
    <row r="181" spans="1:8" ht="13">
      <c r="A181" s="2">
        <f t="shared" si="35"/>
        <v>113</v>
      </c>
      <c r="C181" s="245" t="s">
        <v>2367</v>
      </c>
      <c r="D181" s="6">
        <f t="shared" si="33"/>
        <v>0</v>
      </c>
      <c r="E181" s="6">
        <f t="shared" si="34"/>
        <v>0</v>
      </c>
      <c r="F181" s="6">
        <f>(D181+E181)*('28-FFU'!$D$22)</f>
        <v>0</v>
      </c>
      <c r="G181" s="6">
        <f t="shared" si="36"/>
        <v>0</v>
      </c>
      <c r="H181" s="246" t="s">
        <v>126</v>
      </c>
    </row>
    <row r="182" spans="1:8" ht="13">
      <c r="A182" s="2">
        <f t="shared" si="35"/>
        <v>114</v>
      </c>
      <c r="C182" s="245" t="s">
        <v>2368</v>
      </c>
      <c r="D182" s="6">
        <f t="shared" si="33"/>
        <v>2401769.6547140856</v>
      </c>
      <c r="E182" s="6">
        <f t="shared" si="34"/>
        <v>153255.47731557969</v>
      </c>
      <c r="F182" s="6">
        <f>(D182+E182)*('28-FFU'!$D$22)</f>
        <v>23926.741434736348</v>
      </c>
      <c r="G182" s="6">
        <f t="shared" si="36"/>
        <v>2578951.8734644013</v>
      </c>
      <c r="H182" s="246" t="s">
        <v>126</v>
      </c>
    </row>
    <row r="183" spans="1:8" ht="13">
      <c r="A183" s="2">
        <f t="shared" si="35"/>
        <v>115</v>
      </c>
      <c r="C183" s="245" t="s">
        <v>2369</v>
      </c>
      <c r="D183" s="6">
        <f t="shared" ref="D183" si="37">D87+E87+F87</f>
        <v>19109836.10153155</v>
      </c>
      <c r="E183" s="6">
        <f t="shared" ref="E183" si="38">D132</f>
        <v>-18976109.18422994</v>
      </c>
      <c r="F183" s="6">
        <f>(D183+E183)*('28-FFU'!$D$22)</f>
        <v>1252.2966342011098</v>
      </c>
      <c r="G183" s="6">
        <f t="shared" ref="G183" si="39">SUM(D183:F183)</f>
        <v>134979.21393581122</v>
      </c>
      <c r="H183" s="246" t="s">
        <v>126</v>
      </c>
    </row>
    <row r="184" spans="1:8" ht="13">
      <c r="A184" s="2">
        <f t="shared" si="35"/>
        <v>116</v>
      </c>
      <c r="C184" s="245" t="s">
        <v>2370</v>
      </c>
      <c r="D184" s="6">
        <f t="shared" ref="D184" si="40">D88+E88+F88</f>
        <v>3467386.8619774836</v>
      </c>
      <c r="E184" s="6">
        <f t="shared" ref="E184" si="41">D133</f>
        <v>130429.95257120473</v>
      </c>
      <c r="F184" s="6">
        <f>(D184+E184)*('28-FFU'!$D$22)</f>
        <v>33692.049276583697</v>
      </c>
      <c r="G184" s="6">
        <f t="shared" ref="G184" si="42">SUM(D184:F184)</f>
        <v>3631508.8638252723</v>
      </c>
      <c r="H184" s="246" t="s">
        <v>126</v>
      </c>
    </row>
    <row r="185" spans="1:8" ht="13">
      <c r="A185" s="2">
        <f t="shared" si="35"/>
        <v>117</v>
      </c>
      <c r="C185" s="841"/>
      <c r="D185" s="1077" t="s">
        <v>380</v>
      </c>
      <c r="E185" s="1077" t="s">
        <v>380</v>
      </c>
      <c r="F185" s="1077" t="s">
        <v>380</v>
      </c>
      <c r="G185" s="1077" t="s">
        <v>380</v>
      </c>
      <c r="H185" s="246" t="s">
        <v>126</v>
      </c>
    </row>
    <row r="186" spans="1:8" ht="13">
      <c r="A186" s="2">
        <f t="shared" si="35"/>
        <v>118</v>
      </c>
      <c r="C186" s="245" t="s">
        <v>431</v>
      </c>
      <c r="D186" s="6">
        <f>SUM(D174:D185)</f>
        <v>25698554.191186335</v>
      </c>
      <c r="E186" s="6">
        <f>SUM(E174:E185)</f>
        <v>-18624944.793591507</v>
      </c>
      <c r="F186" s="6">
        <f>SUM(F174:F185)</f>
        <v>66241.392675509502</v>
      </c>
      <c r="G186" s="6">
        <f>SUM(G174:G185)</f>
        <v>7139850.790270336</v>
      </c>
    </row>
    <row r="188" spans="1:8" ht="13">
      <c r="B188" s="1" t="s">
        <v>228</v>
      </c>
    </row>
    <row r="189" spans="1:8">
      <c r="B189" s="291" t="str">
        <f>"1) (Sum Lines "&amp;A65&amp;" to "&amp;A68&amp;") * (FF + U Factors from 28-FFU) for Prior Year TRR"</f>
        <v>1) (Sum Lines 34 to 37) * (FF + U Factors from 28-FFU) for Prior Year TRR</v>
      </c>
    </row>
    <row r="190" spans="1:8">
      <c r="B190" s="246" t="str">
        <f>"(Sum Lines "&amp;A65&amp;" to "&amp;A68&amp;") * (FF Factor from 28-FFU) for True Up TRR"</f>
        <v>(Sum Lines 34 to 37) * (FF Factor from 28-FFU) for True Up TRR</v>
      </c>
    </row>
    <row r="191" spans="1:8">
      <c r="B191" s="247"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row>
    <row r="192" spans="1:8">
      <c r="B192" s="246"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row>
    <row r="193" spans="2:2">
      <c r="B193" s="12" t="str">
        <f>"ROE Adder is from Lines "&amp;A67&amp;" and "&amp;A68&amp;".  FF&amp;U Expenses are based on FF&amp;U Factors on 28-FFU."</f>
        <v>ROE Adder is from Lines 36 and 37.  FF&amp;U Expenses are based on FF&amp;U Factors on 28-FFU.</v>
      </c>
    </row>
    <row r="194" spans="2:2">
      <c r="B194" s="247"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row>
    <row r="195" spans="2:2">
      <c r="B195" s="246"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row>
    <row r="196" spans="2:2">
      <c r="B196" s="12" t="str">
        <f>"ROE Adder is from Lines "&amp;A67&amp;" and "&amp;A68&amp;".  FF&amp;U Expenses are based on FF&amp;U Factors on 28-FFU."</f>
        <v>ROE Adder is from Lines 36 and 37.  FF&amp;U Expenses are based on FF&amp;U Factors on 28-FFU.</v>
      </c>
    </row>
    <row r="197" spans="2:2">
      <c r="B197" s="247" t="str">
        <f>"4) Project contribution to total IFPTRR is based on fraction of Forecast Period CWIP Balances on Lines "&amp;A9&amp;" to "&amp;A21&amp;", Col 3."</f>
        <v>4) Project contribution to total IFPTRR is based on fraction of Forecast Period CWIP Balances on Lines 1 to 13, Col 3.</v>
      </c>
    </row>
    <row r="198" spans="2:2">
      <c r="B198" s="247" t="str">
        <f>"5) Column 1 is from Lines "&amp;A78&amp;" to "&amp;A89&amp;", Sum of Column 1-3 (no FF&amp;U)."</f>
        <v>5) Column 1 is from Lines 40 to 51, Sum of Column 1-3 (no FF&amp;U).</v>
      </c>
    </row>
    <row r="199" spans="2:2">
      <c r="B199" s="246" t="str">
        <f>"Column 2 is from Lines "&amp;A123&amp;" to "&amp;A134&amp;" (no FF&amp;U)."</f>
        <v>Column 2 is from Lines 71 to 82 (no FF&amp;U).</v>
      </c>
    </row>
    <row r="200" spans="2:2">
      <c r="B200" s="246" t="str">
        <f>"Column 3 is the product of (C1 + C2) and the sum of FF and U factors (28-FFU, L"&amp;'28-FFU'!A22&amp;")"</f>
        <v>Column 3 is the product of (C1 + C2) and the sum of FF and U factors (28-FFU, L5)</v>
      </c>
    </row>
    <row r="201" spans="2:2">
      <c r="B201" s="247" t="s">
        <v>2418</v>
      </c>
    </row>
  </sheetData>
  <phoneticPr fontId="23" type="noConversion"/>
  <pageMargins left="0.7" right="0.7" top="0.75" bottom="0.75" header="0.3" footer="0.3"/>
  <pageSetup scale="70" orientation="portrait" cellComments="asDisplayed" r:id="rId1"/>
  <headerFooter>
    <oddHeader>&amp;CSchedule 24
CWIP TRR
&amp;RTO2024 Annual Update 
Attachment 1</oddHeader>
    <oddFooter>&amp;R&amp;A</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5"/>
  <cols>
    <col min="1" max="1" width="4.54296875" customWidth="1"/>
    <col min="6" max="6" width="17.81640625" customWidth="1"/>
    <col min="7" max="7" width="23.1796875" customWidth="1"/>
    <col min="8" max="8" width="15.54296875" customWidth="1"/>
    <col min="9" max="9" width="14.54296875" customWidth="1"/>
  </cols>
  <sheetData>
    <row r="1" spans="1:12" ht="13">
      <c r="A1" s="1" t="s">
        <v>2419</v>
      </c>
      <c r="B1" s="116"/>
      <c r="C1" s="116"/>
      <c r="D1" s="116"/>
      <c r="E1" s="116"/>
      <c r="F1" s="116"/>
      <c r="G1" s="116"/>
      <c r="H1" s="116"/>
      <c r="I1" s="116"/>
      <c r="J1" s="116"/>
      <c r="K1" s="116"/>
      <c r="L1" s="116"/>
    </row>
    <row r="2" spans="1:12" ht="13">
      <c r="A2" s="1"/>
      <c r="B2" s="116"/>
      <c r="C2" s="39" t="s">
        <v>195</v>
      </c>
      <c r="D2" s="254" t="s">
        <v>2420</v>
      </c>
      <c r="E2" s="847"/>
      <c r="F2" s="207"/>
      <c r="G2" s="116"/>
      <c r="H2" s="235" t="s">
        <v>635</v>
      </c>
      <c r="I2" s="207"/>
      <c r="J2" s="116"/>
      <c r="K2" s="116"/>
      <c r="L2" s="116"/>
    </row>
    <row r="3" spans="1:12" ht="13">
      <c r="A3" s="1"/>
      <c r="B3" s="116" t="s">
        <v>2421</v>
      </c>
      <c r="C3" s="116"/>
      <c r="D3" s="116"/>
      <c r="E3" s="116"/>
      <c r="F3" s="116"/>
      <c r="G3" s="116"/>
      <c r="H3" s="116"/>
      <c r="I3" s="116"/>
      <c r="J3" s="116"/>
      <c r="K3" s="116"/>
      <c r="L3" s="116"/>
    </row>
    <row r="4" spans="1:12" ht="13">
      <c r="A4" s="1"/>
      <c r="B4" s="116" t="s">
        <v>2422</v>
      </c>
      <c r="C4" s="116"/>
      <c r="D4" s="116"/>
      <c r="E4" s="116"/>
      <c r="F4" s="116"/>
      <c r="G4" s="116"/>
      <c r="H4" s="116"/>
      <c r="I4" s="116"/>
      <c r="J4" s="116"/>
      <c r="K4" s="116"/>
      <c r="L4" s="116"/>
    </row>
    <row r="5" spans="1:12" ht="13">
      <c r="A5" s="1"/>
      <c r="B5" s="116" t="s">
        <v>2423</v>
      </c>
      <c r="C5" s="116"/>
      <c r="D5" s="116"/>
      <c r="E5" s="116"/>
      <c r="F5" s="116"/>
      <c r="G5" s="116"/>
      <c r="H5" s="116"/>
      <c r="I5" s="116"/>
      <c r="J5" s="116"/>
      <c r="K5" s="116"/>
      <c r="L5" s="116"/>
    </row>
    <row r="6" spans="1:12" ht="13">
      <c r="A6" s="1"/>
      <c r="B6" s="116"/>
      <c r="C6" s="116"/>
      <c r="D6" s="116"/>
      <c r="E6" s="116"/>
      <c r="F6" s="116"/>
      <c r="G6" s="116"/>
      <c r="H6" s="116"/>
      <c r="I6" s="116"/>
      <c r="J6" s="116"/>
      <c r="K6" s="116"/>
      <c r="L6" s="116"/>
    </row>
    <row r="7" spans="1:12" ht="13">
      <c r="A7" s="1"/>
      <c r="B7" s="116" t="s">
        <v>2424</v>
      </c>
      <c r="C7" s="116"/>
      <c r="D7" s="116"/>
      <c r="E7" s="116"/>
      <c r="F7" s="116"/>
      <c r="G7" s="116"/>
      <c r="H7" s="116"/>
      <c r="I7" s="116"/>
      <c r="J7" s="116"/>
      <c r="K7" s="116"/>
      <c r="L7" s="116"/>
    </row>
    <row r="8" spans="1:12" ht="13">
      <c r="A8" s="1"/>
      <c r="B8" s="116" t="s">
        <v>2425</v>
      </c>
      <c r="C8" s="116"/>
      <c r="D8" s="116"/>
      <c r="E8" s="116"/>
      <c r="F8" s="116"/>
      <c r="G8" s="116"/>
      <c r="H8" s="116"/>
      <c r="I8" s="116"/>
      <c r="J8" s="116"/>
      <c r="K8" s="116"/>
      <c r="L8" s="116"/>
    </row>
    <row r="9" spans="1:12" ht="13">
      <c r="A9" s="1"/>
      <c r="B9" s="116" t="s">
        <v>2426</v>
      </c>
      <c r="C9" s="116"/>
      <c r="D9" s="116"/>
      <c r="E9" s="116"/>
      <c r="F9" s="116"/>
      <c r="G9" s="116"/>
      <c r="H9" s="116"/>
      <c r="I9" s="116"/>
      <c r="J9" s="116"/>
      <c r="K9" s="116"/>
      <c r="L9" s="116"/>
    </row>
    <row r="10" spans="1:12" ht="13">
      <c r="A10" s="1"/>
      <c r="B10" s="116"/>
      <c r="C10" s="116"/>
      <c r="D10" s="116"/>
      <c r="E10" s="116"/>
      <c r="F10" s="116"/>
      <c r="G10" s="116"/>
      <c r="H10" s="119" t="s">
        <v>2427</v>
      </c>
      <c r="I10" s="116"/>
      <c r="J10" s="116"/>
      <c r="K10" s="116"/>
      <c r="L10" s="116"/>
    </row>
    <row r="11" spans="1:12" ht="14.5">
      <c r="A11" s="1"/>
      <c r="B11" s="116"/>
      <c r="C11" s="116"/>
      <c r="D11" s="116"/>
      <c r="E11" s="116"/>
      <c r="F11" s="116"/>
      <c r="G11" s="119" t="s">
        <v>123</v>
      </c>
      <c r="H11" s="124" t="s">
        <v>2428</v>
      </c>
      <c r="I11" s="119" t="s">
        <v>1095</v>
      </c>
      <c r="J11" s="116"/>
      <c r="K11" s="116"/>
      <c r="L11" s="116"/>
    </row>
    <row r="12" spans="1:12" ht="13">
      <c r="A12" s="30" t="s">
        <v>273</v>
      </c>
      <c r="B12" s="116"/>
      <c r="C12" s="116"/>
      <c r="D12" s="116"/>
      <c r="E12" s="116"/>
      <c r="F12" s="116"/>
      <c r="G12" s="190" t="s">
        <v>2429</v>
      </c>
      <c r="H12" s="190" t="s">
        <v>2429</v>
      </c>
      <c r="I12" s="190" t="s">
        <v>2430</v>
      </c>
      <c r="J12" s="116"/>
      <c r="K12" s="116"/>
      <c r="L12" s="116"/>
    </row>
    <row r="13" spans="1:12" ht="13">
      <c r="A13" s="2">
        <v>1</v>
      </c>
      <c r="B13" s="116" t="s">
        <v>2431</v>
      </c>
      <c r="C13" s="116"/>
      <c r="D13" s="116"/>
      <c r="E13" s="116"/>
      <c r="F13" s="116"/>
      <c r="G13" s="129" t="s">
        <v>1226</v>
      </c>
      <c r="H13" s="129" t="s">
        <v>1226</v>
      </c>
      <c r="I13" s="37" t="s">
        <v>938</v>
      </c>
      <c r="J13" s="116"/>
      <c r="K13" s="116"/>
      <c r="L13" s="116"/>
    </row>
    <row r="14" spans="1:12" ht="13">
      <c r="A14" s="2">
        <f>A13+1</f>
        <v>2</v>
      </c>
      <c r="B14" s="116" t="s">
        <v>2432</v>
      </c>
      <c r="C14" s="116"/>
      <c r="D14" s="116"/>
      <c r="E14" s="116"/>
      <c r="F14" s="116"/>
      <c r="G14" s="129" t="s">
        <v>1226</v>
      </c>
      <c r="H14" s="129" t="s">
        <v>1226</v>
      </c>
      <c r="I14" s="129" t="s">
        <v>1226</v>
      </c>
      <c r="J14" s="116"/>
      <c r="K14" s="116"/>
      <c r="L14" s="116"/>
    </row>
    <row r="15" spans="1:12" ht="13">
      <c r="A15" s="2">
        <f>A14+1</f>
        <v>3</v>
      </c>
      <c r="B15" s="116" t="s">
        <v>2433</v>
      </c>
      <c r="C15" s="116"/>
      <c r="D15" s="116"/>
      <c r="E15" s="116"/>
      <c r="F15" s="116"/>
      <c r="G15" s="129" t="s">
        <v>1226</v>
      </c>
      <c r="H15" s="129" t="s">
        <v>1226</v>
      </c>
      <c r="I15" s="129" t="s">
        <v>1226</v>
      </c>
      <c r="J15" s="116"/>
      <c r="K15" s="116"/>
      <c r="L15" s="116"/>
    </row>
    <row r="16" spans="1:12" ht="13">
      <c r="A16" s="2">
        <f>A15+1</f>
        <v>4</v>
      </c>
      <c r="B16" s="116" t="s">
        <v>2434</v>
      </c>
      <c r="C16" s="116"/>
      <c r="D16" s="116"/>
      <c r="E16" s="116"/>
      <c r="F16" s="116"/>
      <c r="G16" s="129" t="s">
        <v>1226</v>
      </c>
      <c r="H16" s="129" t="s">
        <v>1226</v>
      </c>
      <c r="I16" s="129" t="s">
        <v>938</v>
      </c>
      <c r="J16" s="116"/>
      <c r="K16" s="116"/>
      <c r="L16" s="116"/>
    </row>
    <row r="17" spans="1:12" ht="13">
      <c r="A17" s="2">
        <f>A16+1</f>
        <v>5</v>
      </c>
      <c r="B17" s="116" t="s">
        <v>2435</v>
      </c>
      <c r="C17" s="116"/>
      <c r="D17" s="116"/>
      <c r="E17" s="116"/>
      <c r="F17" s="116"/>
      <c r="G17" s="129" t="s">
        <v>938</v>
      </c>
      <c r="H17" s="129" t="s">
        <v>1226</v>
      </c>
      <c r="I17" s="129" t="s">
        <v>938</v>
      </c>
      <c r="J17" s="116"/>
      <c r="K17" s="116"/>
      <c r="L17" s="116"/>
    </row>
    <row r="18" spans="1:12" ht="13">
      <c r="A18" s="2">
        <f>A17+1</f>
        <v>6</v>
      </c>
      <c r="B18" s="116" t="s">
        <v>2436</v>
      </c>
      <c r="C18" s="116"/>
      <c r="D18" s="116"/>
      <c r="E18" s="116"/>
      <c r="F18" s="116"/>
      <c r="G18" s="129" t="s">
        <v>938</v>
      </c>
      <c r="H18" s="129" t="s">
        <v>1226</v>
      </c>
      <c r="I18" s="129" t="s">
        <v>938</v>
      </c>
      <c r="J18" s="116"/>
      <c r="K18" s="116"/>
      <c r="L18" s="116"/>
    </row>
    <row r="19" spans="1:12">
      <c r="A19" s="116"/>
      <c r="B19" s="116"/>
      <c r="C19" s="236"/>
      <c r="D19" s="116"/>
      <c r="E19" s="116"/>
      <c r="F19" s="116"/>
      <c r="G19" s="116"/>
      <c r="H19" s="116"/>
      <c r="I19" s="116"/>
      <c r="J19" s="116"/>
      <c r="K19" s="116"/>
      <c r="L19" s="116"/>
    </row>
    <row r="20" spans="1:12" ht="13">
      <c r="A20" s="116"/>
      <c r="B20" s="206" t="s">
        <v>2437</v>
      </c>
      <c r="C20" s="261"/>
      <c r="D20" s="116"/>
      <c r="E20" s="116"/>
      <c r="F20" s="116"/>
      <c r="G20" s="116"/>
      <c r="H20" s="116"/>
      <c r="I20" s="116"/>
      <c r="J20" s="116"/>
      <c r="K20" s="116"/>
      <c r="L20" s="116"/>
    </row>
    <row r="21" spans="1:12" ht="13">
      <c r="A21" s="116"/>
      <c r="B21" s="206"/>
      <c r="C21" s="261"/>
      <c r="D21" s="116"/>
      <c r="E21" s="116"/>
      <c r="F21" s="116"/>
      <c r="G21" s="116"/>
      <c r="H21" s="116"/>
      <c r="I21" s="116"/>
      <c r="J21" s="116"/>
      <c r="K21" s="116"/>
      <c r="L21" s="116"/>
    </row>
    <row r="22" spans="1:12" ht="13">
      <c r="A22" s="116"/>
      <c r="B22" s="237" t="s">
        <v>2438</v>
      </c>
      <c r="C22" s="497"/>
      <c r="D22" s="116"/>
      <c r="E22" s="116"/>
      <c r="F22" s="116"/>
      <c r="G22" s="116"/>
      <c r="H22" s="116"/>
      <c r="I22" s="116"/>
      <c r="J22" s="116"/>
      <c r="K22" s="116"/>
      <c r="L22" s="116"/>
    </row>
    <row r="23" spans="1:12">
      <c r="A23" s="116"/>
      <c r="B23" s="127" t="s">
        <v>2439</v>
      </c>
      <c r="C23" s="497"/>
      <c r="D23" s="116"/>
      <c r="E23" s="116"/>
      <c r="F23" s="116"/>
      <c r="G23" s="116"/>
      <c r="H23" s="116"/>
      <c r="I23" s="116"/>
      <c r="J23" s="116"/>
      <c r="K23" s="116"/>
      <c r="L23" s="116"/>
    </row>
    <row r="24" spans="1:12">
      <c r="A24" s="116"/>
      <c r="B24" s="127" t="s">
        <v>2440</v>
      </c>
      <c r="C24" s="116"/>
      <c r="D24" s="116"/>
      <c r="E24" s="116"/>
      <c r="F24" s="116"/>
      <c r="G24" s="116"/>
      <c r="H24" s="116"/>
      <c r="I24" s="116"/>
      <c r="J24" s="116"/>
      <c r="K24" s="116"/>
      <c r="L24" s="116"/>
    </row>
    <row r="25" spans="1:12" ht="13">
      <c r="A25" s="116"/>
      <c r="B25" s="116"/>
      <c r="C25" s="116"/>
      <c r="D25" s="116"/>
      <c r="E25" s="116"/>
      <c r="F25" s="116"/>
      <c r="G25" s="116"/>
      <c r="H25" s="48" t="s">
        <v>336</v>
      </c>
      <c r="I25" s="48" t="s">
        <v>337</v>
      </c>
      <c r="J25" s="116"/>
      <c r="K25" s="116"/>
      <c r="L25" s="116"/>
    </row>
    <row r="26" spans="1:12" ht="13">
      <c r="A26" s="116"/>
      <c r="B26" s="116"/>
      <c r="C26" s="116"/>
      <c r="D26" s="116"/>
      <c r="E26" s="116"/>
      <c r="F26" s="116"/>
      <c r="G26" s="116"/>
      <c r="H26" s="238" t="s">
        <v>2441</v>
      </c>
      <c r="I26" s="116"/>
      <c r="J26" s="116"/>
      <c r="K26" s="116"/>
      <c r="L26" s="116"/>
    </row>
    <row r="27" spans="1:12" ht="13">
      <c r="A27" s="116"/>
      <c r="B27" s="116"/>
      <c r="C27" s="116"/>
      <c r="D27" s="116"/>
      <c r="E27" s="116"/>
      <c r="F27" s="116"/>
      <c r="G27" s="116"/>
      <c r="H27" s="238" t="s">
        <v>2429</v>
      </c>
      <c r="I27" s="119" t="s">
        <v>620</v>
      </c>
      <c r="J27" s="116"/>
      <c r="K27" s="116"/>
      <c r="L27" s="116"/>
    </row>
    <row r="28" spans="1:12" ht="13">
      <c r="A28" s="116"/>
      <c r="B28" s="116"/>
      <c r="C28" s="116"/>
      <c r="D28" s="116"/>
      <c r="E28" s="116"/>
      <c r="F28" s="116"/>
      <c r="G28" s="19" t="s">
        <v>658</v>
      </c>
      <c r="H28" s="119" t="s">
        <v>2442</v>
      </c>
      <c r="I28" s="119" t="s">
        <v>2443</v>
      </c>
      <c r="J28" s="116"/>
      <c r="K28" s="116"/>
      <c r="L28" s="116"/>
    </row>
    <row r="29" spans="1:12" ht="14.5">
      <c r="A29" s="30"/>
      <c r="B29" s="116"/>
      <c r="C29" s="116"/>
      <c r="D29" s="116"/>
      <c r="E29" s="116"/>
      <c r="F29" s="116"/>
      <c r="G29" s="18" t="s">
        <v>651</v>
      </c>
      <c r="H29" s="239" t="s">
        <v>2444</v>
      </c>
      <c r="I29" s="125" t="s">
        <v>2428</v>
      </c>
      <c r="J29" s="190"/>
      <c r="K29" s="116"/>
      <c r="L29" s="116"/>
    </row>
    <row r="30" spans="1:12" ht="13">
      <c r="A30" s="2">
        <f>A18+1</f>
        <v>7</v>
      </c>
      <c r="B30" s="116"/>
      <c r="C30" s="116" t="s">
        <v>2445</v>
      </c>
      <c r="D30" s="116"/>
      <c r="E30" s="116"/>
      <c r="F30" s="116"/>
      <c r="G30" s="246" t="s">
        <v>2446</v>
      </c>
      <c r="H30" s="118">
        <v>31556000</v>
      </c>
      <c r="I30" s="118">
        <v>-2176300</v>
      </c>
      <c r="J30" s="116"/>
      <c r="K30" s="116"/>
      <c r="L30" s="116"/>
    </row>
    <row r="31" spans="1:12" ht="13">
      <c r="A31" s="2">
        <f>A30+1</f>
        <v>8</v>
      </c>
      <c r="B31" s="116"/>
      <c r="C31" s="116" t="s">
        <v>2447</v>
      </c>
      <c r="D31" s="116"/>
      <c r="E31" s="116"/>
      <c r="F31" s="116"/>
      <c r="G31" s="246" t="s">
        <v>2446</v>
      </c>
      <c r="H31" s="118">
        <v>-35044000</v>
      </c>
      <c r="I31" s="118">
        <v>2503000</v>
      </c>
      <c r="J31" s="116"/>
      <c r="K31" s="116"/>
      <c r="L31" s="116"/>
    </row>
    <row r="32" spans="1:12" ht="13">
      <c r="A32" s="2">
        <f>A31+1</f>
        <v>9</v>
      </c>
      <c r="B32" s="116"/>
      <c r="C32" s="116" t="s">
        <v>2448</v>
      </c>
      <c r="D32" s="116"/>
      <c r="E32" s="116"/>
      <c r="F32" s="116"/>
      <c r="G32" s="246" t="s">
        <v>2446</v>
      </c>
      <c r="H32" s="118">
        <v>-624650</v>
      </c>
      <c r="I32" s="118">
        <v>43100</v>
      </c>
      <c r="J32" s="116"/>
      <c r="K32" s="116"/>
      <c r="L32" s="116"/>
    </row>
    <row r="33" spans="1:12" ht="13">
      <c r="A33" s="2">
        <f>A32+1</f>
        <v>10</v>
      </c>
      <c r="B33" s="116"/>
      <c r="C33" s="116" t="s">
        <v>2449</v>
      </c>
      <c r="D33" s="116"/>
      <c r="E33" s="116"/>
      <c r="F33" s="116"/>
      <c r="G33" s="246" t="s">
        <v>2446</v>
      </c>
      <c r="H33" s="189">
        <v>-7410000</v>
      </c>
      <c r="I33" s="189">
        <v>511200</v>
      </c>
      <c r="J33" s="116"/>
      <c r="K33" s="116"/>
      <c r="L33" s="116"/>
    </row>
    <row r="34" spans="1:12" ht="13">
      <c r="A34" s="2">
        <f>A33+1</f>
        <v>11</v>
      </c>
      <c r="B34" s="116"/>
      <c r="C34" s="116"/>
      <c r="D34" s="116"/>
      <c r="E34" s="116"/>
      <c r="G34" s="117" t="s">
        <v>431</v>
      </c>
      <c r="H34" s="118">
        <f>SUM(H30:H33)</f>
        <v>-11522650</v>
      </c>
      <c r="I34" s="118">
        <f>SUM(I30:I33)</f>
        <v>881000</v>
      </c>
      <c r="J34" s="116"/>
      <c r="K34" s="116"/>
      <c r="L34" s="116"/>
    </row>
    <row r="35" spans="1:12" ht="13">
      <c r="A35" s="2"/>
      <c r="B35" s="116"/>
      <c r="C35" s="116"/>
      <c r="D35" s="116"/>
      <c r="E35" s="116"/>
      <c r="G35" s="117"/>
      <c r="H35" s="118"/>
      <c r="I35" s="118"/>
      <c r="J35" s="116"/>
      <c r="K35" s="116"/>
      <c r="L35" s="116"/>
    </row>
    <row r="36" spans="1:12" ht="13">
      <c r="A36" s="2"/>
      <c r="B36" s="237" t="s">
        <v>2450</v>
      </c>
      <c r="C36" s="116"/>
      <c r="D36" s="116"/>
      <c r="E36" s="116"/>
      <c r="G36" s="117"/>
      <c r="H36" s="118"/>
      <c r="I36" s="118"/>
      <c r="J36" s="116"/>
      <c r="K36" s="116"/>
      <c r="L36" s="116"/>
    </row>
    <row r="37" spans="1:12" ht="13">
      <c r="A37" s="2"/>
      <c r="B37" s="127" t="s">
        <v>2451</v>
      </c>
      <c r="C37" s="116"/>
      <c r="D37" s="116"/>
      <c r="E37" s="116"/>
      <c r="G37" s="117"/>
      <c r="H37" s="118"/>
      <c r="I37" s="118"/>
      <c r="J37" s="116"/>
      <c r="K37" s="116"/>
      <c r="L37" s="116"/>
    </row>
    <row r="38" spans="1:12" ht="13">
      <c r="A38" s="2"/>
      <c r="B38" s="127" t="s">
        <v>2452</v>
      </c>
      <c r="C38" s="116"/>
      <c r="D38" s="116"/>
      <c r="E38" s="116"/>
      <c r="G38" s="117"/>
      <c r="H38" s="118"/>
      <c r="I38" s="118"/>
      <c r="J38" s="116"/>
      <c r="K38" s="116"/>
      <c r="L38" s="116"/>
    </row>
    <row r="39" spans="1:12" ht="13">
      <c r="A39" s="119"/>
      <c r="B39" s="116"/>
      <c r="C39" s="116"/>
      <c r="D39" s="116"/>
      <c r="E39" s="116"/>
      <c r="F39" s="116"/>
      <c r="G39" s="19" t="s">
        <v>658</v>
      </c>
      <c r="H39" s="116"/>
      <c r="I39" s="116"/>
      <c r="J39" s="116"/>
      <c r="K39" s="116"/>
      <c r="L39" s="116"/>
    </row>
    <row r="40" spans="1:12" ht="13">
      <c r="A40" s="119"/>
      <c r="B40" s="240"/>
      <c r="C40" s="261"/>
      <c r="D40" s="116"/>
      <c r="E40" s="116"/>
      <c r="F40" s="116"/>
      <c r="G40" s="18" t="s">
        <v>651</v>
      </c>
      <c r="H40" s="3" t="s">
        <v>102</v>
      </c>
      <c r="I40" s="241" t="s">
        <v>2453</v>
      </c>
      <c r="J40" s="116"/>
      <c r="K40" s="116"/>
      <c r="L40" s="116"/>
    </row>
    <row r="41" spans="1:12" ht="13">
      <c r="A41" s="2">
        <f>A34+1</f>
        <v>12</v>
      </c>
      <c r="B41" s="127" t="s">
        <v>2454</v>
      </c>
      <c r="C41" s="116"/>
      <c r="D41" s="116"/>
      <c r="E41" s="116"/>
      <c r="F41" s="116"/>
      <c r="G41" s="127" t="str">
        <f>"2-IFPTRR Line "&amp;'2-IFPTRR'!A25&amp;""</f>
        <v>2-IFPTRR Line 16</v>
      </c>
      <c r="H41" s="123">
        <f>'2-IFPTRR'!D25</f>
        <v>9.0088490667917964E-2</v>
      </c>
      <c r="I41" s="129">
        <v>1</v>
      </c>
      <c r="J41" s="116"/>
      <c r="K41" s="116"/>
      <c r="L41" s="116"/>
    </row>
    <row r="42" spans="1:12" ht="13">
      <c r="A42" s="2">
        <f>A41+1</f>
        <v>13</v>
      </c>
      <c r="B42" s="127" t="s">
        <v>859</v>
      </c>
      <c r="C42" s="116"/>
      <c r="D42" s="116"/>
      <c r="E42" s="116"/>
      <c r="F42" s="116"/>
      <c r="G42" s="127"/>
      <c r="H42" s="242">
        <v>2022</v>
      </c>
      <c r="I42" s="129">
        <v>2</v>
      </c>
      <c r="J42" s="116"/>
      <c r="K42" s="116"/>
      <c r="L42" s="116"/>
    </row>
    <row r="43" spans="1:12" ht="13">
      <c r="A43" s="2">
        <f>A42+1</f>
        <v>14</v>
      </c>
      <c r="B43" s="127" t="s">
        <v>2455</v>
      </c>
      <c r="C43" s="116"/>
      <c r="D43" s="116"/>
      <c r="E43" s="116"/>
      <c r="F43" s="116"/>
      <c r="G43" s="118"/>
      <c r="H43" s="118">
        <f>H34+ (I34*(H42-2010))</f>
        <v>-950650</v>
      </c>
      <c r="I43" s="129">
        <v>3</v>
      </c>
      <c r="J43" s="116"/>
      <c r="K43" s="116"/>
      <c r="L43" s="116"/>
    </row>
    <row r="44" spans="1:12" ht="13">
      <c r="A44" s="2">
        <f>A43+1</f>
        <v>15</v>
      </c>
      <c r="B44" s="127" t="s">
        <v>2456</v>
      </c>
      <c r="C44" s="261"/>
      <c r="D44" s="116"/>
      <c r="E44" s="116"/>
      <c r="F44" s="116"/>
      <c r="G44" s="246" t="str">
        <f>"Line "&amp;A43&amp;" * Line "&amp;A41&amp;""</f>
        <v>Line 14 * Line 12</v>
      </c>
      <c r="H44" s="118">
        <f xml:space="preserve"> H43*H41</f>
        <v>-85642.623653456219</v>
      </c>
      <c r="I44" s="116"/>
      <c r="J44" s="116"/>
      <c r="K44" s="116"/>
      <c r="L44" s="116"/>
    </row>
    <row r="45" spans="1:12">
      <c r="L45" s="116"/>
    </row>
    <row r="46" spans="1:12" ht="13">
      <c r="B46" s="206" t="s">
        <v>2457</v>
      </c>
      <c r="L46" s="116"/>
    </row>
    <row r="47" spans="1:12">
      <c r="L47" s="116"/>
    </row>
    <row r="48" spans="1:12">
      <c r="B48" s="116" t="str">
        <f>"The annual Wholesale Expense Difference impact is the negative of amounts stated in Lines "&amp;A30&amp;" to "&amp;A33&amp;" above, Column 2."</f>
        <v>The annual Wholesale Expense Difference impact is the negative of amounts stated in Lines 7 to 10 above, Column 2.</v>
      </c>
      <c r="L48" s="116"/>
    </row>
    <row r="49" spans="1:12">
      <c r="B49" s="116" t="s">
        <v>2458</v>
      </c>
      <c r="L49" s="116"/>
    </row>
    <row r="50" spans="1:12">
      <c r="A50" s="116"/>
      <c r="B50" s="116" t="s">
        <v>2459</v>
      </c>
      <c r="C50" s="116"/>
      <c r="D50" s="116"/>
      <c r="E50" s="116"/>
      <c r="F50" s="116"/>
      <c r="G50" s="116"/>
      <c r="H50" s="116"/>
      <c r="I50" s="116"/>
      <c r="J50" s="116"/>
      <c r="K50" s="116"/>
      <c r="L50" s="116"/>
    </row>
    <row r="52" spans="1:12" ht="13">
      <c r="A52" s="116"/>
      <c r="B52" s="40" t="s">
        <v>2460</v>
      </c>
      <c r="C52" s="116"/>
      <c r="D52" s="116"/>
      <c r="E52" s="116"/>
      <c r="F52" s="116"/>
      <c r="G52" s="116"/>
      <c r="H52" s="116"/>
      <c r="I52" s="116"/>
      <c r="J52" s="116"/>
      <c r="K52" s="116"/>
      <c r="L52" s="116"/>
    </row>
    <row r="53" spans="1:12" ht="13">
      <c r="A53" s="116"/>
      <c r="B53" s="116"/>
      <c r="C53" s="116"/>
      <c r="D53" s="116"/>
      <c r="E53" s="116"/>
      <c r="F53" s="116"/>
      <c r="G53" s="19"/>
      <c r="H53" s="116"/>
      <c r="I53" s="116"/>
      <c r="J53" s="116"/>
      <c r="K53" s="116"/>
      <c r="L53" s="116"/>
    </row>
    <row r="54" spans="1:12" ht="13">
      <c r="B54" s="116"/>
      <c r="C54" s="116"/>
      <c r="D54" s="116"/>
      <c r="E54" s="116"/>
      <c r="F54" s="116"/>
      <c r="G54" s="18" t="s">
        <v>651</v>
      </c>
      <c r="H54" s="3" t="s">
        <v>102</v>
      </c>
      <c r="I54" s="116"/>
      <c r="J54" s="190"/>
      <c r="K54" s="116"/>
      <c r="L54" s="116"/>
    </row>
    <row r="55" spans="1:12" ht="13">
      <c r="A55" s="2">
        <f>A44+1</f>
        <v>16</v>
      </c>
      <c r="B55" s="127" t="s">
        <v>2461</v>
      </c>
      <c r="C55" s="116"/>
      <c r="D55" s="116"/>
      <c r="E55" s="116"/>
      <c r="F55" s="116"/>
      <c r="G55" s="246" t="str">
        <f>"Line "&amp;A31&amp;""</f>
        <v>Line 8</v>
      </c>
      <c r="H55" s="118">
        <f>I31</f>
        <v>2503000</v>
      </c>
      <c r="I55" s="116"/>
      <c r="J55" s="116"/>
      <c r="K55" s="116"/>
      <c r="L55" s="116"/>
    </row>
    <row r="56" spans="1:12" ht="13">
      <c r="A56" s="2">
        <f>A55+1</f>
        <v>17</v>
      </c>
      <c r="B56" s="246" t="s">
        <v>2462</v>
      </c>
      <c r="C56" s="116"/>
      <c r="D56" s="116"/>
      <c r="E56" s="116"/>
      <c r="F56" s="116"/>
      <c r="G56" s="127" t="str">
        <f>"1-BaseTRR L "&amp;'1-BaseTRR'!A104&amp;""</f>
        <v>1-BaseTRR L 59</v>
      </c>
      <c r="H56" s="204">
        <f>'1-BaseTRR'!K104</f>
        <v>0.27983599999999997</v>
      </c>
      <c r="I56" s="116"/>
      <c r="J56" s="116"/>
      <c r="K56" s="116"/>
      <c r="L56" s="116"/>
    </row>
    <row r="57" spans="1:12" ht="13">
      <c r="A57" s="2">
        <f>A56+1</f>
        <v>18</v>
      </c>
      <c r="B57" s="246" t="s">
        <v>2463</v>
      </c>
      <c r="C57" s="116"/>
      <c r="D57" s="116"/>
      <c r="E57" s="116"/>
      <c r="F57" s="116"/>
      <c r="G57" s="294" t="s">
        <v>2464</v>
      </c>
      <c r="H57" s="243">
        <f>1/(1-H56)</f>
        <v>1.3885726029071155</v>
      </c>
      <c r="I57" s="116"/>
      <c r="J57" s="116"/>
      <c r="K57" s="116"/>
      <c r="L57" s="116"/>
    </row>
    <row r="58" spans="1:12" ht="13">
      <c r="A58" s="2">
        <f>A57+1</f>
        <v>19</v>
      </c>
      <c r="B58" s="246" t="s">
        <v>2465</v>
      </c>
      <c r="C58" s="116"/>
      <c r="D58" s="116"/>
      <c r="E58" s="116"/>
      <c r="F58" s="116"/>
      <c r="G58" s="116"/>
      <c r="H58" s="116"/>
      <c r="I58" s="116"/>
      <c r="J58" s="116"/>
      <c r="K58" s="116"/>
      <c r="L58" s="116"/>
    </row>
    <row r="59" spans="1:12" ht="13">
      <c r="A59" s="2">
        <f>A58+1</f>
        <v>20</v>
      </c>
      <c r="B59" s="246" t="s">
        <v>2466</v>
      </c>
      <c r="C59" s="116"/>
      <c r="D59" s="116"/>
      <c r="E59" s="116"/>
      <c r="F59" s="116"/>
      <c r="G59" s="246" t="str">
        <f>"- Line "&amp;A55&amp;" * Line "&amp;A57&amp;""</f>
        <v>- Line 16 * Line 18</v>
      </c>
      <c r="H59" s="118">
        <f>-H57*H55</f>
        <v>-3475597.2250765101</v>
      </c>
      <c r="I59" s="116"/>
      <c r="J59" s="116"/>
      <c r="K59" s="116"/>
      <c r="L59" s="116"/>
    </row>
    <row r="61" spans="1:12" ht="13">
      <c r="B61" s="40" t="s">
        <v>2467</v>
      </c>
    </row>
    <row r="63" spans="1:12" ht="13">
      <c r="G63" s="18" t="s">
        <v>651</v>
      </c>
      <c r="H63" s="3" t="s">
        <v>102</v>
      </c>
    </row>
    <row r="64" spans="1:12" ht="13">
      <c r="A64" s="2">
        <f>A59+1</f>
        <v>21</v>
      </c>
      <c r="B64" s="127" t="s">
        <v>2468</v>
      </c>
      <c r="G64" s="246" t="str">
        <f>"Line "&amp;A32&amp;""</f>
        <v>Line 9</v>
      </c>
      <c r="H64" s="6">
        <f>I32</f>
        <v>43100</v>
      </c>
    </row>
    <row r="65" spans="1:12" ht="13">
      <c r="A65" s="2">
        <f>A64+1</f>
        <v>22</v>
      </c>
      <c r="B65" s="246" t="s">
        <v>2463</v>
      </c>
      <c r="C65" s="116"/>
      <c r="D65" s="116"/>
      <c r="E65" s="116"/>
      <c r="F65" s="116"/>
      <c r="G65" s="246" t="str">
        <f>"Line "&amp;A57&amp;""</f>
        <v>Line 18</v>
      </c>
      <c r="H65" s="243">
        <f>H57</f>
        <v>1.3885726029071155</v>
      </c>
    </row>
    <row r="66" spans="1:12" ht="13">
      <c r="A66" s="2">
        <f>A65+1</f>
        <v>23</v>
      </c>
      <c r="B66" s="127" t="s">
        <v>2469</v>
      </c>
      <c r="G66" s="246" t="str">
        <f>"- Line "&amp;A64&amp;" * Line "&amp;A65&amp;""</f>
        <v>- Line 21 * Line 22</v>
      </c>
      <c r="H66" s="6">
        <f>-H64*H65</f>
        <v>-59847.479185296681</v>
      </c>
    </row>
    <row r="67" spans="1:12" ht="13">
      <c r="A67" s="2">
        <f t="shared" ref="A67:A74" si="0">A66+1</f>
        <v>24</v>
      </c>
      <c r="B67" s="127"/>
      <c r="G67" s="246"/>
      <c r="H67" s="6"/>
    </row>
    <row r="68" spans="1:12" ht="13">
      <c r="A68" s="2">
        <f t="shared" si="0"/>
        <v>25</v>
      </c>
      <c r="B68" s="40" t="s">
        <v>2470</v>
      </c>
      <c r="G68" s="246"/>
      <c r="H68" s="6"/>
    </row>
    <row r="69" spans="1:12" ht="13">
      <c r="A69" s="2">
        <f t="shared" si="0"/>
        <v>26</v>
      </c>
      <c r="B69" s="127"/>
      <c r="G69" s="18" t="s">
        <v>651</v>
      </c>
      <c r="H69" s="6"/>
      <c r="I69" s="32" t="s">
        <v>2453</v>
      </c>
    </row>
    <row r="70" spans="1:12" ht="13">
      <c r="A70" s="2">
        <f t="shared" si="0"/>
        <v>27</v>
      </c>
      <c r="B70" s="127" t="s">
        <v>2471</v>
      </c>
      <c r="G70" s="246" t="s">
        <v>894</v>
      </c>
      <c r="H70" s="59">
        <v>17136.7</v>
      </c>
      <c r="I70" s="246" t="s">
        <v>213</v>
      </c>
    </row>
    <row r="71" spans="1:12" ht="13">
      <c r="A71" s="2">
        <f t="shared" si="0"/>
        <v>28</v>
      </c>
      <c r="B71" s="127" t="s">
        <v>2472</v>
      </c>
      <c r="G71" s="246" t="s">
        <v>894</v>
      </c>
      <c r="H71" s="61">
        <v>0</v>
      </c>
      <c r="I71" s="12" t="s">
        <v>213</v>
      </c>
    </row>
    <row r="72" spans="1:12" ht="13">
      <c r="A72" s="2">
        <f t="shared" si="0"/>
        <v>29</v>
      </c>
      <c r="B72" s="127" t="s">
        <v>2473</v>
      </c>
      <c r="G72" s="294" t="str">
        <f>"Line "&amp;A70&amp;" + "&amp;A71&amp;""</f>
        <v>Line 27 + 28</v>
      </c>
      <c r="H72" s="249">
        <f>SUM(H70:H71)</f>
        <v>17136.7</v>
      </c>
    </row>
    <row r="73" spans="1:12" ht="13">
      <c r="A73" s="2">
        <f t="shared" si="0"/>
        <v>30</v>
      </c>
      <c r="B73" s="127" t="s">
        <v>142</v>
      </c>
      <c r="G73" s="127" t="str">
        <f>"27-Allocators, Line "&amp;'27-Allocators'!A15&amp;""</f>
        <v>27-Allocators, Line 9</v>
      </c>
      <c r="H73" s="29">
        <f>'27-Allocators'!G15</f>
        <v>5.9842511582503061E-2</v>
      </c>
    </row>
    <row r="74" spans="1:12" ht="13">
      <c r="A74" s="2">
        <f t="shared" si="0"/>
        <v>31</v>
      </c>
      <c r="B74" s="127" t="s">
        <v>2474</v>
      </c>
      <c r="G74" s="294" t="str">
        <f>"Line "&amp;A72&amp;" * "&amp;A73&amp;""</f>
        <v>Line 29 * 30</v>
      </c>
      <c r="H74" s="6">
        <f>H72*H73</f>
        <v>1025.5031682358801</v>
      </c>
    </row>
    <row r="76" spans="1:12" ht="13">
      <c r="A76" s="116"/>
      <c r="B76" s="237" t="s">
        <v>2475</v>
      </c>
      <c r="C76" s="116"/>
      <c r="D76" s="116"/>
      <c r="E76" s="116"/>
      <c r="F76" s="116"/>
      <c r="G76" s="116"/>
      <c r="H76" s="116"/>
      <c r="I76" s="241" t="s">
        <v>2453</v>
      </c>
      <c r="J76" s="116"/>
      <c r="K76" s="116"/>
      <c r="L76" s="116"/>
    </row>
    <row r="77" spans="1:12" ht="13">
      <c r="A77" s="2">
        <f>A74+1</f>
        <v>32</v>
      </c>
      <c r="B77" s="236" t="s">
        <v>2476</v>
      </c>
      <c r="C77" s="116"/>
      <c r="D77" s="116"/>
      <c r="E77" s="116"/>
      <c r="F77" s="116"/>
      <c r="G77" s="127" t="str">
        <f>" - Line "&amp;A30&amp;", Col. 2"</f>
        <v xml:space="preserve"> - Line 7, Col. 2</v>
      </c>
      <c r="H77" s="118">
        <f>-I30</f>
        <v>2176300</v>
      </c>
      <c r="I77" s="116"/>
      <c r="J77" s="116"/>
      <c r="K77" s="116"/>
      <c r="L77" s="116"/>
    </row>
    <row r="78" spans="1:12" ht="13">
      <c r="A78" s="2">
        <f>A77+1</f>
        <v>33</v>
      </c>
      <c r="B78" s="236" t="s">
        <v>2447</v>
      </c>
      <c r="C78" s="116"/>
      <c r="D78" s="116"/>
      <c r="E78" s="116"/>
      <c r="F78" s="116"/>
      <c r="G78" s="127" t="str">
        <f>"Line "&amp;A59&amp;""</f>
        <v>Line 20</v>
      </c>
      <c r="H78" s="118">
        <f>H59</f>
        <v>-3475597.2250765101</v>
      </c>
      <c r="I78" s="116"/>
      <c r="J78" s="116"/>
      <c r="K78" s="116"/>
      <c r="L78" s="116"/>
    </row>
    <row r="79" spans="1:12" ht="13">
      <c r="A79" s="2">
        <f>A78+1</f>
        <v>34</v>
      </c>
      <c r="B79" s="236" t="s">
        <v>2448</v>
      </c>
      <c r="C79" s="116"/>
      <c r="D79" s="116"/>
      <c r="E79" s="116"/>
      <c r="F79" s="116"/>
      <c r="G79" s="127" t="str">
        <f>"Line "&amp;A66&amp;""</f>
        <v>Line 23</v>
      </c>
      <c r="H79" s="118">
        <f>H66</f>
        <v>-59847.479185296681</v>
      </c>
      <c r="I79" s="116"/>
      <c r="J79" s="116"/>
      <c r="K79" s="116"/>
      <c r="L79" s="116"/>
    </row>
    <row r="80" spans="1:12" ht="13">
      <c r="A80" s="2">
        <f>A79+1</f>
        <v>35</v>
      </c>
      <c r="B80" s="236" t="s">
        <v>2449</v>
      </c>
      <c r="C80" s="116"/>
      <c r="D80" s="116"/>
      <c r="E80" s="116"/>
      <c r="F80" s="116"/>
      <c r="G80" s="127" t="str">
        <f>"- Line "&amp;A33&amp;", Col. 2"</f>
        <v>- Line 10, Col. 2</v>
      </c>
      <c r="H80" s="118">
        <f>-I33</f>
        <v>-511200</v>
      </c>
      <c r="I80" s="116"/>
      <c r="J80" s="116"/>
      <c r="K80" s="116"/>
      <c r="L80" s="116"/>
    </row>
    <row r="81" spans="1:12" ht="13">
      <c r="A81" s="2">
        <f t="shared" ref="A81:A83" si="1">A80+1</f>
        <v>36</v>
      </c>
      <c r="B81" s="236" t="s">
        <v>2477</v>
      </c>
      <c r="C81" s="116"/>
      <c r="D81" s="116"/>
      <c r="E81" s="116"/>
      <c r="F81" s="116"/>
      <c r="G81" s="294" t="str">
        <f>" - Line "&amp;A74&amp;""</f>
        <v xml:space="preserve"> - Line 31</v>
      </c>
      <c r="H81" s="118">
        <f>-H74</f>
        <v>-1025.5031682358801</v>
      </c>
      <c r="I81" s="116"/>
      <c r="J81" s="116"/>
      <c r="K81" s="116"/>
      <c r="L81" s="116"/>
    </row>
    <row r="82" spans="1:12" ht="13">
      <c r="A82" s="2">
        <f t="shared" si="1"/>
        <v>37</v>
      </c>
      <c r="B82" s="261" t="s">
        <v>2478</v>
      </c>
      <c r="C82" s="116"/>
      <c r="D82" s="116"/>
      <c r="E82" s="116"/>
      <c r="F82" s="116"/>
      <c r="G82" s="294"/>
      <c r="H82" s="120">
        <v>0</v>
      </c>
      <c r="I82" s="127" t="s">
        <v>126</v>
      </c>
      <c r="J82" s="116"/>
      <c r="K82" s="116"/>
      <c r="L82" s="116"/>
    </row>
    <row r="83" spans="1:12" ht="13">
      <c r="A83" s="2">
        <f t="shared" si="1"/>
        <v>38</v>
      </c>
      <c r="B83" s="116"/>
      <c r="C83" s="116"/>
      <c r="D83" s="116"/>
      <c r="E83" s="116"/>
      <c r="F83" s="116"/>
      <c r="G83" s="117" t="s">
        <v>2479</v>
      </c>
      <c r="H83" s="118">
        <f>SUM(H77:H82)</f>
        <v>-1871370.2074300426</v>
      </c>
      <c r="I83" s="116"/>
      <c r="J83" s="116"/>
      <c r="K83" s="116"/>
      <c r="L83" s="116"/>
    </row>
    <row r="84" spans="1:12">
      <c r="A84" s="116"/>
      <c r="B84" s="116"/>
      <c r="C84" s="116"/>
      <c r="D84" s="116"/>
      <c r="E84" s="116"/>
      <c r="F84" s="116"/>
      <c r="G84" s="116"/>
      <c r="H84" s="116"/>
      <c r="I84" s="116"/>
      <c r="J84" s="116"/>
      <c r="K84" s="116"/>
      <c r="L84" s="116"/>
    </row>
    <row r="85" spans="1:12" ht="13">
      <c r="A85" s="116"/>
      <c r="B85" s="518" t="s">
        <v>2480</v>
      </c>
      <c r="C85" s="116"/>
      <c r="D85" s="116"/>
      <c r="E85" s="116"/>
      <c r="F85" s="116"/>
      <c r="G85" s="116"/>
      <c r="H85" s="116"/>
      <c r="I85" s="116"/>
      <c r="J85" s="116"/>
      <c r="K85" s="116"/>
      <c r="L85" s="116"/>
    </row>
    <row r="86" spans="1:12" ht="13">
      <c r="A86" s="116"/>
      <c r="C86" s="116"/>
      <c r="D86" s="116"/>
      <c r="E86" s="116"/>
      <c r="F86" s="116"/>
      <c r="G86" s="18" t="s">
        <v>651</v>
      </c>
      <c r="H86" s="3" t="s">
        <v>102</v>
      </c>
      <c r="I86" s="116"/>
      <c r="J86" s="116"/>
      <c r="K86" s="116"/>
      <c r="L86" s="116"/>
    </row>
    <row r="87" spans="1:12" ht="13">
      <c r="A87" s="2">
        <f>A83+1</f>
        <v>39</v>
      </c>
      <c r="B87" s="498" t="s">
        <v>2456</v>
      </c>
      <c r="C87" s="116"/>
      <c r="D87" s="116"/>
      <c r="E87" s="116"/>
      <c r="F87" s="116"/>
      <c r="G87" s="127" t="str">
        <f>"Line "&amp;A44&amp;""</f>
        <v>Line 15</v>
      </c>
      <c r="H87" s="118">
        <f>H44</f>
        <v>-85642.623653456219</v>
      </c>
      <c r="I87" s="116"/>
      <c r="J87" s="116"/>
      <c r="K87" s="116"/>
      <c r="L87" s="116"/>
    </row>
    <row r="88" spans="1:12" ht="13">
      <c r="A88" s="2">
        <f>A87+1</f>
        <v>40</v>
      </c>
      <c r="B88" s="116" t="s">
        <v>2481</v>
      </c>
      <c r="C88" s="116"/>
      <c r="D88" s="116"/>
      <c r="E88" s="116"/>
      <c r="F88" s="116"/>
      <c r="G88" s="127" t="str">
        <f>"Line "&amp;A83&amp;""</f>
        <v>Line 38</v>
      </c>
      <c r="H88" s="118">
        <f>H83</f>
        <v>-1871370.2074300426</v>
      </c>
      <c r="I88" s="116"/>
      <c r="J88" s="116"/>
      <c r="K88" s="116"/>
      <c r="L88" s="116"/>
    </row>
    <row r="89" spans="1:12" ht="13">
      <c r="A89" s="2">
        <f>A88+1</f>
        <v>41</v>
      </c>
      <c r="B89" s="247" t="s">
        <v>2482</v>
      </c>
      <c r="C89" s="116"/>
      <c r="D89" s="116"/>
      <c r="E89" s="116"/>
      <c r="F89" s="116"/>
      <c r="G89" s="127" t="str">
        <f>"- 1-Base TRR, L "&amp;'1-BaseTRR'!A142&amp;""</f>
        <v>- 1-Base TRR, L 80</v>
      </c>
      <c r="H89" s="118">
        <f>-'1-BaseTRR'!K142</f>
        <v>-10704879.928706184</v>
      </c>
      <c r="I89" s="116"/>
      <c r="J89" s="116"/>
      <c r="K89" s="116"/>
      <c r="L89" s="116"/>
    </row>
    <row r="90" spans="1:12" ht="13">
      <c r="A90" s="2">
        <f t="shared" ref="A90:A93" si="2">A89+1</f>
        <v>42</v>
      </c>
      <c r="B90" s="247" t="s">
        <v>2483</v>
      </c>
      <c r="C90" s="116"/>
      <c r="D90" s="116"/>
      <c r="E90" s="116"/>
      <c r="F90" s="116"/>
      <c r="G90" s="127" t="str">
        <f>"- 2-IFPTRR, L "&amp;'2-IFPTRR'!A89&amp;""</f>
        <v>- 2-IFPTRR, L 80</v>
      </c>
      <c r="H90" s="189">
        <f>-'2-IFPTRR'!D89</f>
        <v>-550525.87584701669</v>
      </c>
      <c r="I90" s="116"/>
      <c r="J90" s="116"/>
      <c r="K90" s="116"/>
      <c r="L90" s="116"/>
    </row>
    <row r="91" spans="1:12" ht="13">
      <c r="A91" s="2">
        <f t="shared" si="2"/>
        <v>43</v>
      </c>
      <c r="B91" s="247" t="s">
        <v>2484</v>
      </c>
      <c r="C91" s="116"/>
      <c r="D91" s="116"/>
      <c r="E91" s="116"/>
      <c r="F91" s="116"/>
      <c r="G91" s="246" t="str">
        <f>"Sum Line "&amp;A87&amp;" to Line "&amp;A90&amp;""</f>
        <v>Sum Line 39 to Line 42</v>
      </c>
      <c r="H91" s="118">
        <f>SUM(H87:H90)</f>
        <v>-13212418.6356367</v>
      </c>
      <c r="I91" s="116"/>
      <c r="J91" s="116"/>
      <c r="K91" s="116"/>
      <c r="L91" s="116"/>
    </row>
    <row r="92" spans="1:12" ht="13">
      <c r="A92" s="2">
        <f t="shared" si="2"/>
        <v>44</v>
      </c>
      <c r="B92" s="247" t="s">
        <v>2485</v>
      </c>
      <c r="C92" s="116"/>
      <c r="D92" s="116"/>
      <c r="E92" s="116"/>
      <c r="F92" s="116"/>
      <c r="H92" s="189">
        <f>'28-FFU'!D22*SUM(H87+H88)</f>
        <v>-18326.60642230136</v>
      </c>
      <c r="I92" s="127" t="s">
        <v>222</v>
      </c>
      <c r="J92" s="116"/>
      <c r="K92" s="116"/>
      <c r="L92" s="116"/>
    </row>
    <row r="93" spans="1:12" ht="13">
      <c r="A93" s="2">
        <f t="shared" si="2"/>
        <v>45</v>
      </c>
      <c r="B93" t="s">
        <v>2486</v>
      </c>
      <c r="C93" s="116"/>
      <c r="D93" s="116"/>
      <c r="E93" s="116"/>
      <c r="F93" s="116"/>
      <c r="G93" s="246" t="str">
        <f>"Line "&amp;A91&amp;" + Line "&amp;A92&amp;""</f>
        <v>Line 43 + Line 44</v>
      </c>
      <c r="H93" s="118">
        <f>H91+H92</f>
        <v>-13230745.242059002</v>
      </c>
      <c r="I93" s="116"/>
      <c r="J93" s="116"/>
      <c r="K93" s="116"/>
      <c r="L93" s="116"/>
    </row>
    <row r="94" spans="1:12">
      <c r="A94" s="116"/>
      <c r="C94" s="116"/>
      <c r="D94" s="116"/>
      <c r="E94" s="116"/>
      <c r="F94" s="116"/>
      <c r="G94" s="116"/>
      <c r="H94" s="116"/>
      <c r="I94" s="116"/>
      <c r="J94" s="116"/>
      <c r="K94" s="116"/>
      <c r="L94" s="116"/>
    </row>
    <row r="95" spans="1:12" ht="13">
      <c r="A95" s="116"/>
      <c r="B95" s="206" t="s">
        <v>2487</v>
      </c>
      <c r="C95" s="116"/>
      <c r="D95" s="116"/>
      <c r="E95" s="116"/>
      <c r="F95" s="116"/>
      <c r="G95" s="116"/>
      <c r="H95" s="116"/>
      <c r="I95" s="116"/>
      <c r="J95" s="116"/>
      <c r="K95" s="116"/>
      <c r="L95" s="116"/>
    </row>
    <row r="96" spans="1:12">
      <c r="A96" s="116"/>
      <c r="B96" s="116" t="s">
        <v>2488</v>
      </c>
      <c r="C96" s="116"/>
      <c r="D96" s="116"/>
      <c r="E96" s="116"/>
      <c r="F96" s="116"/>
      <c r="G96" s="116"/>
      <c r="H96" s="116"/>
      <c r="I96" s="116"/>
      <c r="J96" s="116"/>
      <c r="K96" s="116"/>
      <c r="L96" s="116"/>
    </row>
    <row r="97" spans="1:12">
      <c r="A97" s="116"/>
      <c r="B97" s="116" t="s">
        <v>2489</v>
      </c>
      <c r="C97" s="116"/>
      <c r="D97" s="116"/>
      <c r="E97" s="116"/>
      <c r="F97" s="116"/>
      <c r="G97" s="116"/>
      <c r="H97" s="116"/>
      <c r="I97" s="116"/>
      <c r="J97" s="116"/>
      <c r="K97" s="116"/>
      <c r="L97" s="116"/>
    </row>
    <row r="98" spans="1:12">
      <c r="A98" s="116"/>
      <c r="B98" s="116" t="str">
        <f>"2) Input Prior Year for this Informational Filing in Line "&amp;A42&amp;"."</f>
        <v>2) Input Prior Year for this Informational Filing in Line 13.</v>
      </c>
      <c r="I98" s="116"/>
      <c r="J98" s="116"/>
      <c r="K98" s="116"/>
      <c r="L98" s="116"/>
    </row>
    <row r="99" spans="1:12">
      <c r="A99" s="116"/>
      <c r="B99" s="116" t="str">
        <f>"3) Calculation: (Line "&amp;A34&amp;", "&amp;H25&amp;") + ((Line "&amp;A34&amp;", "&amp;I25&amp;") * (Line "&amp;A42&amp;" - 2010))."</f>
        <v>3) Calculation: (Line 11, Col 1) + ((Line 11, Col 2) * (Line 13 - 2010)).</v>
      </c>
      <c r="I99" s="116"/>
      <c r="J99" s="116"/>
      <c r="K99" s="116"/>
      <c r="L99" s="116"/>
    </row>
    <row r="100" spans="1:12">
      <c r="A100" s="116"/>
      <c r="B100" s="116" t="str">
        <f>"4) Franchise Fee Exclusion is equal to the Franchise Fee Factor on the 28-FFU Line "&amp;'28-FFU'!A22&amp;""</f>
        <v>4) Franchise Fee Exclusion is equal to the Franchise Fee Factor on the 28-FFU Line 5</v>
      </c>
      <c r="C100" s="116"/>
      <c r="D100" s="116"/>
      <c r="E100" s="116"/>
      <c r="F100" s="116"/>
      <c r="G100" s="116"/>
      <c r="H100" s="116"/>
      <c r="I100" s="116"/>
      <c r="J100" s="116"/>
      <c r="K100" s="116"/>
      <c r="L100" s="116"/>
    </row>
    <row r="101" spans="1:12">
      <c r="A101" s="116"/>
      <c r="B101" s="116" t="str">
        <f>"times Line "&amp;A87&amp;" + "&amp;A88&amp;"."</f>
        <v>times Line 39 + 40.</v>
      </c>
      <c r="C101" s="116"/>
      <c r="D101" s="116"/>
      <c r="E101" s="116"/>
      <c r="F101" s="116"/>
      <c r="G101" s="116"/>
      <c r="H101" s="116"/>
      <c r="I101" s="116"/>
      <c r="J101" s="116"/>
      <c r="K101" s="116"/>
      <c r="L101" s="116"/>
    </row>
    <row r="102" spans="1:12" ht="13">
      <c r="A102" s="116"/>
      <c r="B102" s="116" t="s">
        <v>2490</v>
      </c>
      <c r="C102" s="116"/>
      <c r="D102" s="116"/>
      <c r="E102" s="116"/>
      <c r="F102" s="116"/>
      <c r="G102" s="694"/>
      <c r="H102" s="116"/>
      <c r="I102" s="116"/>
      <c r="J102" s="116"/>
      <c r="K102" s="116"/>
      <c r="L102" s="116"/>
    </row>
    <row r="103" spans="1:12">
      <c r="A103" s="116"/>
      <c r="B103" s="247" t="s">
        <v>2491</v>
      </c>
      <c r="C103" s="116"/>
      <c r="D103" s="116"/>
      <c r="E103" s="116"/>
      <c r="F103" s="116"/>
      <c r="G103" s="116"/>
      <c r="H103" s="116"/>
      <c r="I103" s="116"/>
      <c r="J103" s="116"/>
      <c r="K103" s="116"/>
      <c r="L103" s="116"/>
    </row>
    <row r="104" spans="1:12">
      <c r="A104" s="116"/>
      <c r="B104" s="116"/>
      <c r="C104" s="116"/>
      <c r="D104" s="116"/>
      <c r="E104" s="116"/>
      <c r="F104" s="116"/>
      <c r="G104" s="116"/>
      <c r="H104" s="116"/>
      <c r="I104" s="116"/>
      <c r="J104" s="116"/>
      <c r="K104" s="116"/>
      <c r="L104" s="116"/>
    </row>
    <row r="105" spans="1:12">
      <c r="A105" s="116"/>
      <c r="B105" s="116"/>
      <c r="C105" s="116"/>
      <c r="D105" s="116"/>
      <c r="E105" s="116"/>
      <c r="F105" s="116"/>
      <c r="G105" s="116"/>
      <c r="H105" s="116"/>
      <c r="I105" s="116"/>
      <c r="J105" s="116"/>
      <c r="K105" s="116"/>
      <c r="L105" s="116"/>
    </row>
    <row r="106" spans="1:12">
      <c r="A106" s="116"/>
      <c r="B106" s="116"/>
      <c r="C106" s="116"/>
      <c r="D106" s="116"/>
      <c r="E106" s="116"/>
      <c r="F106" s="116"/>
      <c r="G106" s="116"/>
      <c r="H106" s="116"/>
      <c r="I106" s="116"/>
      <c r="J106" s="116"/>
      <c r="K106" s="116"/>
      <c r="L106" s="116"/>
    </row>
    <row r="107" spans="1:12">
      <c r="A107" s="116"/>
      <c r="B107" s="116"/>
      <c r="C107" s="116"/>
      <c r="D107" s="116"/>
      <c r="E107" s="116"/>
      <c r="F107" s="116"/>
      <c r="G107" s="116"/>
      <c r="H107" s="116"/>
      <c r="I107" s="116"/>
      <c r="J107" s="116"/>
      <c r="K107" s="116"/>
      <c r="L107" s="116"/>
    </row>
    <row r="108" spans="1:12">
      <c r="A108" s="116"/>
      <c r="B108" s="116"/>
      <c r="C108" s="116"/>
      <c r="D108" s="116"/>
      <c r="E108" s="116"/>
      <c r="F108" s="116"/>
      <c r="G108" s="116"/>
      <c r="H108" s="116"/>
      <c r="I108" s="116"/>
      <c r="J108" s="116"/>
      <c r="K108" s="116"/>
      <c r="L108" s="116"/>
    </row>
    <row r="109" spans="1:12">
      <c r="A109" s="116"/>
      <c r="B109" s="116"/>
      <c r="C109" s="116"/>
      <c r="D109" s="116"/>
      <c r="E109" s="116"/>
      <c r="F109" s="116"/>
      <c r="G109" s="116"/>
      <c r="H109" s="116"/>
      <c r="I109" s="116"/>
      <c r="J109" s="116"/>
      <c r="K109" s="116"/>
      <c r="L109" s="116"/>
    </row>
    <row r="110" spans="1:12">
      <c r="A110" s="116"/>
      <c r="B110" s="116"/>
      <c r="C110" s="116"/>
      <c r="D110" s="116"/>
      <c r="E110" s="116"/>
      <c r="F110" s="116"/>
      <c r="G110" s="116"/>
      <c r="H110" s="116"/>
      <c r="I110" s="116"/>
      <c r="J110" s="116"/>
      <c r="K110" s="116"/>
      <c r="L110" s="116"/>
    </row>
    <row r="111" spans="1:12">
      <c r="A111" s="116"/>
      <c r="B111" s="116"/>
      <c r="C111" s="116"/>
      <c r="D111" s="116"/>
      <c r="E111" s="116"/>
      <c r="F111" s="116"/>
      <c r="G111" s="116"/>
      <c r="H111" s="116"/>
      <c r="I111" s="116"/>
      <c r="J111" s="116"/>
      <c r="K111" s="116"/>
      <c r="L111" s="116"/>
    </row>
    <row r="112" spans="1:12">
      <c r="A112" s="116"/>
      <c r="B112" s="116"/>
      <c r="C112" s="116"/>
      <c r="D112" s="116"/>
      <c r="E112" s="116"/>
      <c r="F112" s="116"/>
      <c r="G112" s="116"/>
      <c r="H112" s="116"/>
      <c r="I112" s="116"/>
      <c r="J112" s="116"/>
      <c r="K112" s="116"/>
      <c r="L112" s="116"/>
    </row>
    <row r="113" spans="1:12">
      <c r="A113" s="116"/>
      <c r="B113" s="116"/>
      <c r="C113" s="116"/>
      <c r="D113" s="116"/>
      <c r="E113" s="116"/>
      <c r="F113" s="116"/>
      <c r="G113" s="116"/>
      <c r="H113" s="116"/>
      <c r="I113" s="116"/>
      <c r="J113" s="116"/>
      <c r="K113" s="116"/>
      <c r="L113" s="116"/>
    </row>
    <row r="114" spans="1:12">
      <c r="A114" s="116"/>
      <c r="B114" s="116"/>
      <c r="C114" s="116"/>
      <c r="D114" s="116"/>
      <c r="E114" s="116"/>
      <c r="F114" s="116"/>
      <c r="G114" s="116"/>
      <c r="H114" s="116"/>
      <c r="I114" s="116"/>
      <c r="J114" s="116"/>
      <c r="K114" s="116"/>
      <c r="L114" s="116"/>
    </row>
    <row r="115" spans="1:12">
      <c r="A115" s="116"/>
      <c r="B115" s="116"/>
      <c r="C115" s="116"/>
      <c r="D115" s="116"/>
      <c r="E115" s="116"/>
      <c r="F115" s="116"/>
      <c r="G115" s="116"/>
      <c r="H115" s="116"/>
      <c r="I115" s="116"/>
      <c r="J115" s="116"/>
      <c r="K115" s="116"/>
      <c r="L115" s="116"/>
    </row>
    <row r="116" spans="1:12">
      <c r="A116" s="116"/>
      <c r="B116" s="116"/>
      <c r="C116" s="116"/>
      <c r="D116" s="116"/>
      <c r="E116" s="116"/>
      <c r="F116" s="116"/>
      <c r="G116" s="116"/>
      <c r="H116" s="116"/>
      <c r="I116" s="116"/>
      <c r="J116" s="116"/>
      <c r="K116" s="116"/>
      <c r="L116" s="116"/>
    </row>
    <row r="117" spans="1:12">
      <c r="A117" s="116"/>
      <c r="B117" s="116"/>
      <c r="C117" s="116"/>
      <c r="D117" s="116"/>
      <c r="E117" s="116"/>
      <c r="F117" s="116"/>
      <c r="G117" s="116"/>
      <c r="H117" s="116"/>
      <c r="I117" s="116"/>
      <c r="J117" s="116"/>
      <c r="K117" s="116"/>
      <c r="L117" s="116"/>
    </row>
    <row r="118" spans="1:12">
      <c r="A118" s="116"/>
      <c r="B118" s="116"/>
      <c r="C118" s="116"/>
      <c r="D118" s="116"/>
      <c r="E118" s="116"/>
      <c r="F118" s="116"/>
      <c r="G118" s="116"/>
      <c r="H118" s="116"/>
      <c r="I118" s="116"/>
      <c r="J118" s="116"/>
      <c r="K118" s="116"/>
      <c r="L118" s="116"/>
    </row>
    <row r="119" spans="1:12">
      <c r="A119" s="116"/>
      <c r="B119" s="116"/>
      <c r="C119" s="116"/>
      <c r="D119" s="116"/>
      <c r="E119" s="116"/>
      <c r="F119" s="116"/>
      <c r="G119" s="116"/>
      <c r="H119" s="116"/>
      <c r="I119" s="116"/>
      <c r="J119" s="116"/>
      <c r="K119" s="116"/>
      <c r="L119" s="116"/>
    </row>
    <row r="120" spans="1:12">
      <c r="A120" s="116"/>
      <c r="B120" s="116"/>
      <c r="C120" s="116"/>
      <c r="D120" s="116"/>
      <c r="E120" s="116"/>
      <c r="F120" s="116"/>
      <c r="G120" s="116"/>
      <c r="H120" s="116"/>
      <c r="I120" s="116"/>
      <c r="J120" s="116"/>
      <c r="K120" s="116"/>
      <c r="L120" s="116"/>
    </row>
    <row r="121" spans="1:12">
      <c r="A121" s="116"/>
      <c r="B121" s="116"/>
      <c r="C121" s="116"/>
      <c r="D121" s="116"/>
      <c r="E121" s="116"/>
      <c r="F121" s="116"/>
      <c r="G121" s="116"/>
      <c r="H121" s="116"/>
      <c r="I121" s="116"/>
      <c r="J121" s="116"/>
      <c r="K121" s="116"/>
      <c r="L121" s="116"/>
    </row>
    <row r="122" spans="1:12">
      <c r="A122" s="116"/>
      <c r="B122" s="116"/>
      <c r="C122" s="116"/>
      <c r="D122" s="116"/>
      <c r="E122" s="116"/>
      <c r="F122" s="116"/>
      <c r="G122" s="116"/>
      <c r="H122" s="116"/>
      <c r="I122" s="116"/>
      <c r="J122" s="116"/>
      <c r="K122" s="116"/>
      <c r="L122" s="116"/>
    </row>
    <row r="123" spans="1:12">
      <c r="A123" s="116"/>
      <c r="B123" s="116"/>
      <c r="C123" s="116"/>
      <c r="D123" s="116"/>
      <c r="E123" s="116"/>
      <c r="F123" s="116"/>
      <c r="G123" s="116"/>
      <c r="H123" s="116"/>
      <c r="I123" s="116"/>
      <c r="J123" s="116"/>
      <c r="K123" s="116"/>
      <c r="L123" s="116"/>
    </row>
    <row r="124" spans="1:12">
      <c r="A124" s="116"/>
      <c r="B124" s="116"/>
      <c r="C124" s="116"/>
      <c r="D124" s="116"/>
      <c r="E124" s="116"/>
      <c r="F124" s="116"/>
      <c r="G124" s="116"/>
      <c r="H124" s="116"/>
      <c r="I124" s="116"/>
      <c r="J124" s="116"/>
      <c r="K124" s="116"/>
      <c r="L124" s="116"/>
    </row>
    <row r="125" spans="1:12">
      <c r="A125" s="116"/>
      <c r="B125" s="116"/>
      <c r="C125" s="116"/>
      <c r="D125" s="116"/>
      <c r="E125" s="116"/>
      <c r="F125" s="116"/>
      <c r="G125" s="116"/>
      <c r="H125" s="116"/>
      <c r="I125" s="116"/>
      <c r="J125" s="116"/>
      <c r="K125" s="116"/>
      <c r="L125" s="116"/>
    </row>
    <row r="126" spans="1:12">
      <c r="A126" s="116"/>
      <c r="B126" s="116"/>
      <c r="C126" s="116"/>
      <c r="D126" s="116"/>
      <c r="E126" s="116"/>
      <c r="F126" s="116"/>
      <c r="G126" s="116"/>
      <c r="H126" s="116"/>
      <c r="I126" s="116"/>
      <c r="J126" s="116"/>
      <c r="K126" s="116"/>
      <c r="L126" s="116"/>
    </row>
    <row r="127" spans="1:12">
      <c r="A127" s="116"/>
      <c r="B127" s="116"/>
      <c r="C127" s="116"/>
      <c r="D127" s="116"/>
      <c r="E127" s="116"/>
      <c r="F127" s="116"/>
      <c r="G127" s="116"/>
      <c r="H127" s="116"/>
      <c r="I127" s="116"/>
      <c r="J127" s="116"/>
      <c r="K127" s="116"/>
      <c r="L127" s="116"/>
    </row>
    <row r="128" spans="1:12">
      <c r="A128" s="116"/>
      <c r="B128" s="116"/>
      <c r="C128" s="116"/>
      <c r="D128" s="116"/>
      <c r="E128" s="116"/>
      <c r="F128" s="116"/>
      <c r="G128" s="116"/>
      <c r="H128" s="116"/>
      <c r="I128" s="116"/>
      <c r="J128" s="116"/>
      <c r="K128" s="116"/>
      <c r="L128" s="116"/>
    </row>
    <row r="129" spans="1:12">
      <c r="A129" s="116"/>
      <c r="B129" s="116"/>
      <c r="C129" s="116"/>
      <c r="D129" s="116"/>
      <c r="E129" s="116"/>
      <c r="F129" s="116"/>
      <c r="G129" s="116"/>
      <c r="H129" s="116"/>
      <c r="I129" s="116"/>
      <c r="J129" s="116"/>
      <c r="K129" s="116"/>
      <c r="L129" s="116"/>
    </row>
    <row r="130" spans="1:12">
      <c r="A130" s="116"/>
      <c r="B130" s="116"/>
      <c r="C130" s="116"/>
      <c r="D130" s="116"/>
      <c r="E130" s="116"/>
      <c r="F130" s="116"/>
      <c r="G130" s="116"/>
      <c r="H130" s="116"/>
      <c r="I130" s="116"/>
      <c r="J130" s="116"/>
      <c r="K130" s="116"/>
      <c r="L130" s="116"/>
    </row>
    <row r="131" spans="1:12">
      <c r="A131" s="116"/>
      <c r="B131" s="116"/>
      <c r="C131" s="116"/>
      <c r="D131" s="116"/>
      <c r="E131" s="116"/>
      <c r="F131" s="116"/>
      <c r="G131" s="116"/>
      <c r="H131" s="116"/>
      <c r="I131" s="116"/>
      <c r="J131" s="116"/>
      <c r="K131" s="116"/>
      <c r="L131" s="116"/>
    </row>
    <row r="132" spans="1:12">
      <c r="A132" s="116"/>
      <c r="B132" s="116"/>
      <c r="C132" s="116"/>
      <c r="D132" s="116"/>
      <c r="E132" s="116"/>
      <c r="F132" s="116"/>
      <c r="G132" s="116"/>
      <c r="H132" s="116"/>
      <c r="I132" s="116"/>
      <c r="J132" s="116"/>
      <c r="K132" s="116"/>
      <c r="L132" s="116"/>
    </row>
    <row r="133" spans="1:12">
      <c r="A133" s="116"/>
      <c r="B133" s="116"/>
      <c r="C133" s="116"/>
      <c r="D133" s="116"/>
      <c r="E133" s="116"/>
      <c r="F133" s="116"/>
      <c r="G133" s="116"/>
      <c r="H133" s="116"/>
      <c r="I133" s="116"/>
      <c r="J133" s="116"/>
      <c r="K133" s="116"/>
      <c r="L133" s="116"/>
    </row>
    <row r="134" spans="1:12">
      <c r="A134" s="116"/>
      <c r="B134" s="116"/>
      <c r="C134" s="116"/>
      <c r="D134" s="116"/>
      <c r="E134" s="116"/>
      <c r="F134" s="116"/>
      <c r="G134" s="116"/>
      <c r="H134" s="116"/>
      <c r="I134" s="116"/>
      <c r="J134" s="116"/>
      <c r="K134" s="116"/>
      <c r="L134" s="116"/>
    </row>
    <row r="135" spans="1:12">
      <c r="A135" s="116"/>
      <c r="B135" s="116"/>
      <c r="C135" s="116"/>
      <c r="D135" s="116"/>
      <c r="E135" s="116"/>
      <c r="F135" s="116"/>
      <c r="G135" s="116"/>
      <c r="H135" s="116"/>
      <c r="I135" s="116"/>
      <c r="J135" s="116"/>
      <c r="K135" s="116"/>
      <c r="L135" s="116"/>
    </row>
    <row r="136" spans="1:12">
      <c r="A136" s="116"/>
      <c r="B136" s="116"/>
      <c r="C136" s="116"/>
      <c r="D136" s="116"/>
      <c r="E136" s="116"/>
      <c r="F136" s="116"/>
      <c r="G136" s="116"/>
      <c r="H136" s="116"/>
      <c r="I136" s="116"/>
      <c r="J136" s="116"/>
      <c r="K136" s="116"/>
      <c r="L136" s="116"/>
    </row>
    <row r="137" spans="1:12">
      <c r="A137" s="116"/>
      <c r="B137" s="116"/>
      <c r="C137" s="116"/>
      <c r="D137" s="116"/>
      <c r="E137" s="116"/>
      <c r="F137" s="116"/>
      <c r="G137" s="116"/>
      <c r="H137" s="116"/>
      <c r="I137" s="116"/>
      <c r="J137" s="116"/>
      <c r="K137" s="116"/>
      <c r="L137" s="116"/>
    </row>
    <row r="138" spans="1:12">
      <c r="A138" s="116"/>
      <c r="B138" s="116"/>
      <c r="C138" s="116"/>
      <c r="D138" s="116"/>
      <c r="E138" s="116"/>
      <c r="F138" s="116"/>
      <c r="G138" s="116"/>
      <c r="H138" s="116"/>
      <c r="I138" s="116"/>
      <c r="J138" s="116"/>
      <c r="K138" s="116"/>
      <c r="L138" s="116"/>
    </row>
    <row r="139" spans="1:12">
      <c r="A139" s="116"/>
      <c r="B139" s="116"/>
      <c r="C139" s="116"/>
      <c r="D139" s="116"/>
      <c r="E139" s="116"/>
      <c r="F139" s="116"/>
      <c r="G139" s="116"/>
      <c r="H139" s="116"/>
      <c r="I139" s="116"/>
      <c r="J139" s="116"/>
      <c r="K139" s="116"/>
      <c r="L139" s="116"/>
    </row>
    <row r="140" spans="1:12">
      <c r="A140" s="116"/>
      <c r="B140" s="116"/>
      <c r="C140" s="116"/>
      <c r="D140" s="116"/>
      <c r="E140" s="116"/>
      <c r="F140" s="116"/>
      <c r="G140" s="116"/>
      <c r="H140" s="116"/>
      <c r="I140" s="116"/>
      <c r="J140" s="116"/>
      <c r="K140" s="116"/>
      <c r="L140" s="116"/>
    </row>
    <row r="141" spans="1:12">
      <c r="A141" s="116"/>
      <c r="B141" s="116"/>
      <c r="C141" s="116"/>
      <c r="D141" s="116"/>
      <c r="E141" s="116"/>
      <c r="F141" s="116"/>
      <c r="G141" s="116"/>
      <c r="H141" s="116"/>
      <c r="I141" s="116"/>
      <c r="J141" s="116"/>
      <c r="K141" s="116"/>
      <c r="L141" s="116"/>
    </row>
    <row r="142" spans="1:12">
      <c r="A142" s="116"/>
      <c r="B142" s="116"/>
      <c r="C142" s="116"/>
      <c r="D142" s="116"/>
      <c r="E142" s="116"/>
      <c r="F142" s="116"/>
      <c r="G142" s="116"/>
      <c r="H142" s="116"/>
      <c r="I142" s="116"/>
      <c r="J142" s="116"/>
      <c r="K142" s="116"/>
      <c r="L142" s="116"/>
    </row>
    <row r="143" spans="1:12">
      <c r="A143" s="116"/>
      <c r="B143" s="116"/>
      <c r="C143" s="116"/>
      <c r="D143" s="116"/>
      <c r="E143" s="116"/>
      <c r="F143" s="116"/>
      <c r="G143" s="116"/>
      <c r="H143" s="116"/>
      <c r="I143" s="116"/>
      <c r="J143" s="116"/>
      <c r="K143" s="116"/>
      <c r="L143" s="116"/>
    </row>
    <row r="144" spans="1:12">
      <c r="A144" s="116"/>
      <c r="B144" s="116"/>
      <c r="C144" s="116"/>
      <c r="D144" s="116"/>
      <c r="E144" s="116"/>
      <c r="F144" s="116"/>
      <c r="G144" s="116"/>
      <c r="H144" s="116"/>
      <c r="I144" s="116"/>
      <c r="J144" s="116"/>
      <c r="K144" s="116"/>
      <c r="L144" s="116"/>
    </row>
    <row r="145" spans="1:12">
      <c r="A145" s="116"/>
      <c r="B145" s="116"/>
      <c r="C145" s="116"/>
      <c r="D145" s="116"/>
      <c r="E145" s="116"/>
      <c r="F145" s="116"/>
      <c r="G145" s="116"/>
      <c r="H145" s="116"/>
      <c r="I145" s="116"/>
      <c r="J145" s="116"/>
      <c r="K145" s="116"/>
      <c r="L145" s="116"/>
    </row>
    <row r="146" spans="1:12">
      <c r="A146" s="116"/>
      <c r="B146" s="116"/>
      <c r="C146" s="116"/>
      <c r="D146" s="116"/>
      <c r="E146" s="116"/>
      <c r="F146" s="116"/>
      <c r="G146" s="116"/>
      <c r="H146" s="116"/>
      <c r="I146" s="116"/>
      <c r="J146" s="116"/>
      <c r="K146" s="116"/>
      <c r="L146" s="116"/>
    </row>
    <row r="147" spans="1:12">
      <c r="A147" s="116"/>
      <c r="B147" s="116"/>
      <c r="C147" s="116"/>
      <c r="D147" s="116"/>
      <c r="E147" s="116"/>
      <c r="F147" s="116"/>
      <c r="G147" s="116"/>
      <c r="H147" s="116"/>
      <c r="I147" s="116"/>
      <c r="J147" s="116"/>
      <c r="K147" s="116"/>
      <c r="L147" s="116"/>
    </row>
    <row r="148" spans="1:12">
      <c r="A148" s="116"/>
      <c r="B148" s="116"/>
      <c r="C148" s="116"/>
      <c r="D148" s="116"/>
      <c r="E148" s="116"/>
      <c r="F148" s="116"/>
      <c r="G148" s="116"/>
      <c r="H148" s="116"/>
      <c r="I148" s="116"/>
      <c r="J148" s="116"/>
      <c r="K148" s="116"/>
      <c r="L148" s="116"/>
    </row>
    <row r="149" spans="1:12">
      <c r="A149" s="116"/>
      <c r="B149" s="116"/>
      <c r="C149" s="116"/>
      <c r="D149" s="116"/>
      <c r="E149" s="116"/>
      <c r="F149" s="116"/>
      <c r="G149" s="116"/>
      <c r="H149" s="116"/>
      <c r="I149" s="116"/>
      <c r="J149" s="116"/>
      <c r="K149" s="116"/>
      <c r="L149" s="116"/>
    </row>
    <row r="150" spans="1:12">
      <c r="A150" s="116"/>
      <c r="B150" s="116"/>
      <c r="C150" s="116"/>
      <c r="D150" s="116"/>
      <c r="E150" s="116"/>
      <c r="F150" s="116"/>
      <c r="G150" s="116"/>
      <c r="H150" s="116"/>
      <c r="I150" s="116"/>
      <c r="J150" s="116"/>
      <c r="K150" s="116"/>
      <c r="L150" s="116"/>
    </row>
    <row r="151" spans="1:12">
      <c r="A151" s="116"/>
      <c r="B151" s="116"/>
      <c r="C151" s="116"/>
      <c r="D151" s="116"/>
      <c r="E151" s="116"/>
      <c r="F151" s="116"/>
      <c r="G151" s="116"/>
      <c r="H151" s="116"/>
      <c r="I151" s="116"/>
      <c r="J151" s="116"/>
      <c r="K151" s="116"/>
      <c r="L151" s="116"/>
    </row>
    <row r="152" spans="1:12">
      <c r="A152" s="116"/>
      <c r="B152" s="116"/>
      <c r="C152" s="116"/>
      <c r="D152" s="116"/>
      <c r="E152" s="116"/>
      <c r="F152" s="116"/>
      <c r="G152" s="116"/>
      <c r="H152" s="116"/>
      <c r="I152" s="116"/>
      <c r="J152" s="116"/>
      <c r="K152" s="116"/>
      <c r="L152" s="116"/>
    </row>
    <row r="153" spans="1:12">
      <c r="A153" s="116"/>
      <c r="B153" s="116"/>
      <c r="C153" s="116"/>
      <c r="D153" s="116"/>
      <c r="E153" s="116"/>
      <c r="F153" s="116"/>
      <c r="G153" s="116"/>
      <c r="H153" s="116"/>
      <c r="I153" s="116"/>
      <c r="J153" s="116"/>
      <c r="K153" s="116"/>
      <c r="L153" s="116"/>
    </row>
  </sheetData>
  <pageMargins left="0.7" right="0.7" top="0.75" bottom="0.75" header="0.3" footer="0.3"/>
  <pageSetup scale="76" orientation="portrait" cellComments="asDisplayed" r:id="rId1"/>
  <headerFooter>
    <oddHeader>&amp;CSchedule 25
Wholesale Differences to Base TRR
&amp;RTO2024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2492</v>
      </c>
    </row>
    <row r="3" spans="1:5" ht="13">
      <c r="B3" s="1" t="s">
        <v>2493</v>
      </c>
      <c r="E3" s="54" t="s">
        <v>635</v>
      </c>
    </row>
    <row r="4" spans="1:5" ht="13">
      <c r="D4" s="2" t="s">
        <v>2494</v>
      </c>
    </row>
    <row r="5" spans="1:5" ht="13">
      <c r="C5" s="2" t="s">
        <v>376</v>
      </c>
      <c r="D5" s="2" t="s">
        <v>2495</v>
      </c>
    </row>
    <row r="6" spans="1:5" ht="13">
      <c r="A6" s="3" t="s">
        <v>273</v>
      </c>
      <c r="C6" s="3" t="s">
        <v>372</v>
      </c>
      <c r="D6" s="3" t="s">
        <v>2496</v>
      </c>
      <c r="E6" s="3" t="s">
        <v>651</v>
      </c>
    </row>
    <row r="7" spans="1:5" ht="13">
      <c r="A7" s="2">
        <v>1</v>
      </c>
      <c r="C7" s="289">
        <v>2024</v>
      </c>
      <c r="D7" s="640">
        <v>0.21</v>
      </c>
      <c r="E7" s="320" t="s">
        <v>2497</v>
      </c>
    </row>
    <row r="8" spans="1:5" ht="13">
      <c r="A8" s="2">
        <f>A7+1</f>
        <v>2</v>
      </c>
      <c r="D8">
        <v>0</v>
      </c>
      <c r="E8" s="246"/>
    </row>
    <row r="9" spans="1:5" ht="13">
      <c r="A9" s="2">
        <f t="shared" ref="A9:A23" si="0">A8+1</f>
        <v>3</v>
      </c>
      <c r="B9" s="1" t="s">
        <v>2498</v>
      </c>
    </row>
    <row r="10" spans="1:5" ht="13">
      <c r="A10" s="2">
        <f t="shared" si="0"/>
        <v>4</v>
      </c>
      <c r="B10" s="1"/>
      <c r="D10" s="2"/>
    </row>
    <row r="11" spans="1:5" ht="13">
      <c r="A11" s="2">
        <f t="shared" si="0"/>
        <v>5</v>
      </c>
      <c r="D11" s="2" t="s">
        <v>2499</v>
      </c>
    </row>
    <row r="12" spans="1:5" ht="13">
      <c r="A12" s="2">
        <f t="shared" si="0"/>
        <v>6</v>
      </c>
      <c r="C12" s="2" t="s">
        <v>376</v>
      </c>
      <c r="D12" s="2" t="s">
        <v>2495</v>
      </c>
    </row>
    <row r="13" spans="1:5" ht="13">
      <c r="A13" s="2">
        <f t="shared" si="0"/>
        <v>7</v>
      </c>
      <c r="C13" s="3" t="s">
        <v>372</v>
      </c>
      <c r="D13" s="3" t="s">
        <v>2500</v>
      </c>
      <c r="E13" s="3" t="s">
        <v>651</v>
      </c>
    </row>
    <row r="14" spans="1:5" ht="13">
      <c r="A14" s="2">
        <f t="shared" si="0"/>
        <v>8</v>
      </c>
      <c r="C14" s="289">
        <v>2024</v>
      </c>
      <c r="D14" s="579">
        <v>8.8400000000000006E-2</v>
      </c>
      <c r="E14" s="320" t="s">
        <v>165</v>
      </c>
    </row>
    <row r="15" spans="1:5" ht="13">
      <c r="A15" s="2">
        <f t="shared" si="0"/>
        <v>9</v>
      </c>
      <c r="C15" s="33"/>
      <c r="E15" s="246"/>
    </row>
    <row r="16" spans="1:5" ht="13">
      <c r="A16" s="2">
        <f t="shared" si="0"/>
        <v>10</v>
      </c>
      <c r="C16" s="33"/>
      <c r="E16" s="12"/>
    </row>
    <row r="17" spans="1:9" ht="13">
      <c r="A17" s="2">
        <f t="shared" si="0"/>
        <v>11</v>
      </c>
      <c r="C17" s="37"/>
      <c r="E17" s="12"/>
    </row>
    <row r="18" spans="1:9" ht="12.75" customHeight="1">
      <c r="A18" s="2">
        <f t="shared" si="0"/>
        <v>12</v>
      </c>
      <c r="B18" s="1" t="s">
        <v>2501</v>
      </c>
      <c r="E18" s="12"/>
    </row>
    <row r="19" spans="1:9" ht="12.75" customHeight="1">
      <c r="A19" s="2">
        <f t="shared" si="0"/>
        <v>13</v>
      </c>
      <c r="E19" s="294"/>
      <c r="F19" s="3" t="s">
        <v>79</v>
      </c>
    </row>
    <row r="20" spans="1:9" ht="12.75" customHeight="1">
      <c r="A20" s="2">
        <f t="shared" si="0"/>
        <v>14</v>
      </c>
      <c r="C20" t="str">
        <f>"Total Electric Payroll Tax Expense (From 1-BaseTRR, Line "&amp;'1-BaseTRR'!A52&amp;")"</f>
        <v>Total Electric Payroll Tax Expense (From 1-BaseTRR, Line 31)</v>
      </c>
      <c r="F20" s="6">
        <f>'1-BaseTRR'!K52</f>
        <v>137212188.21000001</v>
      </c>
      <c r="G20" s="247"/>
    </row>
    <row r="21" spans="1:9" ht="12.75" customHeight="1">
      <c r="A21" s="2">
        <f t="shared" si="0"/>
        <v>15</v>
      </c>
      <c r="C21" s="247" t="s">
        <v>2502</v>
      </c>
      <c r="F21" s="315">
        <v>0.5</v>
      </c>
      <c r="G21" s="247"/>
    </row>
    <row r="22" spans="1:9" ht="12.75" customHeight="1">
      <c r="A22" s="2">
        <f t="shared" si="0"/>
        <v>16</v>
      </c>
      <c r="C22" s="247" t="str">
        <f>"Capitalized Overhead portion of Electric Payroll Tax Expense (Line "&amp;A20&amp;" * Line "&amp;A21&amp;")"</f>
        <v>Capitalized Overhead portion of Electric Payroll Tax Expense (Line 14 * Line 15)</v>
      </c>
      <c r="F22" s="189">
        <f>F20*F21</f>
        <v>68606094.105000004</v>
      </c>
      <c r="G22" s="247"/>
      <c r="I22" s="247"/>
    </row>
    <row r="23" spans="1:9" ht="13">
      <c r="A23" s="2">
        <f t="shared" si="0"/>
        <v>17</v>
      </c>
      <c r="C23" s="247" t="str">
        <f>"Non-Capitalized Overhead portion of Electric Payroll Tax Expense (Line "&amp;A20&amp;" - Line "&amp;A22&amp;")"</f>
        <v>Non-Capitalized Overhead portion of Electric Payroll Tax Expense (Line 14 - Line 16)</v>
      </c>
      <c r="F23" s="6">
        <f>F20-F22</f>
        <v>68606094.105000004</v>
      </c>
      <c r="G23" s="247"/>
    </row>
    <row r="25" spans="1:9" ht="13">
      <c r="B25" s="30" t="s">
        <v>228</v>
      </c>
    </row>
    <row r="26" spans="1:9">
      <c r="B26" s="291" t="s">
        <v>2503</v>
      </c>
      <c r="D26" s="254" t="s">
        <v>2937</v>
      </c>
      <c r="E26" s="254"/>
      <c r="F26" s="54"/>
    </row>
    <row r="27" spans="1:9">
      <c r="B27" s="291" t="s">
        <v>2504</v>
      </c>
    </row>
    <row r="28" spans="1:9">
      <c r="B28" s="246"/>
      <c r="D28" s="54" t="s">
        <v>2938</v>
      </c>
      <c r="E28" s="54"/>
      <c r="F28" s="54"/>
    </row>
    <row r="29" spans="1:9">
      <c r="B29" s="247" t="s">
        <v>2505</v>
      </c>
      <c r="E29" s="254" t="s">
        <v>2939</v>
      </c>
    </row>
    <row r="30" spans="1:9">
      <c r="B30" s="246" t="s">
        <v>2506</v>
      </c>
      <c r="E30" s="281" t="s">
        <v>2940</v>
      </c>
    </row>
    <row r="31" spans="1:9">
      <c r="B31" s="247" t="s">
        <v>2507</v>
      </c>
    </row>
    <row r="32" spans="1:9">
      <c r="B32" s="247" t="s">
        <v>2508</v>
      </c>
    </row>
    <row r="33" spans="2:2">
      <c r="B33" s="247" t="s">
        <v>2509</v>
      </c>
    </row>
    <row r="34" spans="2:2">
      <c r="B34" s="247" t="s">
        <v>2510</v>
      </c>
    </row>
    <row r="35" spans="2:2">
      <c r="B35" s="247" t="s">
        <v>2511</v>
      </c>
    </row>
    <row r="36" spans="2:2">
      <c r="B36" s="247" t="s">
        <v>2512</v>
      </c>
    </row>
    <row r="37" spans="2:2">
      <c r="B37" s="247" t="s">
        <v>2513</v>
      </c>
    </row>
    <row r="38" spans="2:2">
      <c r="B38" s="247" t="s">
        <v>2514</v>
      </c>
    </row>
    <row r="39" spans="2:2">
      <c r="B39" s="247" t="s">
        <v>2515</v>
      </c>
    </row>
    <row r="40" spans="2:2">
      <c r="B40" s="247" t="s">
        <v>2516</v>
      </c>
    </row>
  </sheetData>
  <phoneticPr fontId="23" type="noConversion"/>
  <pageMargins left="0.75" right="0.75" top="1" bottom="1" header="0.5" footer="0.5"/>
  <pageSetup scale="75" orientation="portrait" cellComments="asDisplayed" r:id="rId1"/>
  <headerFooter alignWithMargins="0">
    <oddHeader>&amp;CSchedule 26
Tax Rates
&amp;RTO2024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zoomScaleNormal="100" zoomScalePageLayoutView="7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59</v>
      </c>
      <c r="B1" s="1"/>
      <c r="E1" s="54" t="s">
        <v>635</v>
      </c>
    </row>
    <row r="2" spans="1:9" ht="13">
      <c r="A2" s="1"/>
      <c r="B2" s="1"/>
      <c r="C2" s="39" t="s">
        <v>195</v>
      </c>
      <c r="D2" s="254" t="s">
        <v>2517</v>
      </c>
      <c r="E2" s="278"/>
    </row>
    <row r="3" spans="1:9" ht="13">
      <c r="A3" s="1"/>
      <c r="B3" s="1"/>
      <c r="C3" s="694"/>
      <c r="D3" s="694"/>
      <c r="E3" s="694"/>
    </row>
    <row r="4" spans="1:9" ht="13">
      <c r="A4" s="2"/>
      <c r="B4" s="1" t="s">
        <v>2518</v>
      </c>
      <c r="G4" s="56"/>
    </row>
    <row r="5" spans="1:9" ht="13">
      <c r="A5" s="2"/>
      <c r="C5" s="1"/>
      <c r="D5" s="2"/>
      <c r="E5" s="2" t="s">
        <v>98</v>
      </c>
      <c r="G5" s="4" t="s">
        <v>859</v>
      </c>
    </row>
    <row r="6" spans="1:9" ht="13">
      <c r="A6" s="30" t="s">
        <v>273</v>
      </c>
      <c r="C6" s="1"/>
      <c r="D6" s="3" t="s">
        <v>100</v>
      </c>
      <c r="E6" s="3" t="s">
        <v>101</v>
      </c>
      <c r="G6" s="3" t="s">
        <v>102</v>
      </c>
    </row>
    <row r="7" spans="1:9" ht="13">
      <c r="A7" s="2">
        <v>1</v>
      </c>
      <c r="C7" s="291" t="s">
        <v>2519</v>
      </c>
      <c r="E7" s="247" t="str">
        <f>"19-OandM Line "&amp;'19-OandM'!A124&amp;", Col. 7"</f>
        <v>19-OandM Line 91, Col. 7</v>
      </c>
      <c r="G7" s="6">
        <f>'19-OandM'!H124</f>
        <v>36443111.799645111</v>
      </c>
      <c r="I7" s="247"/>
    </row>
    <row r="8" spans="1:9" ht="13">
      <c r="A8" s="2">
        <f>A7+1</f>
        <v>2</v>
      </c>
      <c r="C8" s="291" t="s">
        <v>2520</v>
      </c>
      <c r="E8" s="247" t="s">
        <v>861</v>
      </c>
      <c r="G8" s="5">
        <v>837047586</v>
      </c>
    </row>
    <row r="9" spans="1:9" ht="13">
      <c r="A9" s="2">
        <f t="shared" ref="A9:A44" si="0">A8+1</f>
        <v>3</v>
      </c>
      <c r="C9" s="246" t="s">
        <v>2521</v>
      </c>
      <c r="E9" s="247" t="s">
        <v>2522</v>
      </c>
      <c r="G9" s="5">
        <v>227832710</v>
      </c>
    </row>
    <row r="10" spans="1:9" ht="13">
      <c r="A10" s="2">
        <f t="shared" si="0"/>
        <v>4</v>
      </c>
      <c r="C10" s="291" t="s">
        <v>2523</v>
      </c>
      <c r="E10" s="247" t="str">
        <f>"Line "&amp;A8&amp;" - Line "&amp;A9&amp;""</f>
        <v>Line 2 - Line 3</v>
      </c>
      <c r="G10" s="6">
        <f>G8-G9</f>
        <v>609214876</v>
      </c>
    </row>
    <row r="11" spans="1:9" ht="13">
      <c r="A11" s="2">
        <f t="shared" si="0"/>
        <v>5</v>
      </c>
      <c r="C11" s="291" t="s">
        <v>2524</v>
      </c>
      <c r="E11" s="247" t="str">
        <f>"20-AandG, Note 2"</f>
        <v>20-AandG, Note 2</v>
      </c>
      <c r="G11" s="6">
        <f>'20-AandG'!E64</f>
        <v>-360664.03500001132</v>
      </c>
      <c r="I11" s="247"/>
    </row>
    <row r="12" spans="1:9" ht="13">
      <c r="A12" s="2">
        <f t="shared" si="0"/>
        <v>6</v>
      </c>
      <c r="C12" s="246" t="s">
        <v>2525</v>
      </c>
      <c r="E12" s="247" t="str">
        <f>"20-AandG, Note 2"</f>
        <v>20-AandG, Note 2</v>
      </c>
      <c r="G12" s="249">
        <f>'20-AandG'!E61</f>
        <v>-129449.24718176201</v>
      </c>
    </row>
    <row r="13" spans="1:9" ht="13">
      <c r="A13" s="2">
        <f t="shared" si="0"/>
        <v>7</v>
      </c>
      <c r="C13" s="291" t="s">
        <v>2526</v>
      </c>
      <c r="E13" s="247" t="str">
        <f>"Line "&amp;A11&amp;" - Line "&amp;A12&amp;""</f>
        <v>Line 5 - Line 6</v>
      </c>
      <c r="G13" s="6">
        <f>G11-G12</f>
        <v>-231214.78781824932</v>
      </c>
    </row>
    <row r="14" spans="1:9" ht="13">
      <c r="A14" s="2">
        <f t="shared" si="0"/>
        <v>8</v>
      </c>
      <c r="C14" s="291" t="s">
        <v>2527</v>
      </c>
      <c r="E14" s="247" t="str">
        <f>"Line "&amp;A10&amp;" + Line "&amp;A13&amp;""</f>
        <v>Line 4 + Line 7</v>
      </c>
      <c r="G14" s="6">
        <f>G10+G13</f>
        <v>608983661.21218181</v>
      </c>
    </row>
    <row r="15" spans="1:9" ht="13">
      <c r="A15" s="2">
        <f t="shared" si="0"/>
        <v>9</v>
      </c>
      <c r="C15" t="s">
        <v>2528</v>
      </c>
      <c r="E15" s="247" t="str">
        <f>"Line "&amp;A7&amp;" / Line "&amp;A14&amp;""</f>
        <v>Line 1 / Line 8</v>
      </c>
      <c r="G15" s="7">
        <f>G7/G14</f>
        <v>5.9842511582503061E-2</v>
      </c>
    </row>
    <row r="16" spans="1:9" ht="13">
      <c r="A16" s="2">
        <f t="shared" si="0"/>
        <v>10</v>
      </c>
    </row>
    <row r="17" spans="1:8" ht="13">
      <c r="A17" s="2">
        <f t="shared" si="0"/>
        <v>11</v>
      </c>
      <c r="B17" s="1" t="s">
        <v>2529</v>
      </c>
      <c r="G17" s="56"/>
    </row>
    <row r="18" spans="1:8" ht="13">
      <c r="A18" s="2">
        <f t="shared" si="0"/>
        <v>12</v>
      </c>
      <c r="D18" s="2"/>
      <c r="E18" s="2" t="s">
        <v>98</v>
      </c>
      <c r="G18" s="4" t="s">
        <v>859</v>
      </c>
    </row>
    <row r="19" spans="1:8" ht="13">
      <c r="A19" s="2">
        <f t="shared" si="0"/>
        <v>13</v>
      </c>
      <c r="D19" s="3" t="s">
        <v>100</v>
      </c>
      <c r="E19" s="3" t="s">
        <v>101</v>
      </c>
      <c r="G19" s="3" t="s">
        <v>102</v>
      </c>
    </row>
    <row r="20" spans="1:8" ht="13">
      <c r="A20" s="2">
        <f t="shared" si="0"/>
        <v>14</v>
      </c>
      <c r="C20" t="s">
        <v>2530</v>
      </c>
      <c r="E20" s="247" t="str">
        <f>"7-PlantStudy, Line "&amp;'7-PlantStudy'!A28&amp;""</f>
        <v>7-PlantStudy, Line 21</v>
      </c>
      <c r="G20" s="6">
        <f>'7-PlantStudy'!E28</f>
        <v>10923385779.162935</v>
      </c>
    </row>
    <row r="21" spans="1:8" ht="13">
      <c r="A21" s="2">
        <f t="shared" si="0"/>
        <v>15</v>
      </c>
      <c r="C21" t="s">
        <v>2531</v>
      </c>
      <c r="E21" s="247" t="str">
        <f>"7-PlantStudy, Line "&amp;'7-PlantStudy'!A42&amp;""</f>
        <v>7-PlantStudy, Line 30</v>
      </c>
      <c r="G21" s="6">
        <f>'7-PlantStudy'!E42</f>
        <v>0</v>
      </c>
    </row>
    <row r="22" spans="1:8" ht="13">
      <c r="A22" s="2">
        <f t="shared" si="0"/>
        <v>16</v>
      </c>
      <c r="C22" t="s">
        <v>2532</v>
      </c>
      <c r="E22" s="247" t="str">
        <f>"6-PlantInService, Line "&amp;'6-PlantInService'!A54&amp;", C2"</f>
        <v>6-PlantInService, Line 21, C2</v>
      </c>
      <c r="G22" s="6">
        <f>'6-PlantInService'!G54</f>
        <v>2365764059</v>
      </c>
      <c r="H22" s="56"/>
    </row>
    <row r="23" spans="1:8" ht="13">
      <c r="A23" s="2">
        <f t="shared" si="0"/>
        <v>17</v>
      </c>
      <c r="C23" t="s">
        <v>2533</v>
      </c>
      <c r="E23" t="str">
        <f>"Line "&amp;A22&amp;" * Line "&amp;A15&amp;""</f>
        <v>Line 16 * Line 9</v>
      </c>
      <c r="G23" s="6">
        <f>G22*G15</f>
        <v>141573263.10217696</v>
      </c>
    </row>
    <row r="24" spans="1:8" ht="13">
      <c r="A24" s="2">
        <f t="shared" si="0"/>
        <v>18</v>
      </c>
      <c r="C24" t="s">
        <v>2534</v>
      </c>
      <c r="E24" s="247" t="str">
        <f>"6-PlantInService, Line "&amp;'6-PlantInService'!A54&amp;", C1"</f>
        <v>6-PlantInService, Line 21, C1</v>
      </c>
      <c r="G24" s="6">
        <f>'6-PlantInService'!F54</f>
        <v>3718298393</v>
      </c>
    </row>
    <row r="25" spans="1:8" ht="13">
      <c r="A25" s="2">
        <f t="shared" si="0"/>
        <v>19</v>
      </c>
      <c r="C25" t="s">
        <v>2535</v>
      </c>
      <c r="E25" t="str">
        <f>"Line "&amp;A24&amp;" * Line "&amp;A15&amp;""</f>
        <v>Line 18 * Line 9</v>
      </c>
      <c r="G25" s="6">
        <f>G24*G15</f>
        <v>222512314.650305</v>
      </c>
    </row>
    <row r="26" spans="1:8" ht="13">
      <c r="A26" s="2">
        <f t="shared" si="0"/>
        <v>20</v>
      </c>
      <c r="C26" s="247" t="s">
        <v>2536</v>
      </c>
      <c r="E26" t="s">
        <v>872</v>
      </c>
      <c r="G26" s="5">
        <v>61903742199</v>
      </c>
    </row>
    <row r="27" spans="1:8" ht="13">
      <c r="A27" s="2">
        <f t="shared" si="0"/>
        <v>21</v>
      </c>
      <c r="G27" s="56"/>
    </row>
    <row r="28" spans="1:8" ht="13">
      <c r="A28" s="2">
        <f t="shared" si="0"/>
        <v>22</v>
      </c>
      <c r="C28" t="s">
        <v>127</v>
      </c>
      <c r="E28" s="247" t="str">
        <f>"(L"&amp;A20&amp;" + L"&amp;A21&amp;" + L"&amp;A23&amp;" + L"&amp;A25&amp;") / L"&amp;A26&amp;""</f>
        <v>(L14 + L15 + L17 + L19) / L20</v>
      </c>
      <c r="G28" s="7">
        <f>(G20+G21+G23+G25)/G26</f>
        <v>0.18233907928586837</v>
      </c>
    </row>
    <row r="29" spans="1:8" ht="13">
      <c r="A29" s="2">
        <f t="shared" si="0"/>
        <v>23</v>
      </c>
      <c r="E29" s="247"/>
      <c r="G29" s="7"/>
    </row>
    <row r="30" spans="1:8" ht="13">
      <c r="A30" s="2">
        <f t="shared" si="0"/>
        <v>24</v>
      </c>
      <c r="B30" s="1" t="s">
        <v>2537</v>
      </c>
    </row>
    <row r="31" spans="1:8" ht="13">
      <c r="A31" s="2">
        <f t="shared" si="0"/>
        <v>25</v>
      </c>
      <c r="B31" s="247"/>
    </row>
    <row r="32" spans="1:8" ht="13">
      <c r="A32" s="2">
        <f t="shared" si="0"/>
        <v>26</v>
      </c>
      <c r="B32" s="247" t="s">
        <v>2538</v>
      </c>
      <c r="D32" s="3" t="s">
        <v>2539</v>
      </c>
      <c r="E32" s="3" t="s">
        <v>100</v>
      </c>
      <c r="G32" s="32" t="s">
        <v>2540</v>
      </c>
    </row>
    <row r="33" spans="1:7" ht="13">
      <c r="A33" s="2">
        <f t="shared" si="0"/>
        <v>27</v>
      </c>
      <c r="C33" s="247" t="s">
        <v>2541</v>
      </c>
      <c r="D33" s="541">
        <v>5730.1378787878793</v>
      </c>
      <c r="E33" s="3"/>
      <c r="G33" s="257" t="s">
        <v>2542</v>
      </c>
    </row>
    <row r="34" spans="1:7" ht="13">
      <c r="A34" s="2">
        <f t="shared" si="0"/>
        <v>28</v>
      </c>
      <c r="C34" s="247" t="s">
        <v>2543</v>
      </c>
      <c r="D34" s="541">
        <v>6320.4283712121141</v>
      </c>
      <c r="E34" s="3"/>
      <c r="G34" s="257" t="s">
        <v>1503</v>
      </c>
    </row>
    <row r="35" spans="1:7" ht="13">
      <c r="A35" s="2">
        <f t="shared" si="0"/>
        <v>29</v>
      </c>
      <c r="C35" s="247" t="s">
        <v>2544</v>
      </c>
      <c r="D35" s="56">
        <f>SUM(D33:D34)</f>
        <v>12050.566249999993</v>
      </c>
      <c r="E35" s="247" t="str">
        <f>" = L"&amp;A33&amp;" + L"&amp;A34&amp;""</f>
        <v xml:space="preserve"> = L27 + L28</v>
      </c>
      <c r="G35" s="257" t="s">
        <v>2545</v>
      </c>
    </row>
    <row r="36" spans="1:7" ht="13">
      <c r="A36" s="2">
        <f t="shared" si="0"/>
        <v>30</v>
      </c>
      <c r="C36" s="247" t="s">
        <v>2546</v>
      </c>
      <c r="D36" s="519">
        <f>D33/D35</f>
        <v>0.47550776950318685</v>
      </c>
      <c r="E36" s="247" t="str">
        <f>" = L"&amp;A33&amp;" / L"&amp;A35&amp;""</f>
        <v xml:space="preserve"> = L27 / L29</v>
      </c>
      <c r="G36" s="31"/>
    </row>
    <row r="37" spans="1:7" ht="13">
      <c r="A37" s="2">
        <f t="shared" si="0"/>
        <v>31</v>
      </c>
      <c r="B37" s="3"/>
      <c r="C37" s="3"/>
      <c r="E37" s="3"/>
      <c r="G37" s="3"/>
    </row>
    <row r="38" spans="1:7" ht="13">
      <c r="A38" s="2">
        <f t="shared" si="0"/>
        <v>32</v>
      </c>
      <c r="B38" s="247" t="s">
        <v>2547</v>
      </c>
      <c r="D38" s="3" t="s">
        <v>2539</v>
      </c>
      <c r="E38" s="3" t="s">
        <v>100</v>
      </c>
      <c r="G38" s="32" t="s">
        <v>2540</v>
      </c>
    </row>
    <row r="39" spans="1:7" ht="13">
      <c r="A39" s="2">
        <f t="shared" si="0"/>
        <v>33</v>
      </c>
      <c r="B39" s="37"/>
      <c r="C39" s="247" t="s">
        <v>2548</v>
      </c>
      <c r="D39" s="541">
        <v>6.411363636363637</v>
      </c>
      <c r="E39" s="3"/>
      <c r="G39" s="31" t="s">
        <v>2549</v>
      </c>
    </row>
    <row r="40" spans="1:7" ht="13">
      <c r="A40" s="2">
        <f t="shared" si="0"/>
        <v>34</v>
      </c>
      <c r="B40" s="37"/>
      <c r="C40" s="247" t="s">
        <v>2550</v>
      </c>
      <c r="D40" s="541">
        <v>271.04374999999993</v>
      </c>
      <c r="E40" s="3"/>
      <c r="G40" s="31" t="s">
        <v>2551</v>
      </c>
    </row>
    <row r="41" spans="1:7" ht="13">
      <c r="A41" s="2">
        <f t="shared" si="0"/>
        <v>35</v>
      </c>
      <c r="B41" s="37"/>
      <c r="C41" s="247" t="s">
        <v>2552</v>
      </c>
      <c r="D41" s="56">
        <f>SUM(D39:D40)</f>
        <v>277.45511363636359</v>
      </c>
      <c r="E41" s="247" t="str">
        <f>" = L"&amp;A39&amp;" + L"&amp;A40&amp;""</f>
        <v xml:space="preserve"> = L33 + L34</v>
      </c>
    </row>
    <row r="42" spans="1:7" ht="13">
      <c r="A42" s="2">
        <f t="shared" si="0"/>
        <v>36</v>
      </c>
      <c r="B42" s="37"/>
      <c r="C42" s="247" t="s">
        <v>2553</v>
      </c>
      <c r="D42" s="519">
        <f>D39/D41</f>
        <v>2.3107750844219281E-2</v>
      </c>
      <c r="E42" s="247" t="str">
        <f>" = L"&amp;A39&amp;" / L"&amp;A41&amp;""</f>
        <v xml:space="preserve"> = L33 / L35</v>
      </c>
    </row>
    <row r="43" spans="1:7" ht="13">
      <c r="A43" s="2">
        <f t="shared" si="0"/>
        <v>37</v>
      </c>
      <c r="B43" s="37"/>
      <c r="C43" s="12"/>
      <c r="E43" s="3"/>
      <c r="G43" s="6"/>
    </row>
    <row r="44" spans="1:7" ht="13">
      <c r="A44" s="2">
        <f t="shared" si="0"/>
        <v>38</v>
      </c>
      <c r="B44" s="247" t="s">
        <v>2554</v>
      </c>
      <c r="D44" s="3" t="s">
        <v>2539</v>
      </c>
      <c r="E44" s="3" t="s">
        <v>100</v>
      </c>
      <c r="G44" s="32" t="s">
        <v>2540</v>
      </c>
    </row>
    <row r="45" spans="1:7" ht="13">
      <c r="A45" s="2">
        <f t="shared" ref="A45:A54" si="1">A44+1</f>
        <v>39</v>
      </c>
      <c r="B45" s="37"/>
      <c r="C45" s="247" t="s">
        <v>2555</v>
      </c>
      <c r="D45" s="541">
        <v>1347</v>
      </c>
      <c r="E45" s="3"/>
      <c r="G45" s="31" t="s">
        <v>2556</v>
      </c>
    </row>
    <row r="46" spans="1:7" ht="13">
      <c r="A46" s="2">
        <f t="shared" si="1"/>
        <v>40</v>
      </c>
      <c r="B46" s="37"/>
      <c r="C46" s="247" t="s">
        <v>2557</v>
      </c>
      <c r="D46" s="541">
        <v>2026</v>
      </c>
      <c r="E46" s="3"/>
      <c r="G46" s="31"/>
    </row>
    <row r="47" spans="1:7" ht="13">
      <c r="A47" s="2">
        <f t="shared" si="1"/>
        <v>41</v>
      </c>
      <c r="B47" s="37"/>
      <c r="C47" s="247" t="s">
        <v>2558</v>
      </c>
      <c r="D47" s="56">
        <f>SUM(D45:D46)</f>
        <v>3373</v>
      </c>
      <c r="E47" s="247" t="str">
        <f>" = L"&amp;A45&amp;" + L"&amp;A46&amp;""</f>
        <v xml:space="preserve"> = L39 + L40</v>
      </c>
    </row>
    <row r="48" spans="1:7" ht="13">
      <c r="A48" s="2">
        <f t="shared" si="1"/>
        <v>42</v>
      </c>
      <c r="B48" s="37"/>
      <c r="C48" s="247" t="s">
        <v>2559</v>
      </c>
      <c r="D48" s="519">
        <f>D45/D47</f>
        <v>0.39934776163652536</v>
      </c>
      <c r="E48" s="247" t="str">
        <f>" = L"&amp;A45&amp;" / L"&amp;A47&amp;""</f>
        <v xml:space="preserve"> = L39 / L41</v>
      </c>
    </row>
    <row r="49" spans="1:7" ht="13">
      <c r="A49" s="2">
        <f t="shared" si="1"/>
        <v>43</v>
      </c>
      <c r="C49" s="25"/>
    </row>
    <row r="50" spans="1:7" ht="13">
      <c r="A50" s="2">
        <f t="shared" si="1"/>
        <v>44</v>
      </c>
      <c r="B50" s="247" t="s">
        <v>2560</v>
      </c>
      <c r="D50" s="3" t="s">
        <v>2539</v>
      </c>
      <c r="E50" s="3" t="s">
        <v>100</v>
      </c>
      <c r="G50" s="32" t="s">
        <v>2540</v>
      </c>
    </row>
    <row r="51" spans="1:7" ht="13">
      <c r="A51" s="2">
        <f t="shared" si="1"/>
        <v>45</v>
      </c>
      <c r="B51" s="37"/>
      <c r="C51" s="247" t="s">
        <v>2561</v>
      </c>
      <c r="D51" s="541">
        <v>0</v>
      </c>
      <c r="E51" s="3"/>
      <c r="G51" s="257" t="s">
        <v>1522</v>
      </c>
    </row>
    <row r="52" spans="1:7" ht="13">
      <c r="A52" s="2">
        <f t="shared" si="1"/>
        <v>46</v>
      </c>
      <c r="B52" s="37"/>
      <c r="C52" s="247" t="s">
        <v>2562</v>
      </c>
      <c r="D52" s="541">
        <v>8967</v>
      </c>
      <c r="E52" s="3"/>
      <c r="G52" s="257" t="s">
        <v>1523</v>
      </c>
    </row>
    <row r="53" spans="1:7" ht="13">
      <c r="A53" s="2">
        <f t="shared" si="1"/>
        <v>47</v>
      </c>
      <c r="B53" s="37"/>
      <c r="C53" s="247" t="s">
        <v>2563</v>
      </c>
      <c r="D53" s="56">
        <f>D51+D52</f>
        <v>8967</v>
      </c>
      <c r="E53" s="247" t="str">
        <f>" = L"&amp;A51&amp;" + L"&amp;A52&amp;""</f>
        <v xml:space="preserve"> = L45 + L46</v>
      </c>
      <c r="G53" s="257" t="s">
        <v>1524</v>
      </c>
    </row>
    <row r="54" spans="1:7" ht="13">
      <c r="A54" s="2">
        <f t="shared" si="1"/>
        <v>48</v>
      </c>
      <c r="B54" s="37"/>
      <c r="C54" s="247" t="s">
        <v>2564</v>
      </c>
      <c r="D54" s="519">
        <f>D51/D53</f>
        <v>0</v>
      </c>
      <c r="E54" s="247" t="str">
        <f>" = L"&amp;A51&amp;" / L"&amp;A53&amp;""</f>
        <v xml:space="preserve"> = L45 / L47</v>
      </c>
      <c r="G54" s="257" t="s">
        <v>1525</v>
      </c>
    </row>
    <row r="55" spans="1:7" ht="13">
      <c r="A55" s="2"/>
    </row>
    <row r="56" spans="1:7" ht="13">
      <c r="A56" s="2"/>
    </row>
    <row r="57" spans="1:7" ht="13">
      <c r="A57" s="2"/>
    </row>
    <row r="58" spans="1:7" ht="13">
      <c r="A58" s="2"/>
    </row>
    <row r="59" spans="1:7" ht="13">
      <c r="A59" s="2"/>
    </row>
    <row r="60" spans="1:7" ht="13">
      <c r="A60" s="2"/>
    </row>
    <row r="61" spans="1:7" ht="13">
      <c r="A61" s="2"/>
    </row>
    <row r="62" spans="1:7" ht="13">
      <c r="A62" s="2"/>
    </row>
    <row r="63" spans="1:7" ht="13">
      <c r="A63" s="2"/>
    </row>
    <row r="64" spans="1:7" ht="13">
      <c r="A64" s="2"/>
    </row>
    <row r="65" spans="1:1" ht="13">
      <c r="A65" s="2"/>
    </row>
    <row r="66" spans="1:1" ht="13">
      <c r="A66" s="2"/>
    </row>
  </sheetData>
  <phoneticPr fontId="23" type="noConversion"/>
  <pageMargins left="0.75" right="0.75" top="1" bottom="1" header="0.5" footer="0.5"/>
  <pageSetup scale="65" orientation="landscape" cellComments="asDisplayed" r:id="rId1"/>
  <headerFooter alignWithMargins="0">
    <oddHeader>&amp;CSchedule 27
Allocation Factors
&amp;RTO2024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2565</v>
      </c>
    </row>
    <row r="2" spans="1:9" ht="13">
      <c r="C2" s="690"/>
      <c r="D2" s="1" t="s">
        <v>195</v>
      </c>
      <c r="E2" s="254" t="s">
        <v>2566</v>
      </c>
      <c r="F2" s="278"/>
    </row>
    <row r="3" spans="1:9" ht="13">
      <c r="B3" s="1" t="s">
        <v>2567</v>
      </c>
      <c r="I3" s="54" t="s">
        <v>635</v>
      </c>
    </row>
    <row r="4" spans="1:9" ht="13">
      <c r="B4" s="1"/>
    </row>
    <row r="5" spans="1:9" ht="13">
      <c r="E5" s="2" t="s">
        <v>2568</v>
      </c>
    </row>
    <row r="6" spans="1:9" ht="13">
      <c r="A6" s="30" t="s">
        <v>273</v>
      </c>
      <c r="C6" s="3" t="s">
        <v>512</v>
      </c>
      <c r="D6" s="3" t="s">
        <v>513</v>
      </c>
      <c r="E6" s="30" t="s">
        <v>859</v>
      </c>
      <c r="G6" s="3" t="s">
        <v>2569</v>
      </c>
      <c r="I6" s="30" t="s">
        <v>251</v>
      </c>
    </row>
    <row r="7" spans="1:9" ht="13">
      <c r="A7" s="2">
        <v>1</v>
      </c>
      <c r="C7" s="83">
        <v>2022</v>
      </c>
      <c r="D7" s="383" t="s">
        <v>2570</v>
      </c>
      <c r="E7" s="84">
        <v>365</v>
      </c>
      <c r="G7" s="1066">
        <v>9.3645816374923023E-3</v>
      </c>
      <c r="I7" s="413" t="s">
        <v>2991</v>
      </c>
    </row>
    <row r="8" spans="1:9" ht="13">
      <c r="A8" s="2">
        <v>2</v>
      </c>
      <c r="C8" s="54"/>
      <c r="D8" s="54"/>
      <c r="E8" s="54"/>
      <c r="G8" s="54"/>
      <c r="I8" s="254"/>
    </row>
    <row r="10" spans="1:9" ht="13">
      <c r="B10" s="1" t="s">
        <v>2571</v>
      </c>
    </row>
    <row r="11" spans="1:9" ht="13">
      <c r="B11" s="1"/>
    </row>
    <row r="12" spans="1:9" ht="13">
      <c r="E12" s="2" t="s">
        <v>2568</v>
      </c>
    </row>
    <row r="13" spans="1:9" ht="13">
      <c r="C13" s="3" t="s">
        <v>512</v>
      </c>
      <c r="D13" s="3" t="s">
        <v>513</v>
      </c>
      <c r="E13" s="30" t="s">
        <v>859</v>
      </c>
      <c r="G13" s="3" t="s">
        <v>2572</v>
      </c>
      <c r="I13" s="30" t="s">
        <v>251</v>
      </c>
    </row>
    <row r="14" spans="1:9" ht="13">
      <c r="A14" s="2">
        <v>3</v>
      </c>
      <c r="C14" s="83">
        <v>2022</v>
      </c>
      <c r="D14" s="84" t="s">
        <v>2570</v>
      </c>
      <c r="E14" s="84">
        <v>365</v>
      </c>
      <c r="G14" s="1078">
        <v>8.5387786999369854E-3</v>
      </c>
      <c r="I14" s="254" t="s">
        <v>2992</v>
      </c>
    </row>
    <row r="15" spans="1:9" ht="13">
      <c r="A15" s="2">
        <v>4</v>
      </c>
      <c r="C15" s="83"/>
      <c r="D15" s="54"/>
      <c r="E15" s="54"/>
      <c r="G15" s="51"/>
      <c r="I15" s="254"/>
    </row>
    <row r="18" spans="1:9" ht="13">
      <c r="B18" s="1" t="s">
        <v>2573</v>
      </c>
    </row>
    <row r="19" spans="1:9" ht="13">
      <c r="B19" s="1"/>
    </row>
    <row r="20" spans="1:9" ht="13">
      <c r="C20" s="2" t="s">
        <v>414</v>
      </c>
      <c r="D20" s="2"/>
      <c r="E20" s="2"/>
    </row>
    <row r="21" spans="1:9" ht="13">
      <c r="C21" s="3" t="s">
        <v>372</v>
      </c>
      <c r="D21" s="3" t="s">
        <v>2569</v>
      </c>
      <c r="E21" s="3" t="s">
        <v>2572</v>
      </c>
      <c r="I21" s="30" t="s">
        <v>100</v>
      </c>
    </row>
    <row r="22" spans="1:9" ht="13">
      <c r="A22" s="2">
        <v>5</v>
      </c>
      <c r="C22" s="84">
        <v>2022</v>
      </c>
      <c r="D22" s="382">
        <f>E41</f>
        <v>9.3645816374923023E-3</v>
      </c>
      <c r="E22" s="382">
        <f>E42</f>
        <v>8.5387786999369854E-3</v>
      </c>
      <c r="I22" s="247" t="s">
        <v>2574</v>
      </c>
    </row>
    <row r="24" spans="1:9" ht="13">
      <c r="B24" s="1" t="s">
        <v>228</v>
      </c>
    </row>
    <row r="25" spans="1:9">
      <c r="B25" s="247" t="s">
        <v>2575</v>
      </c>
    </row>
    <row r="26" spans="1:9">
      <c r="B26" s="247" t="s">
        <v>2576</v>
      </c>
    </row>
    <row r="28" spans="1:9" ht="13">
      <c r="B28" s="1" t="s">
        <v>433</v>
      </c>
    </row>
    <row r="29" spans="1:9">
      <c r="B29" s="247" t="s">
        <v>2577</v>
      </c>
    </row>
    <row r="30" spans="1:9">
      <c r="B30" s="247" t="s">
        <v>2578</v>
      </c>
    </row>
    <row r="31" spans="1:9">
      <c r="B31" s="247" t="s">
        <v>2579</v>
      </c>
    </row>
    <row r="32" spans="1:9">
      <c r="B32" s="247" t="s">
        <v>2580</v>
      </c>
    </row>
    <row r="33" spans="2:7">
      <c r="B33" s="247" t="s">
        <v>2581</v>
      </c>
    </row>
    <row r="34" spans="2:7">
      <c r="B34" s="247" t="s">
        <v>2582</v>
      </c>
    </row>
    <row r="35" spans="2:7">
      <c r="B35" s="247" t="s">
        <v>2583</v>
      </c>
    </row>
    <row r="36" spans="2:7">
      <c r="B36" s="247" t="s">
        <v>2584</v>
      </c>
    </row>
    <row r="37" spans="2:7">
      <c r="B37" s="247" t="s">
        <v>2585</v>
      </c>
    </row>
    <row r="38" spans="2:7">
      <c r="B38" s="247" t="s">
        <v>2586</v>
      </c>
    </row>
    <row r="40" spans="2:7" ht="13">
      <c r="E40" s="3" t="s">
        <v>1541</v>
      </c>
      <c r="G40" s="30" t="s">
        <v>470</v>
      </c>
    </row>
    <row r="41" spans="2:7">
      <c r="D41" s="245" t="s">
        <v>2587</v>
      </c>
      <c r="E41" s="382">
        <f>((G7*E7) + (G8*E8))/(E7+E8)</f>
        <v>9.3645816374923023E-3</v>
      </c>
      <c r="G41" s="257" t="s">
        <v>2588</v>
      </c>
    </row>
    <row r="42" spans="2:7">
      <c r="D42" s="245" t="s">
        <v>2589</v>
      </c>
      <c r="E42" s="382">
        <f>((G14*E14) + (G15*E15))/(E14+E15)</f>
        <v>8.5387786999369854E-3</v>
      </c>
      <c r="G42" s="257" t="s">
        <v>2590</v>
      </c>
    </row>
  </sheetData>
  <phoneticPr fontId="23" type="noConversion"/>
  <pageMargins left="0.75" right="0.75" top="1" bottom="1" header="0.5" footer="0.5"/>
  <pageSetup scale="82" orientation="portrait" cellComments="asDisplayed" r:id="rId1"/>
  <headerFooter alignWithMargins="0">
    <oddHeader>&amp;CSchedule 28
FF and U
&amp;RTO2024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2591</v>
      </c>
    </row>
    <row r="2" spans="1:10">
      <c r="G2" s="27" t="s">
        <v>635</v>
      </c>
      <c r="H2" s="27"/>
      <c r="I2" s="54"/>
    </row>
    <row r="3" spans="1:10" ht="13">
      <c r="A3" s="3" t="s">
        <v>273</v>
      </c>
      <c r="B3" s="3" t="s">
        <v>2592</v>
      </c>
      <c r="F3" s="30" t="s">
        <v>100</v>
      </c>
      <c r="G3" s="30" t="s">
        <v>651</v>
      </c>
      <c r="J3" s="30"/>
    </row>
    <row r="4" spans="1:10" ht="13">
      <c r="A4" s="2">
        <v>1</v>
      </c>
      <c r="B4" s="249">
        <f>'1-BaseTRR'!K160</f>
        <v>1111269714.917042</v>
      </c>
      <c r="C4" s="31" t="s">
        <v>2593</v>
      </c>
      <c r="G4" s="247" t="str">
        <f>"1-BaseTRR, Line "&amp;'1-BaseTRR'!A160&amp;""</f>
        <v>1-BaseTRR, Line 89</v>
      </c>
    </row>
    <row r="5" spans="1:10" ht="13">
      <c r="A5" s="2">
        <f t="shared" ref="A5:A10" si="0">A4+1</f>
        <v>2</v>
      </c>
      <c r="B5" s="1079">
        <v>-281574058</v>
      </c>
      <c r="C5" s="31" t="s">
        <v>2594</v>
      </c>
      <c r="F5" s="247" t="s">
        <v>144</v>
      </c>
      <c r="G5" s="254" t="s">
        <v>3081</v>
      </c>
      <c r="H5" s="254"/>
      <c r="I5" s="254" t="s">
        <v>3080</v>
      </c>
    </row>
    <row r="6" spans="1:10" ht="13">
      <c r="A6" s="2">
        <f t="shared" si="0"/>
        <v>3</v>
      </c>
      <c r="B6" s="1079">
        <v>-279910124</v>
      </c>
      <c r="C6" s="31" t="s">
        <v>2595</v>
      </c>
      <c r="G6" s="254" t="s">
        <v>3081</v>
      </c>
      <c r="H6" s="254"/>
      <c r="I6" s="254" t="s">
        <v>3080</v>
      </c>
    </row>
    <row r="7" spans="1:10" ht="13">
      <c r="A7" s="2">
        <f t="shared" si="0"/>
        <v>4</v>
      </c>
      <c r="B7" s="1079">
        <v>-1663934</v>
      </c>
      <c r="C7" s="31" t="s">
        <v>2596</v>
      </c>
      <c r="G7" s="254" t="s">
        <v>3081</v>
      </c>
      <c r="H7" s="254"/>
      <c r="I7" s="254" t="s">
        <v>3080</v>
      </c>
    </row>
    <row r="8" spans="1:10" ht="13">
      <c r="A8" s="2">
        <f t="shared" si="0"/>
        <v>5</v>
      </c>
      <c r="B8" s="249">
        <f>-'33-RetailRates'!E61</f>
        <v>-7502185.685636621</v>
      </c>
      <c r="C8" s="31" t="s">
        <v>2597</v>
      </c>
      <c r="F8" t="s">
        <v>165</v>
      </c>
      <c r="G8" t="s">
        <v>2598</v>
      </c>
    </row>
    <row r="9" spans="1:10" ht="13">
      <c r="A9" s="2">
        <f t="shared" si="0"/>
        <v>6</v>
      </c>
      <c r="B9" s="7">
        <f>'31-HVLV'!C45</f>
        <v>0.95549947836724414</v>
      </c>
      <c r="C9" s="31" t="s">
        <v>2599</v>
      </c>
      <c r="G9" s="247" t="str">
        <f>"31-HVLV, Line "&amp;'31-HVLV'!A45&amp;""</f>
        <v>31-HVLV, Line 37</v>
      </c>
    </row>
    <row r="10" spans="1:10" ht="13">
      <c r="A10" s="2">
        <f t="shared" si="0"/>
        <v>7</v>
      </c>
      <c r="B10" s="7">
        <f>'31-HVLV'!D45</f>
        <v>4.4500521632755953E-2</v>
      </c>
      <c r="C10" s="31" t="s">
        <v>2600</v>
      </c>
      <c r="G10" s="247" t="str">
        <f>"31-HVLV, Line "&amp;'31-HVLV'!A45&amp;""</f>
        <v>31-HVLV, Line 37</v>
      </c>
    </row>
    <row r="11" spans="1:10">
      <c r="C11" s="25"/>
      <c r="D11" s="347"/>
      <c r="E11" s="347"/>
      <c r="F11" s="347"/>
      <c r="G11" s="347"/>
      <c r="H11" s="347"/>
      <c r="J11" s="347"/>
    </row>
    <row r="12" spans="1:10" ht="13">
      <c r="B12" s="1" t="s">
        <v>2601</v>
      </c>
      <c r="C12" s="25"/>
      <c r="D12" s="347"/>
      <c r="E12" s="347"/>
      <c r="F12" s="347"/>
      <c r="G12" s="347"/>
      <c r="H12" s="347"/>
    </row>
    <row r="13" spans="1:10" ht="13">
      <c r="B13" s="1"/>
      <c r="C13" s="25"/>
      <c r="D13" s="347"/>
      <c r="E13" s="347"/>
      <c r="F13" s="347"/>
      <c r="G13" s="347"/>
      <c r="H13" s="347"/>
    </row>
    <row r="14" spans="1:10" ht="13">
      <c r="B14" s="1"/>
      <c r="C14" s="25"/>
      <c r="D14" s="48" t="s">
        <v>336</v>
      </c>
      <c r="E14" s="48" t="s">
        <v>337</v>
      </c>
      <c r="F14" s="48" t="s">
        <v>338</v>
      </c>
      <c r="G14" s="347"/>
      <c r="H14" s="347"/>
    </row>
    <row r="15" spans="1:10" ht="13">
      <c r="B15" s="1"/>
      <c r="C15" s="25"/>
      <c r="F15" s="347"/>
      <c r="G15" s="347"/>
      <c r="H15" s="347"/>
    </row>
    <row r="16" spans="1:10" ht="13">
      <c r="E16" s="2" t="s">
        <v>2602</v>
      </c>
      <c r="F16" s="2" t="s">
        <v>2603</v>
      </c>
    </row>
    <row r="17" spans="1:8" ht="13">
      <c r="C17" s="25"/>
      <c r="D17" s="3" t="s">
        <v>2604</v>
      </c>
      <c r="E17" s="3" t="s">
        <v>2605</v>
      </c>
      <c r="F17" s="3" t="s">
        <v>2605</v>
      </c>
      <c r="G17" s="3"/>
      <c r="H17" s="3" t="s">
        <v>651</v>
      </c>
    </row>
    <row r="18" spans="1:8" ht="13">
      <c r="A18" s="2">
        <f>A10+1</f>
        <v>8</v>
      </c>
      <c r="B18" s="52"/>
      <c r="C18" s="39" t="s">
        <v>2606</v>
      </c>
      <c r="D18" s="6">
        <f>B4</f>
        <v>1111269714.917042</v>
      </c>
      <c r="E18" s="6">
        <f>D18*B9</f>
        <v>1061817632.9285498</v>
      </c>
      <c r="F18" s="6">
        <f>D18*B10</f>
        <v>49452081.98849237</v>
      </c>
      <c r="G18" s="6"/>
      <c r="H18" s="247" t="s">
        <v>347</v>
      </c>
    </row>
    <row r="19" spans="1:8" ht="13">
      <c r="A19" s="2">
        <f>A18+1</f>
        <v>9</v>
      </c>
      <c r="B19" s="52"/>
      <c r="C19" s="39" t="s">
        <v>2607</v>
      </c>
      <c r="D19" s="6">
        <f>'24-CWIPTRR'!E149</f>
        <v>7139850.7902703378</v>
      </c>
      <c r="E19" s="6">
        <f>'24-CWIPTRR'!E149</f>
        <v>7139850.7902703378</v>
      </c>
      <c r="F19" s="6">
        <v>0</v>
      </c>
      <c r="G19" s="6"/>
      <c r="H19" s="247" t="s">
        <v>348</v>
      </c>
    </row>
    <row r="20" spans="1:8" ht="13">
      <c r="A20" s="2">
        <f>A19+1</f>
        <v>10</v>
      </c>
      <c r="B20" s="52"/>
      <c r="C20" s="39" t="s">
        <v>2608</v>
      </c>
      <c r="D20" s="6">
        <f>D18-D19</f>
        <v>1104129864.1267717</v>
      </c>
      <c r="E20" s="6">
        <f t="shared" ref="E20:F20" si="1">E18-E19</f>
        <v>1054677782.1382794</v>
      </c>
      <c r="F20" s="6">
        <f t="shared" si="1"/>
        <v>49452081.98849237</v>
      </c>
      <c r="G20" s="6"/>
      <c r="H20" s="247" t="s">
        <v>350</v>
      </c>
    </row>
    <row r="21" spans="1:8" ht="13">
      <c r="B21" s="52"/>
      <c r="C21" s="52"/>
      <c r="D21" s="6"/>
      <c r="E21" s="6"/>
      <c r="F21" s="6"/>
      <c r="G21" s="6"/>
    </row>
    <row r="22" spans="1:8" ht="13">
      <c r="A22" s="2">
        <f>A20+1</f>
        <v>11</v>
      </c>
      <c r="B22" s="1"/>
      <c r="C22" s="39" t="s">
        <v>2609</v>
      </c>
      <c r="D22" s="6">
        <f>B5</f>
        <v>-281574058</v>
      </c>
      <c r="E22" s="6">
        <f>B6</f>
        <v>-279910124</v>
      </c>
      <c r="F22" s="6">
        <f>B7</f>
        <v>-1663934</v>
      </c>
      <c r="G22" s="6"/>
      <c r="H22" t="str">
        <f>"Lines "&amp;A5&amp;" to "&amp;A7&amp;""</f>
        <v>Lines 2 to 4</v>
      </c>
    </row>
    <row r="23" spans="1:8" ht="13">
      <c r="B23" s="1"/>
      <c r="C23" s="39"/>
      <c r="D23" s="6"/>
      <c r="E23" s="6"/>
      <c r="F23" s="6"/>
      <c r="G23" s="6"/>
    </row>
    <row r="24" spans="1:8" ht="13">
      <c r="A24" s="2">
        <f>A22+1</f>
        <v>12</v>
      </c>
      <c r="B24" s="1"/>
      <c r="C24" s="39" t="s">
        <v>2610</v>
      </c>
      <c r="D24" s="53">
        <f>$B$8</f>
        <v>-7502185.685636621</v>
      </c>
      <c r="E24" s="53">
        <f>$B$8*$B$9</f>
        <v>-7168334.5092399968</v>
      </c>
      <c r="F24" s="53">
        <f>$B$8*$B$10</f>
        <v>-333851.17639662448</v>
      </c>
      <c r="G24" s="53"/>
      <c r="H24" s="247" t="s">
        <v>351</v>
      </c>
    </row>
    <row r="25" spans="1:8" ht="13">
      <c r="A25" s="2"/>
      <c r="B25" s="1"/>
      <c r="C25" s="39"/>
      <c r="D25" s="53"/>
      <c r="E25" s="53"/>
      <c r="F25" s="53"/>
      <c r="G25" s="53"/>
      <c r="H25" s="247"/>
    </row>
    <row r="26" spans="1:8" ht="13">
      <c r="B26" s="1"/>
      <c r="C26" s="39" t="s">
        <v>2611</v>
      </c>
      <c r="D26" s="53"/>
      <c r="E26" s="53"/>
      <c r="F26" s="53"/>
      <c r="G26" s="53"/>
    </row>
    <row r="27" spans="1:8" ht="13">
      <c r="A27" s="2">
        <f>A24+1</f>
        <v>13</v>
      </c>
      <c r="B27" s="1"/>
      <c r="C27" s="39" t="s">
        <v>2612</v>
      </c>
      <c r="D27" s="6">
        <f>D18+D22+D24</f>
        <v>822193471.23140538</v>
      </c>
      <c r="E27" s="6">
        <f>E18+E22+E24</f>
        <v>774739174.41930974</v>
      </c>
      <c r="F27" s="6">
        <f>F18+F22+F24</f>
        <v>47454296.812095746</v>
      </c>
      <c r="G27" s="6"/>
      <c r="H27" s="249" t="str">
        <f>"Sum of Lines "&amp;A18&amp;", "&amp;A22&amp;", and "&amp;A24&amp;""</f>
        <v>Sum of Lines 8, 11, and 12</v>
      </c>
    </row>
    <row r="28" spans="1:8">
      <c r="E28" s="6"/>
    </row>
    <row r="29" spans="1:8" ht="13">
      <c r="B29" s="30" t="s">
        <v>228</v>
      </c>
    </row>
    <row r="30" spans="1:8">
      <c r="B30" s="247" t="s">
        <v>2613</v>
      </c>
    </row>
    <row r="31" spans="1:8">
      <c r="B31" s="247" t="s">
        <v>2614</v>
      </c>
    </row>
    <row r="32" spans="1:8">
      <c r="B32" s="247" t="s">
        <v>2615</v>
      </c>
    </row>
    <row r="33" spans="2:5">
      <c r="B33" s="247" t="s">
        <v>2616</v>
      </c>
      <c r="D33" s="254" t="s">
        <v>3012</v>
      </c>
      <c r="E33" s="54"/>
    </row>
    <row r="34" spans="2:5">
      <c r="B34" s="247" t="str">
        <f>"3) Column 1 is from Line "&amp;A4&amp;"."</f>
        <v>3) Column 1 is from Line 1.</v>
      </c>
    </row>
    <row r="35" spans="2:5">
      <c r="B35" s="246" t="str">
        <f>"Column 2 equals Column 1 * Line "&amp;A9&amp;"."</f>
        <v>Column 2 equals Column 1 * Line 6.</v>
      </c>
    </row>
    <row r="36" spans="2:5">
      <c r="B36" s="246" t="str">
        <f>"Column 3 equals Column 1 * Line "&amp;A10&amp;"."</f>
        <v>Column 3 equals Column 1 * Line 7.</v>
      </c>
    </row>
    <row r="37" spans="2:5">
      <c r="B37" t="str">
        <f>"4) From 24-CWIPTRR, Line "&amp;'24-CWIPTRR'!A149&amp;".  All High Voltage."</f>
        <v>4) From 24-CWIPTRR, Line 92.  All High Voltage.</v>
      </c>
    </row>
    <row r="38" spans="2:5">
      <c r="B38" t="str">
        <f>"5) Line "&amp;A18&amp;" - Line "&amp;A19&amp;""</f>
        <v>5) Line 8 - Line 9</v>
      </c>
    </row>
    <row r="39" spans="2:5">
      <c r="B39" s="247" t="str">
        <f>"6) Column 1 is from Line "&amp;A8&amp;"."</f>
        <v>6) Column 1 is from Line 5.</v>
      </c>
    </row>
    <row r="40" spans="2:5">
      <c r="B40" s="246" t="str">
        <f>"Column 2 equals Column 1 * Line "&amp;A9&amp;"."</f>
        <v>Column 2 equals Column 1 * Line 6.</v>
      </c>
    </row>
    <row r="41" spans="2:5">
      <c r="B41" s="246"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&amp;RTO2024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heetViews>
  <sheetFormatPr defaultRowHeight="12.5"/>
  <cols>
    <col min="1" max="2" width="4.54296875" customWidth="1"/>
    <col min="4" max="4" width="24.453125" customWidth="1"/>
    <col min="5" max="5" width="17.54296875" customWidth="1"/>
    <col min="6" max="6" width="10.1796875" style="12" customWidth="1"/>
    <col min="7" max="7" width="10.453125" bestFit="1" customWidth="1"/>
  </cols>
  <sheetData>
    <row r="1" spans="1:7" ht="13">
      <c r="A1" s="1" t="s">
        <v>2617</v>
      </c>
    </row>
    <row r="2" spans="1:7" ht="13">
      <c r="B2" s="1"/>
    </row>
    <row r="3" spans="1:7">
      <c r="B3" s="247" t="s">
        <v>2618</v>
      </c>
    </row>
    <row r="4" spans="1:7">
      <c r="B4" s="247"/>
    </row>
    <row r="5" spans="1:7">
      <c r="B5" s="246" t="s">
        <v>2619</v>
      </c>
    </row>
    <row r="6" spans="1:7">
      <c r="B6" s="246" t="s">
        <v>2620</v>
      </c>
    </row>
    <row r="7" spans="1:7">
      <c r="B7" s="246" t="s">
        <v>2621</v>
      </c>
    </row>
    <row r="8" spans="1:7">
      <c r="B8" s="247"/>
    </row>
    <row r="9" spans="1:7">
      <c r="B9" s="247"/>
    </row>
    <row r="10" spans="1:7" ht="13">
      <c r="B10" s="1" t="s">
        <v>2622</v>
      </c>
    </row>
    <row r="11" spans="1:7" ht="13">
      <c r="A11" s="3" t="s">
        <v>273</v>
      </c>
      <c r="G11" s="3" t="s">
        <v>651</v>
      </c>
    </row>
    <row r="12" spans="1:7" ht="13">
      <c r="A12" s="2">
        <v>1</v>
      </c>
      <c r="D12" s="245" t="s">
        <v>2623</v>
      </c>
      <c r="E12" s="6">
        <f>'29-WholesaleTRRs'!F27</f>
        <v>47454296.812095746</v>
      </c>
      <c r="G12" s="246" t="str">
        <f>"29-WholesaleTRRs, Line "&amp;'29-WholesaleTRRs'!A27&amp;", C3"</f>
        <v>29-WholesaleTRRs, Line 13, C3</v>
      </c>
    </row>
    <row r="13" spans="1:7" ht="13">
      <c r="A13" s="2">
        <f>A12+1</f>
        <v>2</v>
      </c>
      <c r="D13" s="245" t="s">
        <v>2624</v>
      </c>
      <c r="E13" s="56">
        <f>'32-GrossLoad'!F8</f>
        <v>88142350.171274513</v>
      </c>
      <c r="F13" s="246" t="s">
        <v>2625</v>
      </c>
      <c r="G13" s="246" t="str">
        <f>"32-Gross Load, Line "&amp;'32-GrossLoad'!A8&amp;""</f>
        <v>32-Gross Load, Line 4</v>
      </c>
    </row>
    <row r="14" spans="1:7" ht="13">
      <c r="A14" s="2">
        <f>A13+1</f>
        <v>3</v>
      </c>
      <c r="D14" s="245" t="s">
        <v>2626</v>
      </c>
      <c r="E14" s="1080">
        <f>E12/(E13*1000)</f>
        <v>5.3838247698052703E-4</v>
      </c>
      <c r="F14" s="12" t="s">
        <v>2627</v>
      </c>
      <c r="G14" s="12" t="str">
        <f>"Line "&amp;A12&amp;" / (Line "&amp;A13&amp;" * 1000)"</f>
        <v>Line 1 / (Line 2 * 1000)</v>
      </c>
    </row>
    <row r="15" spans="1:7">
      <c r="D15" s="25"/>
      <c r="E15" s="41"/>
    </row>
    <row r="17" spans="1:7" ht="13">
      <c r="B17" s="1" t="s">
        <v>2628</v>
      </c>
    </row>
    <row r="18" spans="1:7">
      <c r="C18" s="31" t="s">
        <v>2629</v>
      </c>
    </row>
    <row r="19" spans="1:7" ht="13">
      <c r="G19" s="3" t="s">
        <v>651</v>
      </c>
    </row>
    <row r="20" spans="1:7" ht="13">
      <c r="A20" s="2">
        <f>A14+1</f>
        <v>4</v>
      </c>
      <c r="D20" s="25" t="s">
        <v>2630</v>
      </c>
      <c r="E20" s="6">
        <f>'29-WholesaleTRRs'!E27</f>
        <v>774739174.41930974</v>
      </c>
      <c r="G20" s="246" t="str">
        <f>"29-WholesaleTRRs, Line "&amp;'29-WholesaleTRRs'!A27&amp;", C2"</f>
        <v>29-WholesaleTRRs, Line 13, C2</v>
      </c>
    </row>
    <row r="21" spans="1:7" ht="13">
      <c r="A21" s="2">
        <f>A20+1</f>
        <v>5</v>
      </c>
      <c r="D21" s="245" t="s">
        <v>2624</v>
      </c>
      <c r="E21" s="56">
        <f>'32-GrossLoad'!F8</f>
        <v>88142350.171274513</v>
      </c>
      <c r="F21" s="246" t="s">
        <v>2625</v>
      </c>
      <c r="G21" s="246" t="str">
        <f>"32-Gross Load, Line "&amp;'32-GrossLoad'!A8&amp;""</f>
        <v>32-Gross Load, Line 4</v>
      </c>
    </row>
    <row r="22" spans="1:7" ht="13">
      <c r="A22" s="2">
        <f>A21+1</f>
        <v>6</v>
      </c>
      <c r="D22" s="245" t="s">
        <v>2631</v>
      </c>
      <c r="E22" s="1081">
        <f>E20/(E21*1000)</f>
        <v>8.7896360026011242E-3</v>
      </c>
      <c r="F22" s="12" t="s">
        <v>2627</v>
      </c>
      <c r="G22" s="12" t="str">
        <f>"Line "&amp;A20&amp;" / (Line "&amp;A21&amp;" * 1000)"</f>
        <v>Line 4 / (Line 5 * 1000)</v>
      </c>
    </row>
    <row r="24" spans="1:7" ht="13">
      <c r="B24" s="1" t="s">
        <v>2632</v>
      </c>
    </row>
    <row r="25" spans="1:7" ht="13">
      <c r="G25" s="3" t="s">
        <v>651</v>
      </c>
    </row>
    <row r="26" spans="1:7" ht="13">
      <c r="A26" s="2">
        <f>A22+1</f>
        <v>7</v>
      </c>
      <c r="D26" s="245" t="s">
        <v>2633</v>
      </c>
      <c r="E26" s="6">
        <f>'29-WholesaleTRRs'!E27</f>
        <v>774739174.41930974</v>
      </c>
      <c r="G26" s="246" t="str">
        <f>"29-WholesaleTRRs, Line "&amp;'29-WholesaleTRRs'!A27&amp;", C2"</f>
        <v>29-WholesaleTRRs, Line 13, C2</v>
      </c>
    </row>
    <row r="27" spans="1:7" ht="13">
      <c r="A27" s="2">
        <f>A26+1</f>
        <v>8</v>
      </c>
      <c r="D27" s="245" t="s">
        <v>2634</v>
      </c>
      <c r="E27" s="56">
        <f>'32-GrossLoad'!F11</f>
        <v>174913.622518627</v>
      </c>
      <c r="F27" s="12" t="s">
        <v>2635</v>
      </c>
      <c r="G27" s="246" t="str">
        <f>"32-Gross Load, Line "&amp;'32-GrossLoad'!A11&amp;""</f>
        <v>32-Gross Load, Line 5</v>
      </c>
    </row>
    <row r="28" spans="1:7" ht="13">
      <c r="A28" s="2">
        <f>A27+1</f>
        <v>9</v>
      </c>
      <c r="D28" s="245" t="s">
        <v>2636</v>
      </c>
      <c r="E28" s="41">
        <f>ROUND((E26/(E27*1000)),2)</f>
        <v>4.43</v>
      </c>
      <c r="F28" s="246" t="s">
        <v>2637</v>
      </c>
      <c r="G28" s="12" t="str">
        <f>"Line "&amp;A26&amp;" / (Line "&amp;A27&amp;" * 1000)"</f>
        <v>Line 7 / (Line 8 * 1000)</v>
      </c>
    </row>
    <row r="31" spans="1:7" ht="13">
      <c r="B31" s="30" t="s">
        <v>228</v>
      </c>
    </row>
    <row r="32" spans="1:7">
      <c r="B32" s="247" t="s">
        <v>2638</v>
      </c>
    </row>
    <row r="33" spans="2:2">
      <c r="B33" s="247" t="s">
        <v>2639</v>
      </c>
    </row>
  </sheetData>
  <phoneticPr fontId="23" type="noConversion"/>
  <pageMargins left="0.75" right="0.75" top="1" bottom="1" header="0.5" footer="0.5"/>
  <pageSetup scale="84" orientation="portrait" cellComments="asDisplayed" r:id="rId1"/>
  <headerFooter alignWithMargins="0">
    <oddHeader>&amp;CSchedule 30
Wholesale Rates
&amp;RTO2024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heetViews>
  <sheetFormatPr defaultRowHeight="13"/>
  <cols>
    <col min="1" max="1" width="4.54296875" customWidth="1"/>
    <col min="2" max="2" width="38" style="78" customWidth="1"/>
    <col min="3" max="3" width="16.453125" style="78" customWidth="1"/>
    <col min="4" max="4" width="14.54296875" style="78" customWidth="1"/>
    <col min="5" max="5" width="16" style="78" customWidth="1"/>
    <col min="6" max="6" width="3.453125" style="78" bestFit="1" customWidth="1"/>
    <col min="7" max="8" width="14.54296875" style="78" customWidth="1"/>
    <col min="9" max="9" width="17.453125" style="78" customWidth="1"/>
    <col min="10" max="11" width="14.54296875" style="78" customWidth="1"/>
  </cols>
  <sheetData>
    <row r="1" spans="1:11">
      <c r="A1" s="131" t="s">
        <v>2640</v>
      </c>
      <c r="B1" s="13"/>
      <c r="C1" s="13"/>
      <c r="D1" s="13"/>
      <c r="E1" s="13"/>
      <c r="F1" s="13"/>
      <c r="G1" s="13"/>
      <c r="H1" s="13"/>
      <c r="I1" s="13"/>
      <c r="J1" s="13"/>
      <c r="K1" s="13"/>
    </row>
    <row r="2" spans="1:11" ht="12.5">
      <c r="A2" s="13" t="s">
        <v>2641</v>
      </c>
      <c r="B2" s="13"/>
      <c r="C2" s="13"/>
      <c r="D2" s="13"/>
      <c r="E2" s="13"/>
      <c r="F2" s="13"/>
      <c r="G2" s="13"/>
      <c r="H2" s="13"/>
      <c r="I2" s="132" t="s">
        <v>700</v>
      </c>
      <c r="J2" s="132"/>
      <c r="K2" s="13"/>
    </row>
    <row r="3" spans="1:11" ht="12.5">
      <c r="A3" s="247"/>
      <c r="B3" s="13"/>
      <c r="C3" s="13"/>
      <c r="D3" s="13"/>
      <c r="E3" s="13"/>
      <c r="F3" s="13"/>
      <c r="G3" s="13"/>
      <c r="H3" s="13"/>
      <c r="I3" s="13"/>
      <c r="J3" s="13"/>
      <c r="K3" s="13"/>
    </row>
    <row r="4" spans="1:11" ht="12.5">
      <c r="A4" s="247"/>
      <c r="B4" s="13"/>
      <c r="C4" s="13"/>
      <c r="D4" s="13"/>
      <c r="E4" s="13"/>
      <c r="F4" s="13"/>
      <c r="G4" s="255" t="s">
        <v>2642</v>
      </c>
      <c r="H4" s="255"/>
      <c r="I4" s="255"/>
      <c r="J4" s="255"/>
      <c r="K4" s="13"/>
    </row>
    <row r="5" spans="1:11">
      <c r="A5" s="247"/>
      <c r="B5" s="131" t="s">
        <v>2643</v>
      </c>
      <c r="C5" s="13"/>
      <c r="D5" s="13"/>
      <c r="E5" s="13"/>
      <c r="F5" s="13"/>
      <c r="G5" s="255" t="s">
        <v>2644</v>
      </c>
      <c r="H5" s="255"/>
      <c r="I5" s="255"/>
      <c r="J5" s="255"/>
      <c r="K5" s="13"/>
    </row>
    <row r="6" spans="1:11">
      <c r="A6" s="247"/>
      <c r="B6" s="13"/>
      <c r="C6" s="19" t="s">
        <v>2645</v>
      </c>
      <c r="D6" s="19"/>
      <c r="E6" s="19"/>
      <c r="F6" s="19"/>
      <c r="G6" s="19"/>
      <c r="H6" s="19"/>
      <c r="I6" s="19" t="s">
        <v>2646</v>
      </c>
      <c r="J6" s="19" t="s">
        <v>2647</v>
      </c>
      <c r="K6" s="19" t="s">
        <v>2648</v>
      </c>
    </row>
    <row r="7" spans="1:11">
      <c r="A7" s="247"/>
      <c r="B7" s="131" t="s">
        <v>2649</v>
      </c>
      <c r="C7" s="18" t="s">
        <v>1325</v>
      </c>
      <c r="D7" s="18" t="s">
        <v>713</v>
      </c>
      <c r="E7" s="18" t="s">
        <v>2650</v>
      </c>
      <c r="F7" s="18"/>
      <c r="G7" s="18" t="s">
        <v>2651</v>
      </c>
      <c r="H7" s="18" t="s">
        <v>2652</v>
      </c>
      <c r="I7" s="18" t="s">
        <v>2650</v>
      </c>
      <c r="J7" s="18" t="s">
        <v>2650</v>
      </c>
      <c r="K7" s="18" t="s">
        <v>2653</v>
      </c>
    </row>
    <row r="8" spans="1:11">
      <c r="A8" s="3" t="s">
        <v>273</v>
      </c>
      <c r="B8" s="131"/>
      <c r="C8" s="18"/>
      <c r="D8" s="18"/>
      <c r="E8" s="18"/>
      <c r="F8" s="18"/>
      <c r="G8" s="18"/>
      <c r="H8" s="18"/>
      <c r="I8" s="18"/>
      <c r="J8" s="18"/>
      <c r="K8" s="18"/>
    </row>
    <row r="9" spans="1:11">
      <c r="A9" s="2">
        <v>1</v>
      </c>
      <c r="B9" s="133" t="s">
        <v>2654</v>
      </c>
      <c r="C9" s="134"/>
      <c r="D9" s="135"/>
      <c r="E9" s="135"/>
      <c r="F9" s="19"/>
      <c r="G9" s="134"/>
      <c r="H9" s="134"/>
      <c r="I9" s="134"/>
      <c r="J9" s="134"/>
      <c r="K9" s="134"/>
    </row>
    <row r="10" spans="1:11">
      <c r="A10" s="2">
        <f>A9+1</f>
        <v>2</v>
      </c>
      <c r="B10" s="136" t="s">
        <v>2655</v>
      </c>
      <c r="C10" s="137">
        <f>SUM(D10:E10)</f>
        <v>5279923133.7079487</v>
      </c>
      <c r="D10" s="975">
        <f>G10+H10</f>
        <v>221435691.39011028</v>
      </c>
      <c r="E10" s="975">
        <f>I10+J10</f>
        <v>5058487442.3178387</v>
      </c>
      <c r="F10" s="138"/>
      <c r="G10" s="606">
        <v>221435691.39011028</v>
      </c>
      <c r="H10" s="606">
        <v>0</v>
      </c>
      <c r="I10" s="606">
        <v>5058487442.3178387</v>
      </c>
      <c r="J10" s="606">
        <v>0</v>
      </c>
      <c r="K10" s="606">
        <v>0</v>
      </c>
    </row>
    <row r="11" spans="1:11">
      <c r="A11" s="2">
        <f t="shared" ref="A11:A47" si="0">A10+1</f>
        <v>3</v>
      </c>
      <c r="B11" s="136" t="s">
        <v>2656</v>
      </c>
      <c r="C11" s="139">
        <f>SUM(D11:E11)</f>
        <v>273330809.02158052</v>
      </c>
      <c r="D11" s="140">
        <f>G11+H11</f>
        <v>6234190.6459028833</v>
      </c>
      <c r="E11" s="140">
        <f>I11+J11</f>
        <v>267096618.37567762</v>
      </c>
      <c r="F11" s="141"/>
      <c r="G11" s="607">
        <v>0</v>
      </c>
      <c r="H11" s="607">
        <v>6234190.6459028833</v>
      </c>
      <c r="I11" s="607">
        <v>0</v>
      </c>
      <c r="J11" s="607">
        <v>267096618.37567762</v>
      </c>
      <c r="K11" s="607">
        <v>0</v>
      </c>
    </row>
    <row r="12" spans="1:11">
      <c r="A12" s="2">
        <f t="shared" si="0"/>
        <v>4</v>
      </c>
      <c r="B12" s="660" t="s">
        <v>2657</v>
      </c>
      <c r="C12" s="142">
        <f>SUM(C10:C11)</f>
        <v>5553253942.7295294</v>
      </c>
      <c r="D12" s="142">
        <f t="shared" ref="D12:E12" si="1">SUM(D10:D11)</f>
        <v>227669882.03601316</v>
      </c>
      <c r="E12" s="142">
        <f t="shared" si="1"/>
        <v>5325584060.6935167</v>
      </c>
      <c r="F12" s="142"/>
      <c r="G12" s="142">
        <f t="shared" ref="G12:K12" si="2">SUM(G10:G11)</f>
        <v>221435691.39011028</v>
      </c>
      <c r="H12" s="142">
        <f t="shared" si="2"/>
        <v>6234190.6459028833</v>
      </c>
      <c r="I12" s="142">
        <f t="shared" si="2"/>
        <v>5058487442.3178387</v>
      </c>
      <c r="J12" s="142">
        <f t="shared" si="2"/>
        <v>267096618.37567762</v>
      </c>
      <c r="K12" s="142">
        <f t="shared" si="2"/>
        <v>0</v>
      </c>
    </row>
    <row r="13" spans="1:11">
      <c r="A13" s="2">
        <f t="shared" si="0"/>
        <v>5</v>
      </c>
      <c r="B13" s="13"/>
      <c r="C13" s="976"/>
      <c r="D13" s="976"/>
      <c r="E13" s="976"/>
      <c r="F13" s="143"/>
      <c r="G13" s="976"/>
      <c r="H13" s="977"/>
      <c r="I13" s="978"/>
      <c r="J13" s="977"/>
      <c r="K13" s="977"/>
    </row>
    <row r="14" spans="1:11">
      <c r="A14" s="2">
        <f t="shared" si="0"/>
        <v>6</v>
      </c>
      <c r="B14" s="131" t="s">
        <v>2658</v>
      </c>
      <c r="C14" s="976"/>
      <c r="D14" s="976"/>
      <c r="E14" s="976"/>
      <c r="F14" s="143"/>
      <c r="G14" s="976"/>
      <c r="H14" s="977"/>
      <c r="I14" s="978"/>
      <c r="J14" s="977"/>
      <c r="K14" s="977"/>
    </row>
    <row r="15" spans="1:11">
      <c r="A15" s="2">
        <f t="shared" si="0"/>
        <v>7</v>
      </c>
      <c r="B15" s="144" t="s">
        <v>2659</v>
      </c>
      <c r="C15" s="975">
        <f>SUM(D15:E15)</f>
        <v>4807488968.1956158</v>
      </c>
      <c r="D15" s="975">
        <f>G15+H15</f>
        <v>32239015.295269109</v>
      </c>
      <c r="E15" s="975">
        <f>I15+J15</f>
        <v>4775249952.9003468</v>
      </c>
      <c r="F15" s="145"/>
      <c r="G15" s="331">
        <v>32239015.295269109</v>
      </c>
      <c r="H15" s="608">
        <v>0</v>
      </c>
      <c r="I15" s="331">
        <v>4775249952.9003468</v>
      </c>
      <c r="J15" s="608">
        <v>0</v>
      </c>
      <c r="K15" s="608">
        <v>0</v>
      </c>
    </row>
    <row r="16" spans="1:11">
      <c r="A16" s="2">
        <f t="shared" si="0"/>
        <v>8</v>
      </c>
      <c r="B16" s="493" t="s">
        <v>2660</v>
      </c>
      <c r="C16" s="975">
        <f>SUM(D16:E16)</f>
        <v>494101219.89906585</v>
      </c>
      <c r="D16" s="975">
        <f>G16+H16</f>
        <v>191289.54353877186</v>
      </c>
      <c r="E16" s="975">
        <f>I16+J16+K16</f>
        <v>493909930.3555271</v>
      </c>
      <c r="F16" s="143"/>
      <c r="G16" s="608">
        <v>122200.85427524151</v>
      </c>
      <c r="H16" s="608">
        <v>69088.689263530367</v>
      </c>
      <c r="I16" s="608">
        <v>299411849.76252604</v>
      </c>
      <c r="J16" s="608">
        <v>124920287.05321962</v>
      </c>
      <c r="K16" s="608">
        <v>69577793.539781466</v>
      </c>
    </row>
    <row r="17" spans="1:11" ht="14">
      <c r="A17" s="2">
        <f t="shared" si="0"/>
        <v>9</v>
      </c>
      <c r="B17" s="493" t="s">
        <v>2661</v>
      </c>
      <c r="C17" s="146">
        <f>SUM(D17:E17)</f>
        <v>68541648.33872205</v>
      </c>
      <c r="D17" s="140">
        <f>G17+H17</f>
        <v>17904018.420285642</v>
      </c>
      <c r="E17" s="146">
        <f>I17+J17</f>
        <v>50637629.918436401</v>
      </c>
      <c r="F17" s="147"/>
      <c r="G17" s="609">
        <v>0</v>
      </c>
      <c r="H17" s="610">
        <v>17904018.420285642</v>
      </c>
      <c r="I17" s="609">
        <v>0</v>
      </c>
      <c r="J17" s="610">
        <v>50637629.918436401</v>
      </c>
      <c r="K17" s="609">
        <v>0</v>
      </c>
    </row>
    <row r="18" spans="1:11">
      <c r="A18" s="2">
        <f t="shared" si="0"/>
        <v>10</v>
      </c>
      <c r="B18" s="228" t="s">
        <v>2662</v>
      </c>
      <c r="C18" s="975">
        <f>SUM(C15:C17)</f>
        <v>5370131836.433404</v>
      </c>
      <c r="D18" s="975">
        <f>SUM(D15:D17)</f>
        <v>50334323.259093523</v>
      </c>
      <c r="E18" s="975">
        <f>SUM(E15:E17)</f>
        <v>5319797513.1743097</v>
      </c>
      <c r="F18" s="148"/>
      <c r="G18" s="975">
        <f>SUM(G15:G17)</f>
        <v>32361216.149544351</v>
      </c>
      <c r="H18" s="975">
        <f>SUM(H15:H17)</f>
        <v>17973107.109549172</v>
      </c>
      <c r="I18" s="975">
        <f>SUM(I15:I17)</f>
        <v>5074661802.6628723</v>
      </c>
      <c r="J18" s="975">
        <f>SUM(J15:J17)</f>
        <v>175557916.97165602</v>
      </c>
      <c r="K18" s="975">
        <f>SUM(K15:K17)</f>
        <v>69577793.539781466</v>
      </c>
    </row>
    <row r="19" spans="1:11">
      <c r="A19" s="2">
        <f t="shared" si="0"/>
        <v>11</v>
      </c>
      <c r="B19" s="13"/>
      <c r="C19" s="979"/>
      <c r="D19" s="979"/>
      <c r="E19" s="979"/>
      <c r="F19" s="148"/>
      <c r="G19" s="980"/>
      <c r="H19" s="980"/>
      <c r="I19" s="980"/>
      <c r="J19" s="980"/>
      <c r="K19" s="980"/>
    </row>
    <row r="20" spans="1:11">
      <c r="A20" s="2">
        <f t="shared" si="0"/>
        <v>12</v>
      </c>
      <c r="B20" s="228" t="s">
        <v>2663</v>
      </c>
      <c r="C20" s="981">
        <f>C12+C18</f>
        <v>10923385779.162933</v>
      </c>
      <c r="D20" s="981">
        <f t="shared" ref="D20" si="3">D12+D18</f>
        <v>278004205.29510665</v>
      </c>
      <c r="E20" s="981">
        <f>E12+E18</f>
        <v>10645381573.867826</v>
      </c>
      <c r="F20" s="982"/>
      <c r="G20" s="982">
        <f t="shared" ref="G20:K20" si="4">G12+G18</f>
        <v>253796907.53965464</v>
      </c>
      <c r="H20" s="982">
        <f t="shared" si="4"/>
        <v>24207297.755452055</v>
      </c>
      <c r="I20" s="981">
        <f t="shared" si="4"/>
        <v>10133149244.980711</v>
      </c>
      <c r="J20" s="981">
        <f t="shared" si="4"/>
        <v>442654535.34733367</v>
      </c>
      <c r="K20" s="982">
        <f t="shared" si="4"/>
        <v>69577793.539781466</v>
      </c>
    </row>
    <row r="21" spans="1:11">
      <c r="A21" s="2">
        <f t="shared" si="0"/>
        <v>13</v>
      </c>
      <c r="B21" s="13"/>
      <c r="C21" s="149"/>
      <c r="D21" s="143"/>
      <c r="E21" s="149"/>
      <c r="F21" s="13"/>
      <c r="G21" s="149"/>
      <c r="H21" s="149"/>
      <c r="I21" s="149"/>
      <c r="J21" s="149"/>
      <c r="K21" s="149"/>
    </row>
    <row r="22" spans="1:11">
      <c r="A22" s="2">
        <f t="shared" si="0"/>
        <v>14</v>
      </c>
      <c r="B22" s="13"/>
      <c r="C22" s="149"/>
      <c r="D22" s="143"/>
      <c r="E22" s="149"/>
      <c r="F22" s="13"/>
      <c r="G22" s="149"/>
      <c r="H22" s="149"/>
      <c r="I22" s="149"/>
      <c r="J22" s="149"/>
      <c r="K22" s="149"/>
    </row>
    <row r="23" spans="1:11">
      <c r="A23" s="2">
        <f t="shared" si="0"/>
        <v>15</v>
      </c>
      <c r="B23" s="255" t="s">
        <v>2664</v>
      </c>
      <c r="C23" s="149"/>
      <c r="D23" s="143"/>
      <c r="E23" s="149"/>
      <c r="F23" s="13"/>
      <c r="G23" s="149"/>
      <c r="H23" s="149"/>
      <c r="I23" s="149"/>
      <c r="J23" s="149"/>
      <c r="K23" s="149"/>
    </row>
    <row r="24" spans="1:11">
      <c r="A24" s="2">
        <f t="shared" si="0"/>
        <v>16</v>
      </c>
      <c r="B24" s="13"/>
      <c r="C24" s="150" t="s">
        <v>2602</v>
      </c>
      <c r="D24" s="19" t="s">
        <v>2603</v>
      </c>
      <c r="E24" s="19"/>
      <c r="F24" s="13"/>
      <c r="G24" s="13"/>
      <c r="H24" s="13"/>
      <c r="I24" s="13"/>
      <c r="J24" s="13"/>
      <c r="K24" s="13"/>
    </row>
    <row r="25" spans="1:11">
      <c r="A25" s="2">
        <f t="shared" si="0"/>
        <v>17</v>
      </c>
      <c r="B25" s="13" t="s">
        <v>129</v>
      </c>
      <c r="C25" s="18" t="s">
        <v>2605</v>
      </c>
      <c r="D25" s="18" t="s">
        <v>2605</v>
      </c>
      <c r="E25" s="18" t="s">
        <v>249</v>
      </c>
      <c r="F25" s="13"/>
      <c r="G25" s="151" t="s">
        <v>228</v>
      </c>
      <c r="H25" s="13"/>
      <c r="I25" s="13"/>
      <c r="J25" s="13"/>
      <c r="K25" s="13"/>
    </row>
    <row r="26" spans="1:11">
      <c r="A26" s="2">
        <f t="shared" si="0"/>
        <v>18</v>
      </c>
      <c r="B26" s="45" t="s">
        <v>713</v>
      </c>
      <c r="C26" s="982">
        <f>G20</f>
        <v>253796907.53965464</v>
      </c>
      <c r="D26" s="982">
        <f>H20</f>
        <v>24207297.755452055</v>
      </c>
      <c r="E26" s="145">
        <f>SUM(C26:D26)</f>
        <v>278004205.29510671</v>
      </c>
      <c r="F26" s="13"/>
      <c r="G26" s="13" t="s">
        <v>2665</v>
      </c>
      <c r="H26" s="13"/>
      <c r="I26" s="13"/>
      <c r="J26" s="13"/>
      <c r="K26" s="13"/>
    </row>
    <row r="27" spans="1:11">
      <c r="A27" s="2">
        <f t="shared" si="0"/>
        <v>19</v>
      </c>
      <c r="B27" s="45" t="s">
        <v>2650</v>
      </c>
      <c r="C27" s="981">
        <f>I20</f>
        <v>10133149244.980711</v>
      </c>
      <c r="D27" s="981">
        <f>J20</f>
        <v>442654535.34733367</v>
      </c>
      <c r="E27" s="145">
        <f>SUM(C27:D27)</f>
        <v>10575803780.328045</v>
      </c>
      <c r="F27" s="13"/>
      <c r="G27" s="13" t="s">
        <v>2665</v>
      </c>
      <c r="H27" s="13"/>
      <c r="I27" s="13"/>
      <c r="J27" s="13"/>
      <c r="K27" s="13"/>
    </row>
    <row r="28" spans="1:11">
      <c r="A28" s="2">
        <f t="shared" si="0"/>
        <v>20</v>
      </c>
      <c r="B28" s="22" t="s">
        <v>2666</v>
      </c>
      <c r="C28" s="981">
        <f>SUM(C26:C27)</f>
        <v>10386946152.520365</v>
      </c>
      <c r="D28" s="981">
        <f>SUM(D26:D27)</f>
        <v>466861833.10278571</v>
      </c>
      <c r="E28" s="982">
        <f>SUM(C28:D28)</f>
        <v>10853807985.62315</v>
      </c>
      <c r="F28" s="13"/>
      <c r="G28" s="13" t="s">
        <v>2667</v>
      </c>
      <c r="H28" s="13"/>
      <c r="I28" s="13"/>
      <c r="J28" s="13"/>
      <c r="K28" s="13"/>
    </row>
    <row r="29" spans="1:11">
      <c r="A29" s="2">
        <f t="shared" si="0"/>
        <v>21</v>
      </c>
      <c r="B29" s="152" t="s">
        <v>2668</v>
      </c>
      <c r="C29" s="1082">
        <f>C28/E28</f>
        <v>0.95698635596638659</v>
      </c>
      <c r="D29" s="1082">
        <f>D28/E28</f>
        <v>4.3013644033613498E-2</v>
      </c>
      <c r="E29" s="983"/>
      <c r="F29" s="520"/>
      <c r="G29" s="659" t="s">
        <v>2669</v>
      </c>
      <c r="H29" s="13"/>
      <c r="I29" s="13"/>
      <c r="J29" s="13"/>
      <c r="K29" s="520"/>
    </row>
    <row r="30" spans="1:11">
      <c r="A30" s="2">
        <f t="shared" si="0"/>
        <v>22</v>
      </c>
      <c r="B30" s="13"/>
      <c r="C30" s="984"/>
      <c r="D30" s="984"/>
      <c r="E30" s="984"/>
      <c r="F30" s="13"/>
      <c r="G30" s="13"/>
      <c r="H30" s="13"/>
      <c r="I30" s="13"/>
      <c r="J30" s="13"/>
      <c r="K30" s="13"/>
    </row>
    <row r="31" spans="1:11">
      <c r="A31" s="2">
        <f t="shared" si="0"/>
        <v>23</v>
      </c>
      <c r="B31" s="13" t="s">
        <v>2670</v>
      </c>
      <c r="C31" s="985">
        <f>K20*C29</f>
        <v>66584999.095817059</v>
      </c>
      <c r="D31" s="985">
        <f>K20*D29</f>
        <v>2992794.4439644129</v>
      </c>
      <c r="E31" s="985">
        <f>K20</f>
        <v>69577793.539781466</v>
      </c>
      <c r="F31" s="13"/>
      <c r="G31" s="255" t="str">
        <f>"Straddling Transformers split by Gross Plant Percentages on Line "&amp;A29&amp;""</f>
        <v>Straddling Transformers split by Gross Plant Percentages on Line 21</v>
      </c>
      <c r="H31" s="13"/>
      <c r="I31" s="13"/>
      <c r="J31" s="13"/>
      <c r="K31" s="13"/>
    </row>
    <row r="32" spans="1:11">
      <c r="A32" s="2">
        <f t="shared" si="0"/>
        <v>24</v>
      </c>
      <c r="B32" s="319" t="s">
        <v>2671</v>
      </c>
      <c r="C32" s="521">
        <v>0</v>
      </c>
      <c r="D32" s="521">
        <f>E32-C32</f>
        <v>0</v>
      </c>
      <c r="E32" s="521">
        <v>0</v>
      </c>
      <c r="F32" s="319"/>
      <c r="G32" s="319" t="s">
        <v>2672</v>
      </c>
      <c r="H32" s="522"/>
      <c r="I32" s="13"/>
      <c r="J32" s="13"/>
      <c r="K32" s="13"/>
    </row>
    <row r="33" spans="1:11">
      <c r="A33" s="2">
        <f t="shared" si="0"/>
        <v>25</v>
      </c>
      <c r="B33" s="13" t="s">
        <v>2673</v>
      </c>
      <c r="C33" s="975">
        <f>C28+C31+C32</f>
        <v>10453531151.616182</v>
      </c>
      <c r="D33" s="975">
        <f>D28+D31+D32</f>
        <v>469854627.54675013</v>
      </c>
      <c r="E33" s="975">
        <f>E28+E31+E32</f>
        <v>10923385779.162931</v>
      </c>
      <c r="F33" s="13"/>
      <c r="G33" s="319" t="str">
        <f>"Line "&amp;A28&amp;" + Line "&amp;A31&amp;" + Line "&amp;A32&amp;""</f>
        <v>Line 20 + Line 23 + Line 24</v>
      </c>
      <c r="H33" s="319"/>
      <c r="I33" s="13"/>
      <c r="J33" s="13"/>
      <c r="K33" s="13"/>
    </row>
    <row r="34" spans="1:11">
      <c r="A34" s="2">
        <f t="shared" si="0"/>
        <v>26</v>
      </c>
      <c r="B34" s="13"/>
      <c r="C34" s="986"/>
      <c r="D34" s="986"/>
      <c r="E34" s="987"/>
      <c r="F34" s="13"/>
      <c r="G34" s="13"/>
      <c r="H34" s="13"/>
      <c r="I34" s="13"/>
      <c r="J34" s="13"/>
      <c r="K34" s="13"/>
    </row>
    <row r="35" spans="1:11">
      <c r="A35" s="2">
        <f t="shared" si="0"/>
        <v>27</v>
      </c>
      <c r="B35" s="13"/>
      <c r="C35" s="148"/>
      <c r="D35" s="148"/>
      <c r="E35" s="13"/>
      <c r="F35" s="13"/>
      <c r="G35" s="148"/>
      <c r="H35" s="148"/>
      <c r="I35" s="148"/>
      <c r="J35" s="13"/>
      <c r="K35" s="13"/>
    </row>
    <row r="36" spans="1:11">
      <c r="A36" s="2">
        <f t="shared" si="0"/>
        <v>28</v>
      </c>
      <c r="B36" s="131" t="s">
        <v>2674</v>
      </c>
      <c r="C36" s="13"/>
      <c r="D36" s="13"/>
      <c r="E36" s="13"/>
      <c r="F36" s="13"/>
      <c r="G36" s="13"/>
      <c r="H36" s="13"/>
      <c r="I36" s="13"/>
      <c r="J36" s="13"/>
      <c r="K36" s="13"/>
    </row>
    <row r="37" spans="1:11">
      <c r="A37" s="2">
        <f t="shared" si="0"/>
        <v>29</v>
      </c>
      <c r="B37" s="131"/>
      <c r="C37" s="13"/>
      <c r="D37" s="13"/>
      <c r="E37" s="13"/>
      <c r="F37" s="13"/>
      <c r="G37" s="13"/>
      <c r="H37" s="13"/>
      <c r="I37" s="13"/>
      <c r="J37" s="13"/>
      <c r="K37" s="13"/>
    </row>
    <row r="38" spans="1:11">
      <c r="A38" s="2">
        <f t="shared" si="0"/>
        <v>30</v>
      </c>
      <c r="B38" s="131"/>
      <c r="C38" s="150" t="s">
        <v>2602</v>
      </c>
      <c r="D38" s="19" t="s">
        <v>2603</v>
      </c>
      <c r="E38" s="19"/>
      <c r="F38" s="13"/>
      <c r="G38" s="13"/>
      <c r="H38" s="13"/>
      <c r="I38" s="13"/>
      <c r="J38" s="13"/>
      <c r="K38" s="13"/>
    </row>
    <row r="39" spans="1:11">
      <c r="A39" s="2">
        <f t="shared" si="0"/>
        <v>31</v>
      </c>
      <c r="B39" s="131"/>
      <c r="C39" s="18" t="s">
        <v>2605</v>
      </c>
      <c r="D39" s="18" t="s">
        <v>2605</v>
      </c>
      <c r="E39" s="18" t="s">
        <v>249</v>
      </c>
      <c r="F39" s="13"/>
      <c r="G39" s="151" t="s">
        <v>228</v>
      </c>
      <c r="H39" s="13"/>
      <c r="I39" s="13"/>
      <c r="J39" s="13"/>
      <c r="K39" s="13"/>
    </row>
    <row r="40" spans="1:11">
      <c r="A40" s="2">
        <f t="shared" si="0"/>
        <v>32</v>
      </c>
      <c r="B40" s="13" t="s">
        <v>2673</v>
      </c>
      <c r="C40" s="145">
        <f>C33</f>
        <v>10453531151.616182</v>
      </c>
      <c r="D40" s="145">
        <f>D33</f>
        <v>469854627.54675013</v>
      </c>
      <c r="E40" s="145">
        <f>E33</f>
        <v>10923385779.162931</v>
      </c>
      <c r="F40" s="13"/>
      <c r="G40" s="13" t="str">
        <f>"Line "&amp;A33&amp;""</f>
        <v>Line 25</v>
      </c>
      <c r="H40" s="13"/>
      <c r="I40" s="13"/>
      <c r="J40" s="13"/>
      <c r="K40" s="13"/>
    </row>
    <row r="41" spans="1:11">
      <c r="A41" s="2">
        <f t="shared" si="0"/>
        <v>33</v>
      </c>
      <c r="B41" s="255" t="s">
        <v>2675</v>
      </c>
      <c r="C41" s="145">
        <f>'16-PlantAdditions'!K37-'16-PlantAdditions'!P37</f>
        <v>653022822.89350307</v>
      </c>
      <c r="D41" s="145">
        <f>'16-PlantAdditions'!P37</f>
        <v>37782889.515275545</v>
      </c>
      <c r="E41" s="462">
        <f>SUM(C41:D41)</f>
        <v>690805712.40877867</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55" t="s">
        <v>2676</v>
      </c>
      <c r="C42" s="292">
        <f>'10-CWIP'!K79</f>
        <v>-206740557.59515756</v>
      </c>
      <c r="D42" s="292">
        <v>0</v>
      </c>
      <c r="E42" s="292">
        <f>SUM(C42:D42)</f>
        <v>-206740557.59515756</v>
      </c>
      <c r="F42" s="13"/>
      <c r="G42" s="13" t="str">
        <f>"13 Month Average: 10-CWIP, Line "&amp;'10-CWIP'!A79&amp;", Col. 8"</f>
        <v>13 Month Average: 10-CWIP, Line 54, Col. 8</v>
      </c>
      <c r="H42" s="13"/>
      <c r="I42" s="13"/>
      <c r="J42" s="13"/>
      <c r="K42" s="13"/>
    </row>
    <row r="43" spans="1:11">
      <c r="A43" s="2">
        <f t="shared" si="0"/>
        <v>35</v>
      </c>
      <c r="B43" s="255" t="s">
        <v>2677</v>
      </c>
      <c r="C43" s="145">
        <f>SUM(C40:C42)</f>
        <v>10899813416.914528</v>
      </c>
      <c r="D43" s="145">
        <f t="shared" ref="D43:E43" si="5">SUM(D40:D42)</f>
        <v>507637517.06202567</v>
      </c>
      <c r="E43" s="145">
        <f t="shared" si="5"/>
        <v>11407450933.976553</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2678</v>
      </c>
      <c r="C45" s="1083">
        <f>C43/E43</f>
        <v>0.95549947836724414</v>
      </c>
      <c r="D45" s="1083">
        <f>D43/E43</f>
        <v>4.4500521632755953E-2</v>
      </c>
      <c r="E45" s="13"/>
      <c r="F45" s="13"/>
      <c r="G45" s="523" t="str">
        <f>"Percent of Total on Line "&amp;A43&amp;""</f>
        <v>Percent of Total on Line 35</v>
      </c>
      <c r="H45" s="13"/>
      <c r="I45" s="13"/>
      <c r="J45" s="13"/>
      <c r="K45" s="13"/>
    </row>
    <row r="46" spans="1:11">
      <c r="A46" s="2">
        <f t="shared" si="0"/>
        <v>38</v>
      </c>
      <c r="B46" s="508" t="s">
        <v>2679</v>
      </c>
      <c r="C46" s="13"/>
      <c r="D46" s="13"/>
      <c r="E46" s="13"/>
      <c r="F46" s="13"/>
      <c r="G46" s="13"/>
      <c r="H46" s="13"/>
      <c r="I46" s="13"/>
      <c r="J46" s="13"/>
      <c r="K46" s="13"/>
    </row>
    <row r="47" spans="1:11">
      <c r="A47" s="2">
        <f t="shared" si="0"/>
        <v>39</v>
      </c>
      <c r="B47" s="255" t="s">
        <v>2680</v>
      </c>
      <c r="C47" s="13"/>
      <c r="D47" s="13"/>
      <c r="E47" s="13"/>
      <c r="F47" s="13"/>
      <c r="G47" s="13"/>
      <c r="H47" s="13"/>
      <c r="I47" s="13"/>
      <c r="J47" s="13"/>
      <c r="K47" s="13"/>
    </row>
    <row r="48" spans="1:11">
      <c r="A48" s="247"/>
      <c r="B48" s="1"/>
      <c r="C48" s="13"/>
      <c r="D48" s="13"/>
      <c r="E48" s="13"/>
      <c r="F48" s="13"/>
      <c r="G48" s="13"/>
      <c r="H48" s="13"/>
      <c r="I48" s="13"/>
      <c r="J48" s="13"/>
      <c r="K48" s="13"/>
    </row>
    <row r="49" spans="1:11">
      <c r="A49" s="247"/>
      <c r="B49" s="1"/>
      <c r="C49" s="319"/>
      <c r="D49" s="319"/>
      <c r="E49" s="319"/>
      <c r="F49" s="319"/>
      <c r="G49" s="319"/>
      <c r="H49" s="319"/>
      <c r="I49" s="13"/>
      <c r="J49" s="13"/>
      <c r="K49" s="13"/>
    </row>
    <row r="50" spans="1:11" ht="12.5">
      <c r="A50" s="247"/>
      <c r="B50" s="319"/>
      <c r="C50" s="319"/>
      <c r="D50" s="319"/>
      <c r="E50" s="319"/>
      <c r="F50" s="319"/>
      <c r="G50" s="319"/>
      <c r="H50" s="319"/>
      <c r="I50" s="13"/>
      <c r="J50" s="13"/>
      <c r="K50" s="13"/>
    </row>
    <row r="51" spans="1:11">
      <c r="B51" s="319"/>
      <c r="C51" s="522"/>
      <c r="D51" s="522"/>
      <c r="E51" s="522"/>
      <c r="F51" s="522"/>
      <c r="G51" s="522"/>
      <c r="H51" s="522"/>
    </row>
  </sheetData>
  <pageMargins left="0.7" right="0.7" top="0.75" bottom="0.75" header="0.3" footer="0.3"/>
  <pageSetup scale="70" orientation="landscape" cellComments="asDisplayed" r:id="rId1"/>
  <headerFooter>
    <oddHeader>&amp;CSchedule 31
High and Low Voltage Gross Plant
&amp;RTO2024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2681</v>
      </c>
    </row>
    <row r="2" spans="1:8" ht="13">
      <c r="B2" s="690"/>
      <c r="D2" s="39" t="s">
        <v>195</v>
      </c>
      <c r="E2" s="247"/>
      <c r="F2" s="254" t="s">
        <v>2682</v>
      </c>
      <c r="G2" s="54"/>
    </row>
    <row r="3" spans="1:8" ht="13">
      <c r="G3" s="2"/>
    </row>
    <row r="4" spans="1:8" ht="13">
      <c r="A4" s="3" t="s">
        <v>273</v>
      </c>
      <c r="F4" s="3" t="s">
        <v>2625</v>
      </c>
      <c r="G4" s="3" t="s">
        <v>470</v>
      </c>
      <c r="H4" s="30" t="s">
        <v>651</v>
      </c>
    </row>
    <row r="5" spans="1:8" ht="13">
      <c r="A5" s="2">
        <v>1</v>
      </c>
      <c r="B5" s="247" t="s">
        <v>2683</v>
      </c>
      <c r="F5" s="631">
        <v>88136612.755274519</v>
      </c>
      <c r="G5" s="12"/>
      <c r="H5" t="s">
        <v>144</v>
      </c>
    </row>
    <row r="6" spans="1:8" ht="13">
      <c r="A6" s="2">
        <v>2</v>
      </c>
      <c r="B6" s="247" t="s">
        <v>2684</v>
      </c>
      <c r="F6" s="631">
        <v>24300</v>
      </c>
      <c r="G6" s="12"/>
      <c r="H6" t="s">
        <v>165</v>
      </c>
    </row>
    <row r="7" spans="1:8" ht="13">
      <c r="A7" s="2">
        <v>3</v>
      </c>
      <c r="B7" s="247" t="s">
        <v>2685</v>
      </c>
      <c r="C7" s="247"/>
      <c r="D7" s="247"/>
      <c r="F7" s="57">
        <v>-18562.583999999999</v>
      </c>
      <c r="G7" s="12"/>
      <c r="H7" s="247" t="s">
        <v>222</v>
      </c>
    </row>
    <row r="8" spans="1:8" ht="13">
      <c r="A8" s="2">
        <v>4</v>
      </c>
      <c r="B8" s="291" t="s">
        <v>2686</v>
      </c>
      <c r="F8" s="56">
        <f>SUM(F5:F7)</f>
        <v>88142350.171274513</v>
      </c>
      <c r="G8" s="246" t="s">
        <v>2687</v>
      </c>
      <c r="H8" s="247" t="s">
        <v>2351</v>
      </c>
    </row>
    <row r="9" spans="1:8" ht="13">
      <c r="A9" s="2"/>
      <c r="G9" s="12"/>
    </row>
    <row r="10" spans="1:8" ht="13">
      <c r="A10" s="2"/>
      <c r="G10" s="12"/>
    </row>
    <row r="11" spans="1:8" ht="13">
      <c r="A11" s="2">
        <v>5</v>
      </c>
      <c r="B11" s="247" t="s">
        <v>2688</v>
      </c>
      <c r="E11" s="25"/>
      <c r="F11" s="632">
        <v>174913.622518627</v>
      </c>
      <c r="G11" s="12"/>
      <c r="H11" s="247" t="s">
        <v>144</v>
      </c>
    </row>
    <row r="14" spans="1:8" ht="13">
      <c r="B14" s="30" t="s">
        <v>228</v>
      </c>
    </row>
    <row r="15" spans="1:8">
      <c r="B15" s="247" t="s">
        <v>2689</v>
      </c>
    </row>
    <row r="16" spans="1:8">
      <c r="B16" s="247" t="s">
        <v>2690</v>
      </c>
    </row>
    <row r="17" spans="2:2">
      <c r="B17" s="247" t="s">
        <v>2691</v>
      </c>
    </row>
    <row r="18" spans="2:2">
      <c r="B18" s="247" t="s">
        <v>2692</v>
      </c>
    </row>
    <row r="19" spans="2:2" ht="15.5">
      <c r="B19" s="317"/>
    </row>
  </sheetData>
  <pageMargins left="0.7" right="0.7" top="0.75" bottom="0.75" header="0.3" footer="0.3"/>
  <pageSetup orientation="landscape" cellComments="asDisplayed" r:id="rId1"/>
  <headerFooter>
    <oddHeader>&amp;CSchedule 32 
Gross Load
&amp;RTO2024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zoomScalePageLayoutView="70" workbookViewId="0"/>
  </sheetViews>
  <sheetFormatPr defaultColWidth="9.453125" defaultRowHeight="12.5"/>
  <cols>
    <col min="1" max="1" width="5.453125" style="415" customWidth="1"/>
    <col min="2" max="2" width="18.54296875" style="415" customWidth="1"/>
    <col min="3" max="3" width="16.453125" style="415" customWidth="1"/>
    <col min="4" max="4" width="17.453125" style="415" customWidth="1"/>
    <col min="5" max="6" width="15.54296875" style="415" customWidth="1"/>
    <col min="7" max="7" width="17.1796875" style="415" customWidth="1"/>
    <col min="8" max="12" width="15.54296875" style="415" customWidth="1"/>
    <col min="13" max="13" width="15.54296875" style="416" customWidth="1"/>
    <col min="14" max="14" width="15.54296875" style="415" customWidth="1"/>
    <col min="15" max="15" width="9.453125" style="415"/>
    <col min="16" max="16" width="9.54296875" style="415" customWidth="1"/>
    <col min="17" max="16384" width="9.453125" style="415"/>
  </cols>
  <sheetData>
    <row r="1" spans="1:16" ht="15.5">
      <c r="A1" s="414" t="s">
        <v>2693</v>
      </c>
    </row>
    <row r="2" spans="1:16" ht="14.25" customHeight="1">
      <c r="A2" s="414"/>
    </row>
    <row r="3" spans="1:16" ht="13">
      <c r="E3" s="417" t="s">
        <v>651</v>
      </c>
    </row>
    <row r="4" spans="1:16" ht="13">
      <c r="C4" s="418" t="s">
        <v>2694</v>
      </c>
      <c r="D4" s="1084">
        <f>'1-BaseTRR'!K155</f>
        <v>1124500460.159101</v>
      </c>
      <c r="E4" s="419" t="s">
        <v>2695</v>
      </c>
      <c r="G4" s="420" t="s">
        <v>700</v>
      </c>
      <c r="H4" s="421"/>
    </row>
    <row r="5" spans="1:16" ht="13">
      <c r="C5" s="418"/>
      <c r="D5" s="422"/>
      <c r="E5" s="419"/>
    </row>
    <row r="6" spans="1:16" ht="15.5">
      <c r="B6" s="414" t="s">
        <v>2696</v>
      </c>
      <c r="D6" s="418"/>
      <c r="E6" s="422"/>
      <c r="F6" s="419"/>
    </row>
    <row r="7" spans="1:16" ht="13">
      <c r="C7" s="423" t="s">
        <v>336</v>
      </c>
      <c r="D7" s="423" t="s">
        <v>337</v>
      </c>
      <c r="E7" s="423" t="s">
        <v>338</v>
      </c>
      <c r="F7" s="423" t="s">
        <v>339</v>
      </c>
      <c r="G7" s="423" t="s">
        <v>340</v>
      </c>
      <c r="H7" s="423" t="s">
        <v>341</v>
      </c>
      <c r="I7" s="423" t="s">
        <v>342</v>
      </c>
      <c r="J7" s="423" t="s">
        <v>343</v>
      </c>
      <c r="K7" s="423" t="s">
        <v>344</v>
      </c>
      <c r="L7" s="423" t="s">
        <v>589</v>
      </c>
      <c r="M7" s="423" t="s">
        <v>590</v>
      </c>
      <c r="N7" s="417" t="s">
        <v>591</v>
      </c>
      <c r="O7" s="417" t="s">
        <v>592</v>
      </c>
      <c r="P7" s="417" t="s">
        <v>593</v>
      </c>
    </row>
    <row r="8" spans="1:16">
      <c r="C8" s="416" t="s">
        <v>144</v>
      </c>
      <c r="E8" s="416" t="s">
        <v>165</v>
      </c>
      <c r="F8" s="416" t="s">
        <v>184</v>
      </c>
      <c r="G8" s="416" t="s">
        <v>222</v>
      </c>
      <c r="H8" s="416" t="s">
        <v>213</v>
      </c>
      <c r="I8" s="416" t="s">
        <v>126</v>
      </c>
      <c r="J8" s="416" t="s">
        <v>2697</v>
      </c>
    </row>
    <row r="9" spans="1:16" ht="13">
      <c r="C9" s="423"/>
      <c r="D9" s="424"/>
      <c r="E9" s="1146" t="s">
        <v>2698</v>
      </c>
      <c r="F9" s="1147"/>
      <c r="G9" s="1147"/>
      <c r="H9" s="1148"/>
      <c r="I9" s="1149"/>
      <c r="J9" s="672"/>
      <c r="K9" s="555"/>
      <c r="L9" s="416" t="s">
        <v>2699</v>
      </c>
      <c r="M9" s="416" t="s">
        <v>2699</v>
      </c>
      <c r="N9" s="416" t="s">
        <v>2699</v>
      </c>
    </row>
    <row r="10" spans="1:16" s="661" customFormat="1" ht="128.25" customHeight="1">
      <c r="C10" s="425"/>
      <c r="D10" s="681" t="s">
        <v>2700</v>
      </c>
      <c r="E10" s="556" t="s">
        <v>2701</v>
      </c>
      <c r="F10" s="556" t="s">
        <v>2702</v>
      </c>
      <c r="G10" s="557" t="s">
        <v>2703</v>
      </c>
      <c r="H10" s="556" t="s">
        <v>2704</v>
      </c>
      <c r="I10" s="556" t="s">
        <v>2705</v>
      </c>
      <c r="J10" s="682" t="s">
        <v>2706</v>
      </c>
      <c r="K10" s="681" t="s">
        <v>2707</v>
      </c>
      <c r="L10" s="681" t="s">
        <v>2708</v>
      </c>
      <c r="M10" s="777" t="s">
        <v>2709</v>
      </c>
      <c r="N10" s="778"/>
      <c r="O10" s="674"/>
      <c r="P10" s="662"/>
    </row>
    <row r="11" spans="1:16" ht="55.4" customHeight="1">
      <c r="A11" s="417" t="s">
        <v>99</v>
      </c>
      <c r="B11" s="426" t="s">
        <v>2710</v>
      </c>
      <c r="C11" s="427" t="s">
        <v>2711</v>
      </c>
      <c r="D11" s="428" t="s">
        <v>2712</v>
      </c>
      <c r="E11" s="1067" t="s">
        <v>2713</v>
      </c>
      <c r="F11" s="452" t="s">
        <v>2714</v>
      </c>
      <c r="G11" s="561" t="s">
        <v>2715</v>
      </c>
      <c r="H11" s="426" t="s">
        <v>2716</v>
      </c>
      <c r="I11" s="426" t="s">
        <v>2717</v>
      </c>
      <c r="J11" s="426" t="s">
        <v>2718</v>
      </c>
      <c r="K11" s="430" t="s">
        <v>2719</v>
      </c>
      <c r="L11" s="426" t="s">
        <v>2720</v>
      </c>
      <c r="M11" s="429" t="s">
        <v>2721</v>
      </c>
      <c r="N11" s="426" t="s">
        <v>2716</v>
      </c>
      <c r="O11" s="426" t="s">
        <v>2717</v>
      </c>
      <c r="P11" s="426" t="s">
        <v>100</v>
      </c>
    </row>
    <row r="12" spans="1:16" ht="13">
      <c r="A12" s="431" t="s">
        <v>1711</v>
      </c>
      <c r="B12" s="250" t="s">
        <v>2963</v>
      </c>
      <c r="C12" s="571">
        <f>M115</f>
        <v>0.43882496871509818</v>
      </c>
      <c r="D12" s="1085">
        <f>$D$4*C12</f>
        <v>493458879.24943101</v>
      </c>
      <c r="E12" s="532">
        <v>28897.436892185866</v>
      </c>
      <c r="F12" s="447"/>
      <c r="G12" s="1054">
        <v>2970.3989656466479</v>
      </c>
      <c r="H12" s="533">
        <v>0</v>
      </c>
      <c r="I12" s="534">
        <v>1.2E-2</v>
      </c>
      <c r="J12" s="434">
        <f>(E12+F12)-G12</f>
        <v>25927.037926539218</v>
      </c>
      <c r="K12" s="1087">
        <f>D12/(J12*10^6)</f>
        <v>1.9032597578156844E-2</v>
      </c>
      <c r="L12" s="432"/>
      <c r="M12" s="415"/>
      <c r="P12" s="416"/>
    </row>
    <row r="13" spans="1:16" ht="13.5" thickBot="1">
      <c r="A13" s="431" t="s">
        <v>1714</v>
      </c>
      <c r="B13" s="250" t="s">
        <v>2964</v>
      </c>
      <c r="C13" s="571">
        <f>M116</f>
        <v>7.3834139539614638E-2</v>
      </c>
      <c r="D13" s="422">
        <f>$D$4*C13</f>
        <v>83026523.887747929</v>
      </c>
      <c r="E13" s="532">
        <v>6217.9674167209623</v>
      </c>
      <c r="F13" s="447"/>
      <c r="G13" s="611">
        <v>316.01385336276473</v>
      </c>
      <c r="H13" s="533">
        <v>0</v>
      </c>
      <c r="I13" s="534">
        <v>0.82599999999999996</v>
      </c>
      <c r="J13" s="434">
        <f t="shared" ref="J13:J27" si="0">(E13+F13)-G13</f>
        <v>5901.9535633581972</v>
      </c>
      <c r="K13" s="1087">
        <f>D13/(J13*10^6)</f>
        <v>1.4067634215763982E-2</v>
      </c>
      <c r="L13" s="432"/>
      <c r="M13" s="536">
        <v>5768.4000542599688</v>
      </c>
      <c r="N13" s="537">
        <v>27711.552896353274</v>
      </c>
      <c r="O13" s="538">
        <v>0.82599999999999996</v>
      </c>
      <c r="P13" s="416"/>
    </row>
    <row r="14" spans="1:16" ht="15.5" thickBot="1">
      <c r="A14" s="431" t="s">
        <v>2722</v>
      </c>
      <c r="B14" s="250" t="s">
        <v>2965</v>
      </c>
      <c r="C14" s="571"/>
      <c r="D14" s="571"/>
      <c r="E14" s="535"/>
      <c r="F14" s="447"/>
      <c r="G14" s="447"/>
      <c r="H14" s="535"/>
      <c r="I14" s="535"/>
      <c r="J14" s="434">
        <f>(E14+F14)-G14</f>
        <v>0</v>
      </c>
      <c r="K14" s="432"/>
      <c r="L14" s="1088">
        <f>N14</f>
        <v>2.9282127772942919</v>
      </c>
      <c r="M14" s="1090">
        <f>K13*M13*10^6</f>
        <v>81147741.97352235</v>
      </c>
      <c r="N14" s="1091">
        <f>M14/((N13+O13)*10^3)</f>
        <v>2.9282127772942919</v>
      </c>
      <c r="O14" s="663"/>
      <c r="P14" s="558" t="s">
        <v>2723</v>
      </c>
    </row>
    <row r="15" spans="1:16" ht="13">
      <c r="A15" s="431" t="s">
        <v>2724</v>
      </c>
      <c r="B15" s="250" t="s">
        <v>2966</v>
      </c>
      <c r="C15" s="571">
        <f t="shared" ref="C15:C26" si="1">M117</f>
        <v>4.5007055271813722E-4</v>
      </c>
      <c r="D15" s="422">
        <f t="shared" ref="D15:D26" si="2">$D$4*C15</f>
        <v>506104.54363560624</v>
      </c>
      <c r="E15" s="1092">
        <v>54.401078863459979</v>
      </c>
      <c r="F15" s="538"/>
      <c r="G15" s="447">
        <v>0</v>
      </c>
      <c r="H15" s="533">
        <v>0</v>
      </c>
      <c r="I15" s="534"/>
      <c r="J15" s="434">
        <f t="shared" si="0"/>
        <v>54.401078863459979</v>
      </c>
      <c r="K15" s="1087">
        <f>D15/(J15*10^6)</f>
        <v>9.3032078445698923E-3</v>
      </c>
      <c r="L15" s="432"/>
      <c r="M15" s="415"/>
      <c r="P15" s="416"/>
    </row>
    <row r="16" spans="1:16" ht="13">
      <c r="A16" s="431" t="s">
        <v>2725</v>
      </c>
      <c r="B16" s="250" t="s">
        <v>2967</v>
      </c>
      <c r="C16" s="571">
        <f t="shared" si="1"/>
        <v>0.15050841156693748</v>
      </c>
      <c r="D16" s="422">
        <f t="shared" si="2"/>
        <v>169246778.06483656</v>
      </c>
      <c r="E16" s="532">
        <v>12923.904731668837</v>
      </c>
      <c r="F16" s="447"/>
      <c r="G16" s="611">
        <v>160.87490577953494</v>
      </c>
      <c r="H16" s="533">
        <v>44553.687690451414</v>
      </c>
      <c r="I16" s="534">
        <v>33.755000000000003</v>
      </c>
      <c r="J16" s="434">
        <f t="shared" si="0"/>
        <v>12763.029825889302</v>
      </c>
      <c r="K16" s="432"/>
      <c r="L16" s="1089">
        <f t="shared" ref="L16:L25" si="3">D16/((I16+H16)*10^3)</f>
        <v>3.7958395425329354</v>
      </c>
      <c r="M16" s="415"/>
      <c r="O16" s="664"/>
      <c r="P16" s="416"/>
    </row>
    <row r="17" spans="1:16" ht="13">
      <c r="A17" s="431" t="s">
        <v>2726</v>
      </c>
      <c r="B17" s="250" t="s">
        <v>2968</v>
      </c>
      <c r="C17" s="571">
        <f t="shared" si="1"/>
        <v>8.9288178186639394E-2</v>
      </c>
      <c r="D17" s="422">
        <f t="shared" si="2"/>
        <v>100404597.45764381</v>
      </c>
      <c r="E17" s="532">
        <v>8235.3647584572391</v>
      </c>
      <c r="F17" s="447"/>
      <c r="G17" s="611">
        <v>36.851488737258322</v>
      </c>
      <c r="H17" s="533">
        <v>23667.315608946828</v>
      </c>
      <c r="I17" s="534">
        <v>77.436000000000007</v>
      </c>
      <c r="J17" s="434">
        <f t="shared" si="0"/>
        <v>8198.5132697199806</v>
      </c>
      <c r="K17" s="432"/>
      <c r="L17" s="1089">
        <f t="shared" si="3"/>
        <v>4.2284964320204628</v>
      </c>
      <c r="M17" s="415"/>
      <c r="O17" s="664"/>
      <c r="P17" s="416"/>
    </row>
    <row r="18" spans="1:16" ht="13">
      <c r="A18" s="431" t="s">
        <v>2727</v>
      </c>
      <c r="B18" s="250" t="s">
        <v>2969</v>
      </c>
      <c r="C18" s="571">
        <f t="shared" si="1"/>
        <v>8.331578378072349E-2</v>
      </c>
      <c r="D18" s="422">
        <f t="shared" si="2"/>
        <v>93688637.199939728</v>
      </c>
      <c r="E18" s="532">
        <v>8205.1672022822677</v>
      </c>
      <c r="F18" s="447"/>
      <c r="G18" s="611">
        <v>11.347573213366275</v>
      </c>
      <c r="H18" s="533">
        <v>21052.097314227431</v>
      </c>
      <c r="I18" s="534"/>
      <c r="J18" s="434">
        <f t="shared" si="0"/>
        <v>8193.8196290689011</v>
      </c>
      <c r="K18" s="432"/>
      <c r="L18" s="1089">
        <f>D18/((I18+H18)*10^3)</f>
        <v>4.4503232054044828</v>
      </c>
      <c r="M18" s="415"/>
      <c r="O18" s="664"/>
      <c r="P18" s="416"/>
    </row>
    <row r="19" spans="1:16" ht="13">
      <c r="A19" s="431" t="s">
        <v>2728</v>
      </c>
      <c r="B19" s="250" t="s">
        <v>2970</v>
      </c>
      <c r="C19" s="571">
        <f t="shared" si="1"/>
        <v>5.6152184868729249E-2</v>
      </c>
      <c r="D19" s="422">
        <f t="shared" si="2"/>
        <v>63143157.723824948</v>
      </c>
      <c r="E19" s="532">
        <v>5817.6682335091118</v>
      </c>
      <c r="F19" s="447"/>
      <c r="G19" s="611">
        <v>5.5530046126523747</v>
      </c>
      <c r="H19" s="533">
        <v>13566.366848854932</v>
      </c>
      <c r="I19" s="534"/>
      <c r="J19" s="434">
        <f t="shared" si="0"/>
        <v>5812.1152288964595</v>
      </c>
      <c r="K19" s="432"/>
      <c r="L19" s="1089">
        <f t="shared" si="3"/>
        <v>4.6543896702273351</v>
      </c>
      <c r="M19" s="415"/>
      <c r="O19" s="664"/>
      <c r="P19" s="416"/>
    </row>
    <row r="20" spans="1:16" ht="13">
      <c r="A20" s="431" t="s">
        <v>2729</v>
      </c>
      <c r="B20" s="250" t="s">
        <v>2971</v>
      </c>
      <c r="C20" s="571">
        <f t="shared" si="1"/>
        <v>6.5857990740280412E-2</v>
      </c>
      <c r="D20" s="422">
        <f t="shared" si="2"/>
        <v>74057340.892599136</v>
      </c>
      <c r="E20" s="532">
        <v>6213.4504412740043</v>
      </c>
      <c r="F20" s="447"/>
      <c r="G20" s="611">
        <v>0.75725481639606762</v>
      </c>
      <c r="H20" s="533">
        <v>12635.66179947502</v>
      </c>
      <c r="I20" s="534"/>
      <c r="J20" s="434">
        <f t="shared" si="0"/>
        <v>6212.6931864576081</v>
      </c>
      <c r="K20" s="432"/>
      <c r="L20" s="1089">
        <f t="shared" si="3"/>
        <v>5.8609784012797839</v>
      </c>
      <c r="M20" s="415"/>
      <c r="N20" s="665"/>
      <c r="O20" s="666"/>
      <c r="P20" s="416"/>
    </row>
    <row r="21" spans="1:16" ht="13">
      <c r="A21" s="431" t="s">
        <v>2730</v>
      </c>
      <c r="B21" s="250" t="s">
        <v>2972</v>
      </c>
      <c r="C21" s="571">
        <f t="shared" si="1"/>
        <v>6.9868526305764825E-4</v>
      </c>
      <c r="D21" s="422">
        <f t="shared" si="2"/>
        <v>785671.89981470804</v>
      </c>
      <c r="E21" s="533">
        <v>77.959072421317671</v>
      </c>
      <c r="F21" s="533">
        <v>71.072403361260001</v>
      </c>
      <c r="G21" s="611">
        <v>0</v>
      </c>
      <c r="H21" s="533">
        <v>236.52349768907933</v>
      </c>
      <c r="I21" s="534">
        <v>207.67295999999996</v>
      </c>
      <c r="J21" s="434">
        <f t="shared" si="0"/>
        <v>149.03147578257767</v>
      </c>
      <c r="K21" s="432"/>
      <c r="L21" s="1089">
        <f t="shared" si="3"/>
        <v>1.7687486836390953</v>
      </c>
      <c r="M21" s="415"/>
      <c r="O21" s="664"/>
      <c r="P21" s="416"/>
    </row>
    <row r="22" spans="1:16" ht="13">
      <c r="A22" s="431" t="s">
        <v>2731</v>
      </c>
      <c r="B22" s="250" t="s">
        <v>2973</v>
      </c>
      <c r="C22" s="571">
        <f t="shared" si="1"/>
        <v>1.5791709953932231E-3</v>
      </c>
      <c r="D22" s="422">
        <f t="shared" si="2"/>
        <v>1775778.510989585</v>
      </c>
      <c r="E22" s="533">
        <v>349.56286684196266</v>
      </c>
      <c r="F22" s="533">
        <v>173.64174048986001</v>
      </c>
      <c r="G22" s="611">
        <v>0</v>
      </c>
      <c r="H22" s="533">
        <v>905.71098511493551</v>
      </c>
      <c r="I22" s="534">
        <v>1123.5234</v>
      </c>
      <c r="J22" s="434">
        <f t="shared" si="0"/>
        <v>523.20460733182267</v>
      </c>
      <c r="K22" s="432"/>
      <c r="L22" s="1089">
        <f t="shared" si="3"/>
        <v>0.87509778269847582</v>
      </c>
      <c r="M22" s="415"/>
      <c r="O22" s="664"/>
      <c r="P22" s="416"/>
    </row>
    <row r="23" spans="1:16" ht="13">
      <c r="A23" s="431" t="s">
        <v>2732</v>
      </c>
      <c r="B23" s="250" t="s">
        <v>2974</v>
      </c>
      <c r="C23" s="571">
        <f t="shared" si="1"/>
        <v>3.9606015285057888E-3</v>
      </c>
      <c r="D23" s="422">
        <f t="shared" si="2"/>
        <v>4453698.2413115986</v>
      </c>
      <c r="E23" s="533">
        <v>1830.5709399318273</v>
      </c>
      <c r="F23" s="533">
        <v>502.50879985540013</v>
      </c>
      <c r="G23" s="611">
        <v>0</v>
      </c>
      <c r="H23" s="533">
        <v>4103.366195204102</v>
      </c>
      <c r="I23" s="534">
        <v>6874.379280000001</v>
      </c>
      <c r="J23" s="434">
        <f t="shared" si="0"/>
        <v>2333.0797397872275</v>
      </c>
      <c r="K23" s="432"/>
      <c r="L23" s="1089">
        <f t="shared" si="3"/>
        <v>0.40570245059619525</v>
      </c>
      <c r="M23" s="415"/>
      <c r="N23" s="665"/>
      <c r="O23" s="666"/>
      <c r="P23" s="416"/>
    </row>
    <row r="24" spans="1:16" ht="13">
      <c r="A24" s="431" t="s">
        <v>2733</v>
      </c>
      <c r="B24" s="250" t="s">
        <v>2975</v>
      </c>
      <c r="C24" s="571">
        <f t="shared" si="1"/>
        <v>1.7391433365632192E-2</v>
      </c>
      <c r="D24" s="422">
        <f t="shared" si="2"/>
        <v>19556674.822479744</v>
      </c>
      <c r="E24" s="532">
        <v>2016.6425893918665</v>
      </c>
      <c r="F24" s="447"/>
      <c r="G24" s="611">
        <v>58.101393495323897</v>
      </c>
      <c r="H24" s="532">
        <v>9799.0003990331697</v>
      </c>
      <c r="I24" s="532">
        <v>1.9039999999999999</v>
      </c>
      <c r="J24" s="434">
        <f t="shared" si="0"/>
        <v>1958.5411958965426</v>
      </c>
      <c r="K24" s="432"/>
      <c r="L24" s="1089">
        <f t="shared" si="3"/>
        <v>1.9953949172699768</v>
      </c>
      <c r="M24" s="415"/>
      <c r="N24" s="667"/>
      <c r="O24" s="667"/>
      <c r="P24" s="416"/>
    </row>
    <row r="25" spans="1:16" ht="13">
      <c r="A25" s="431" t="s">
        <v>2734</v>
      </c>
      <c r="B25" s="250" t="s">
        <v>2976</v>
      </c>
      <c r="C25" s="571">
        <f t="shared" si="1"/>
        <v>1.4502169122648959E-2</v>
      </c>
      <c r="D25" s="422">
        <f t="shared" si="2"/>
        <v>16307695.851723861</v>
      </c>
      <c r="E25" s="532">
        <v>1730.8233404314828</v>
      </c>
      <c r="F25" s="447"/>
      <c r="G25" s="611">
        <v>6.6009644067034721</v>
      </c>
      <c r="H25" s="532">
        <v>5936.2433795958805</v>
      </c>
      <c r="I25" s="532">
        <v>21.98</v>
      </c>
      <c r="J25" s="434">
        <f t="shared" si="0"/>
        <v>1724.2223760247794</v>
      </c>
      <c r="K25" s="432"/>
      <c r="L25" s="1089">
        <f t="shared" si="3"/>
        <v>2.7370064552413504</v>
      </c>
      <c r="M25" s="664"/>
      <c r="O25" s="419"/>
      <c r="P25" s="416"/>
    </row>
    <row r="26" spans="1:16" ht="13">
      <c r="A26" s="431" t="s">
        <v>2735</v>
      </c>
      <c r="B26" s="250" t="s">
        <v>2977</v>
      </c>
      <c r="C26" s="571">
        <f t="shared" si="1"/>
        <v>3.6362117740215008E-3</v>
      </c>
      <c r="D26" s="422">
        <f t="shared" si="2"/>
        <v>4088921.8131231186</v>
      </c>
      <c r="E26" s="532">
        <v>443.83621313761523</v>
      </c>
      <c r="F26" s="447"/>
      <c r="G26" s="611">
        <v>1.4245154224999501</v>
      </c>
      <c r="H26" s="533">
        <v>0</v>
      </c>
      <c r="I26" s="534"/>
      <c r="J26" s="434">
        <f t="shared" si="0"/>
        <v>442.41169771511528</v>
      </c>
      <c r="K26" s="1087">
        <f>D26/(J26*10^6)</f>
        <v>9.2423456121092928E-3</v>
      </c>
      <c r="L26" s="432"/>
      <c r="M26" s="415"/>
      <c r="O26" s="419"/>
      <c r="P26" s="416"/>
    </row>
    <row r="27" spans="1:16" ht="13">
      <c r="A27" s="431" t="s">
        <v>2736</v>
      </c>
      <c r="B27" s="433" t="s">
        <v>380</v>
      </c>
      <c r="C27" s="571"/>
      <c r="D27" s="422"/>
      <c r="E27" s="532"/>
      <c r="F27" s="447"/>
      <c r="G27" s="447"/>
      <c r="H27" s="533"/>
      <c r="I27" s="534"/>
      <c r="J27" s="434">
        <f t="shared" si="0"/>
        <v>0</v>
      </c>
      <c r="K27" s="1087"/>
      <c r="L27" s="432"/>
      <c r="M27" s="415"/>
      <c r="O27" s="419"/>
      <c r="P27" s="416"/>
    </row>
    <row r="28" spans="1:16" ht="13">
      <c r="A28" s="431">
        <v>2</v>
      </c>
      <c r="B28" s="252" t="s">
        <v>431</v>
      </c>
      <c r="C28" s="678">
        <f t="shared" ref="C28:D28" si="4">SUM(C12:C27)</f>
        <v>1.0000000000000002</v>
      </c>
      <c r="D28" s="1086">
        <f t="shared" si="4"/>
        <v>1124500460.1591012</v>
      </c>
      <c r="E28" s="677">
        <f>SUM(E12:E27)</f>
        <v>83014.75577711784</v>
      </c>
      <c r="F28" s="677">
        <f t="shared" ref="F28:J28" si="5">SUM(F12:F27)</f>
        <v>747.22294370652014</v>
      </c>
      <c r="G28" s="677">
        <f t="shared" si="5"/>
        <v>3567.9239194931479</v>
      </c>
      <c r="H28" s="677">
        <f t="shared" si="5"/>
        <v>136455.97371859278</v>
      </c>
      <c r="I28" s="677">
        <f t="shared" si="5"/>
        <v>8341.4886400000014</v>
      </c>
      <c r="J28" s="677">
        <f t="shared" si="5"/>
        <v>80194.054801331178</v>
      </c>
      <c r="K28" s="416"/>
      <c r="M28" s="415"/>
      <c r="P28" s="416"/>
    </row>
    <row r="29" spans="1:16" ht="13">
      <c r="A29" s="431">
        <f>A28+1</f>
        <v>3</v>
      </c>
      <c r="J29" s="434"/>
      <c r="K29" s="434"/>
    </row>
    <row r="30" spans="1:16" ht="13">
      <c r="A30" s="431">
        <f t="shared" ref="A30:A34" si="6">A29+1</f>
        <v>4</v>
      </c>
      <c r="G30" s="559"/>
      <c r="I30" s="423"/>
      <c r="J30" s="435"/>
      <c r="K30" s="435"/>
      <c r="L30" s="435"/>
    </row>
    <row r="31" spans="1:16" ht="15.5">
      <c r="A31" s="431">
        <f t="shared" si="6"/>
        <v>5</v>
      </c>
      <c r="B31" s="414" t="s">
        <v>2737</v>
      </c>
    </row>
    <row r="32" spans="1:16" ht="13">
      <c r="A32" s="431">
        <f t="shared" si="6"/>
        <v>6</v>
      </c>
      <c r="C32" s="423" t="s">
        <v>336</v>
      </c>
      <c r="D32" s="423" t="s">
        <v>337</v>
      </c>
      <c r="E32" s="423" t="s">
        <v>338</v>
      </c>
      <c r="F32" s="423" t="s">
        <v>339</v>
      </c>
      <c r="G32" s="423" t="s">
        <v>340</v>
      </c>
      <c r="H32" s="423" t="s">
        <v>341</v>
      </c>
      <c r="I32" s="423" t="s">
        <v>342</v>
      </c>
      <c r="J32" s="423" t="s">
        <v>343</v>
      </c>
    </row>
    <row r="33" spans="1:13" s="661" customFormat="1" ht="42.75" customHeight="1">
      <c r="A33" s="431">
        <f t="shared" si="6"/>
        <v>7</v>
      </c>
      <c r="C33" s="662" t="s">
        <v>2738</v>
      </c>
      <c r="D33" s="675" t="s">
        <v>2739</v>
      </c>
      <c r="E33" s="675" t="s">
        <v>2740</v>
      </c>
      <c r="F33" s="680"/>
      <c r="H33" s="557" t="s">
        <v>2738</v>
      </c>
      <c r="I33" s="557" t="s">
        <v>2200</v>
      </c>
      <c r="J33" s="424" t="s">
        <v>2741</v>
      </c>
      <c r="K33" s="562"/>
      <c r="L33" s="562"/>
      <c r="M33" s="562"/>
    </row>
    <row r="34" spans="1:13" ht="13">
      <c r="A34" s="431">
        <f t="shared" si="6"/>
        <v>8</v>
      </c>
      <c r="C34" s="423"/>
      <c r="D34" s="423"/>
      <c r="E34" s="423"/>
      <c r="F34" s="563"/>
      <c r="K34" s="563"/>
      <c r="L34" s="563"/>
      <c r="M34" s="563"/>
    </row>
    <row r="35" spans="1:13" s="437" customFormat="1" ht="60.5" customHeight="1">
      <c r="A35" s="431">
        <v>9</v>
      </c>
      <c r="B35" s="436" t="s">
        <v>2710</v>
      </c>
      <c r="C35" s="426" t="s">
        <v>2742</v>
      </c>
      <c r="D35" s="436" t="s">
        <v>2743</v>
      </c>
      <c r="E35" s="436" t="s">
        <v>2744</v>
      </c>
      <c r="F35" s="564"/>
      <c r="G35" s="436" t="s">
        <v>2710</v>
      </c>
      <c r="H35" s="436" t="s">
        <v>2745</v>
      </c>
      <c r="I35" s="436" t="s">
        <v>2746</v>
      </c>
      <c r="J35" s="436" t="s">
        <v>2747</v>
      </c>
      <c r="K35" s="564"/>
      <c r="L35" s="565"/>
      <c r="M35" s="565"/>
    </row>
    <row r="36" spans="1:13" s="439" customFormat="1" ht="13">
      <c r="A36" s="438" t="s">
        <v>2748</v>
      </c>
      <c r="B36" s="1040" t="s">
        <v>2972</v>
      </c>
      <c r="C36" s="422">
        <f>D21</f>
        <v>785671.89981470804</v>
      </c>
      <c r="D36" s="1093">
        <f>I21</f>
        <v>207.67295999999996</v>
      </c>
      <c r="E36" s="1094">
        <f>C36/D36/10^3</f>
        <v>3.7832171305051374</v>
      </c>
      <c r="F36" s="566"/>
      <c r="G36" s="1040" t="s">
        <v>2972</v>
      </c>
      <c r="H36" s="422">
        <f>D18</f>
        <v>93688637.199939728</v>
      </c>
      <c r="I36" s="434">
        <f>H18+H21</f>
        <v>21288.620811916509</v>
      </c>
      <c r="J36" s="664">
        <f>H36/(I36*10^3)</f>
        <v>4.4008786678889322</v>
      </c>
      <c r="K36" s="567"/>
      <c r="L36" s="568"/>
      <c r="M36" s="566"/>
    </row>
    <row r="37" spans="1:13" s="439" customFormat="1" ht="13">
      <c r="A37" s="438" t="s">
        <v>2749</v>
      </c>
      <c r="B37" s="1040" t="s">
        <v>2973</v>
      </c>
      <c r="C37" s="422">
        <f>D22</f>
        <v>1775778.510989585</v>
      </c>
      <c r="D37" s="1093">
        <f>I22</f>
        <v>1123.5234</v>
      </c>
      <c r="E37" s="1094">
        <f t="shared" ref="E37:E38" si="7">C37/D37/10^3</f>
        <v>1.580544304630936</v>
      </c>
      <c r="F37" s="566"/>
      <c r="G37" s="1040" t="s">
        <v>2973</v>
      </c>
      <c r="H37" s="422">
        <f t="shared" ref="H37:H38" si="8">D19</f>
        <v>63143157.723824948</v>
      </c>
      <c r="I37" s="434">
        <f t="shared" ref="I37:I38" si="9">H19+H22</f>
        <v>14472.077833969868</v>
      </c>
      <c r="J37" s="664">
        <f t="shared" ref="J37:J38" si="10">H37/(I37*10^3)</f>
        <v>4.36310241336672</v>
      </c>
      <c r="K37" s="567"/>
      <c r="L37" s="568"/>
      <c r="M37" s="566"/>
    </row>
    <row r="38" spans="1:13" s="439" customFormat="1" ht="13">
      <c r="A38" s="438" t="s">
        <v>2750</v>
      </c>
      <c r="B38" s="1040" t="s">
        <v>2974</v>
      </c>
      <c r="C38" s="422">
        <f>D23</f>
        <v>4453698.2413115986</v>
      </c>
      <c r="D38" s="1093">
        <f>I23</f>
        <v>6874.379280000001</v>
      </c>
      <c r="E38" s="1094">
        <f t="shared" si="7"/>
        <v>0.64786914714888966</v>
      </c>
      <c r="F38" s="566"/>
      <c r="G38" s="1040" t="s">
        <v>2974</v>
      </c>
      <c r="H38" s="422">
        <f t="shared" si="8"/>
        <v>74057340.892599136</v>
      </c>
      <c r="I38" s="434">
        <f t="shared" si="9"/>
        <v>16739.02799467912</v>
      </c>
      <c r="J38" s="664">
        <f t="shared" si="10"/>
        <v>4.4242318560038223</v>
      </c>
      <c r="K38" s="567"/>
      <c r="L38" s="568"/>
      <c r="M38" s="566"/>
    </row>
    <row r="39" spans="1:13" ht="13">
      <c r="A39" s="438" t="s">
        <v>2751</v>
      </c>
      <c r="B39" s="1041" t="s">
        <v>380</v>
      </c>
      <c r="C39" s="423"/>
      <c r="D39" s="423"/>
      <c r="E39" s="423"/>
      <c r="F39" s="423"/>
      <c r="G39" s="1041" t="s">
        <v>380</v>
      </c>
      <c r="H39" s="423"/>
      <c r="I39" s="423"/>
    </row>
    <row r="40" spans="1:13" ht="13">
      <c r="A40" s="431">
        <v>10</v>
      </c>
      <c r="C40" s="423"/>
      <c r="D40" s="423"/>
      <c r="E40" s="423"/>
      <c r="F40" s="423"/>
      <c r="G40" s="423"/>
      <c r="H40" s="423"/>
      <c r="I40" s="423"/>
    </row>
    <row r="41" spans="1:13" ht="13">
      <c r="A41" s="431">
        <v>11</v>
      </c>
      <c r="B41" s="668" t="s">
        <v>2752</v>
      </c>
    </row>
    <row r="42" spans="1:13" ht="13">
      <c r="A42" s="431">
        <v>12</v>
      </c>
      <c r="C42" s="423" t="s">
        <v>336</v>
      </c>
      <c r="D42" s="423" t="s">
        <v>337</v>
      </c>
      <c r="E42" s="423" t="s">
        <v>338</v>
      </c>
      <c r="F42" s="423" t="s">
        <v>339</v>
      </c>
      <c r="G42" s="423" t="s">
        <v>340</v>
      </c>
      <c r="H42" s="423" t="s">
        <v>341</v>
      </c>
      <c r="I42" s="423" t="s">
        <v>342</v>
      </c>
      <c r="J42" s="423" t="s">
        <v>343</v>
      </c>
      <c r="K42" s="423" t="s">
        <v>344</v>
      </c>
      <c r="L42" s="423" t="s">
        <v>589</v>
      </c>
      <c r="M42" s="423" t="s">
        <v>590</v>
      </c>
    </row>
    <row r="43" spans="1:13" s="661" customFormat="1" ht="56.9" customHeight="1">
      <c r="A43" s="441">
        <v>13</v>
      </c>
      <c r="C43" s="675" t="s">
        <v>2753</v>
      </c>
      <c r="D43" s="675" t="s">
        <v>2754</v>
      </c>
      <c r="E43" s="675" t="s">
        <v>2755</v>
      </c>
      <c r="G43" s="675" t="s">
        <v>2756</v>
      </c>
      <c r="H43" s="675" t="s">
        <v>2757</v>
      </c>
      <c r="I43" s="675" t="s">
        <v>2758</v>
      </c>
      <c r="J43" s="675" t="s">
        <v>2759</v>
      </c>
      <c r="K43" s="675" t="s">
        <v>2760</v>
      </c>
      <c r="L43" s="425"/>
      <c r="M43" s="675" t="s">
        <v>2756</v>
      </c>
    </row>
    <row r="44" spans="1:13" ht="13">
      <c r="A44" s="431">
        <v>14</v>
      </c>
      <c r="C44" s="416"/>
      <c r="D44" s="432" t="s">
        <v>2761</v>
      </c>
      <c r="E44" s="560"/>
      <c r="G44" s="416"/>
      <c r="H44" s="416" t="s">
        <v>2762</v>
      </c>
      <c r="I44" s="416" t="s">
        <v>2763</v>
      </c>
      <c r="J44" s="416"/>
      <c r="K44" s="416"/>
      <c r="L44" s="416"/>
      <c r="M44" s="555"/>
    </row>
    <row r="45" spans="1:13" ht="64.400000000000006" customHeight="1">
      <c r="A45" s="431">
        <v>15</v>
      </c>
      <c r="B45" s="429" t="str">
        <f>B11</f>
        <v>CPUC Rate Group</v>
      </c>
      <c r="C45" s="426" t="s">
        <v>2764</v>
      </c>
      <c r="D45" s="426" t="s">
        <v>2765</v>
      </c>
      <c r="E45" s="426" t="s">
        <v>2766</v>
      </c>
      <c r="G45" s="426" t="s">
        <v>2767</v>
      </c>
      <c r="H45" s="426" t="s">
        <v>2768</v>
      </c>
      <c r="I45" s="436" t="s">
        <v>2769</v>
      </c>
      <c r="J45" s="426" t="s">
        <v>2770</v>
      </c>
      <c r="K45" s="436" t="s">
        <v>2771</v>
      </c>
      <c r="L45" s="442" t="s">
        <v>100</v>
      </c>
      <c r="M45" s="641" t="s">
        <v>2772</v>
      </c>
    </row>
    <row r="46" spans="1:13" ht="13.5" thickBot="1">
      <c r="A46" s="431" t="s">
        <v>2773</v>
      </c>
      <c r="B46" s="1042" t="s">
        <v>2963</v>
      </c>
      <c r="C46" s="422">
        <f>D46+E46</f>
        <v>493458879.24943101</v>
      </c>
      <c r="D46" s="422">
        <f>D12-E46</f>
        <v>493458879.24943101</v>
      </c>
      <c r="E46" s="1095"/>
      <c r="G46" s="1095">
        <f>D46/(J12*10^6)</f>
        <v>1.9032597578156844E-2</v>
      </c>
      <c r="H46" s="1095"/>
      <c r="I46" s="1096"/>
      <c r="J46" s="1097"/>
      <c r="K46" s="1095"/>
      <c r="L46" s="1095"/>
      <c r="M46" s="555"/>
    </row>
    <row r="47" spans="1:13" ht="13.5" thickBot="1">
      <c r="A47" s="431" t="s">
        <v>2774</v>
      </c>
      <c r="B47" s="1042" t="s">
        <v>2964</v>
      </c>
      <c r="C47" s="422">
        <f t="shared" ref="C47:C59" si="11">D47+E47</f>
        <v>83026523.887747929</v>
      </c>
      <c r="D47" s="422">
        <f t="shared" ref="D47" si="12">D13-E47</f>
        <v>83024105.183993876</v>
      </c>
      <c r="E47" s="422">
        <f>I47*I13*10^3</f>
        <v>2418.7037540450847</v>
      </c>
      <c r="G47" s="1095">
        <f>D47/(J13*10^6)</f>
        <v>1.4067224401669701E-2</v>
      </c>
      <c r="H47" s="1098">
        <f>(M14-E47)/N13/10^3</f>
        <v>2.9282127772942919</v>
      </c>
      <c r="I47" s="1091">
        <f>MIN($I$54,L14)</f>
        <v>2.9282127772942919</v>
      </c>
      <c r="J47" s="1091"/>
      <c r="K47" s="1091"/>
      <c r="L47" s="558" t="s">
        <v>2775</v>
      </c>
      <c r="M47" s="1087">
        <f>$D47/(J13*10^6)</f>
        <v>1.4067224401669701E-2</v>
      </c>
    </row>
    <row r="48" spans="1:13" ht="13.5" thickBot="1">
      <c r="A48" s="431" t="s">
        <v>2776</v>
      </c>
      <c r="B48" s="1042" t="s">
        <v>2966</v>
      </c>
      <c r="C48" s="422">
        <f t="shared" si="11"/>
        <v>506104.54363560624</v>
      </c>
      <c r="D48" s="422">
        <f>D15-E48</f>
        <v>506104.54363560624</v>
      </c>
      <c r="E48" s="1095"/>
      <c r="G48" s="1095">
        <f>D48/(J15*10^6)</f>
        <v>9.3032078445698923E-3</v>
      </c>
      <c r="H48" s="1095"/>
      <c r="I48" s="1096"/>
      <c r="J48" s="1097"/>
      <c r="K48" s="1095"/>
      <c r="L48" s="1095"/>
      <c r="M48" s="1099"/>
    </row>
    <row r="49" spans="1:13" ht="13">
      <c r="A49" s="431" t="s">
        <v>2777</v>
      </c>
      <c r="B49" s="1042" t="s">
        <v>2967</v>
      </c>
      <c r="C49" s="422">
        <f t="shared" si="11"/>
        <v>169246778.06483656</v>
      </c>
      <c r="D49" s="422">
        <f t="shared" ref="D49:D50" si="13">D16-E49</f>
        <v>169119075.57059637</v>
      </c>
      <c r="E49" s="422">
        <f>I49*I16*10^3</f>
        <v>127702.49424020092</v>
      </c>
      <c r="G49" s="422"/>
      <c r="H49" s="1100">
        <f t="shared" ref="H49:H58" si="14">D49/H16/10^3</f>
        <v>3.7958491055913504</v>
      </c>
      <c r="I49" s="1089">
        <f>MIN($I$54,L16)</f>
        <v>3.7832171305051374</v>
      </c>
      <c r="J49" s="1097"/>
      <c r="K49" s="1095"/>
      <c r="L49" s="1151" t="s">
        <v>2778</v>
      </c>
      <c r="M49" s="1101">
        <f>($D49+D50)/((J16+J17)*10^6)</f>
        <v>1.2844031310028738E-2</v>
      </c>
    </row>
    <row r="50" spans="1:13" ht="13.5" thickBot="1">
      <c r="A50" s="431" t="s">
        <v>2779</v>
      </c>
      <c r="B50" s="1042" t="s">
        <v>2968</v>
      </c>
      <c r="C50" s="422">
        <f t="shared" si="11"/>
        <v>100404597.45764381</v>
      </c>
      <c r="D50" s="422">
        <f t="shared" si="13"/>
        <v>100111640.25592601</v>
      </c>
      <c r="E50" s="422">
        <f>I50*I17*10^3</f>
        <v>292957.20171779586</v>
      </c>
      <c r="G50" s="422"/>
      <c r="H50" s="1100">
        <f t="shared" si="14"/>
        <v>4.2299533208608313</v>
      </c>
      <c r="I50" s="1089">
        <f>MIN($I$54,L17)</f>
        <v>3.7832171305051374</v>
      </c>
      <c r="J50" s="1097"/>
      <c r="K50" s="1095"/>
      <c r="L50" s="1152"/>
      <c r="M50" s="1102">
        <f>M49</f>
        <v>1.2844031310028738E-2</v>
      </c>
    </row>
    <row r="51" spans="1:13" ht="13">
      <c r="A51" s="431" t="s">
        <v>2780</v>
      </c>
      <c r="B51" s="1042" t="s">
        <v>2969</v>
      </c>
      <c r="C51" s="422">
        <f t="shared" si="11"/>
        <v>92647725.984505385</v>
      </c>
      <c r="D51" s="422">
        <f>J36*H18*1000</f>
        <v>92647725.984505385</v>
      </c>
      <c r="E51" s="1095"/>
      <c r="G51" s="422"/>
      <c r="H51" s="1100">
        <f t="shared" si="14"/>
        <v>4.4008786678889331</v>
      </c>
      <c r="I51" s="1096"/>
      <c r="J51" s="1097"/>
      <c r="K51" s="1095"/>
      <c r="L51" s="1095"/>
      <c r="M51" s="1087">
        <f>$D51/(J18*10^6)</f>
        <v>1.130702531647421E-2</v>
      </c>
    </row>
    <row r="52" spans="1:13" ht="13">
      <c r="A52" s="431" t="s">
        <v>2781</v>
      </c>
      <c r="B52" s="1042" t="s">
        <v>2970</v>
      </c>
      <c r="C52" s="422">
        <f t="shared" si="11"/>
        <v>59191447.938857213</v>
      </c>
      <c r="D52" s="422">
        <f t="shared" ref="D52:D53" si="15">J37*H19*1000</f>
        <v>59191447.938857213</v>
      </c>
      <c r="E52" s="1095"/>
      <c r="G52" s="422"/>
      <c r="H52" s="1100">
        <f t="shared" si="14"/>
        <v>4.36310241336672</v>
      </c>
      <c r="I52" s="1096"/>
      <c r="J52" s="1097"/>
      <c r="K52" s="1095"/>
      <c r="L52" s="1095"/>
      <c r="M52" s="1087">
        <f>$D52/(J19*10^6)</f>
        <v>1.0184149076152407E-2</v>
      </c>
    </row>
    <row r="53" spans="1:13" ht="13">
      <c r="A53" s="431" t="s">
        <v>2782</v>
      </c>
      <c r="B53" s="1042" t="s">
        <v>2971</v>
      </c>
      <c r="C53" s="422">
        <f t="shared" si="11"/>
        <v>55903097.454927966</v>
      </c>
      <c r="D53" s="422">
        <f t="shared" si="15"/>
        <v>55903097.454927966</v>
      </c>
      <c r="E53" s="1095"/>
      <c r="G53" s="422"/>
      <c r="H53" s="1100">
        <f t="shared" si="14"/>
        <v>4.4242318560038232</v>
      </c>
      <c r="I53" s="1096"/>
      <c r="J53" s="1097"/>
      <c r="K53" s="1087"/>
      <c r="L53" s="1087"/>
      <c r="M53" s="1087">
        <f>$D53/(J20*10^6)</f>
        <v>8.998206699919643E-3</v>
      </c>
    </row>
    <row r="54" spans="1:13" ht="13">
      <c r="A54" s="431" t="s">
        <v>2783</v>
      </c>
      <c r="B54" s="1042" t="s">
        <v>2972</v>
      </c>
      <c r="C54" s="422">
        <f t="shared" si="11"/>
        <v>1826583.1152490545</v>
      </c>
      <c r="D54" s="422">
        <f>J36*H21*1000</f>
        <v>1040911.2154343463</v>
      </c>
      <c r="E54" s="422">
        <f>I54*I21*10^3</f>
        <v>785671.89981470804</v>
      </c>
      <c r="G54" s="422"/>
      <c r="H54" s="1100">
        <f>J36</f>
        <v>4.4008786678889322</v>
      </c>
      <c r="I54" s="1089">
        <f>E36</f>
        <v>3.7832171305051374</v>
      </c>
      <c r="J54" s="1097"/>
      <c r="K54" s="1087"/>
      <c r="L54" s="1087"/>
    </row>
    <row r="55" spans="1:13" ht="13">
      <c r="A55" s="431" t="s">
        <v>2784</v>
      </c>
      <c r="B55" s="1042" t="s">
        <v>2973</v>
      </c>
      <c r="C55" s="422">
        <f t="shared" si="11"/>
        <v>5727488.2959573092</v>
      </c>
      <c r="D55" s="422">
        <f t="shared" ref="D55:D56" si="16">J37*H22*1000</f>
        <v>3951709.7849677242</v>
      </c>
      <c r="E55" s="422">
        <f>I55*I22*10^3</f>
        <v>1775778.510989585</v>
      </c>
      <c r="G55" s="422"/>
      <c r="H55" s="1100">
        <f>J37</f>
        <v>4.36310241336672</v>
      </c>
      <c r="I55" s="1089">
        <f>E37</f>
        <v>1.580544304630936</v>
      </c>
      <c r="J55" s="1097"/>
      <c r="K55" s="1087"/>
      <c r="L55" s="1087"/>
    </row>
    <row r="56" spans="1:13" ht="13.5" thickBot="1">
      <c r="A56" s="431" t="s">
        <v>2785</v>
      </c>
      <c r="B56" s="1042" t="s">
        <v>2974</v>
      </c>
      <c r="C56" s="422">
        <f t="shared" si="11"/>
        <v>22607941.678982783</v>
      </c>
      <c r="D56" s="422">
        <f t="shared" si="16"/>
        <v>18154243.437671185</v>
      </c>
      <c r="E56" s="422">
        <f>I56*I23*10^3</f>
        <v>4453698.2413115986</v>
      </c>
      <c r="G56" s="422"/>
      <c r="H56" s="1100">
        <f>J38</f>
        <v>4.4242318560038223</v>
      </c>
      <c r="I56" s="1089">
        <f>E38</f>
        <v>0.64786914714888966</v>
      </c>
      <c r="J56" s="1097"/>
      <c r="K56" s="1087"/>
      <c r="L56" s="1087"/>
    </row>
    <row r="57" spans="1:13" ht="13.5" thickBot="1">
      <c r="A57" s="431" t="s">
        <v>2786</v>
      </c>
      <c r="B57" s="1042" t="s">
        <v>2975</v>
      </c>
      <c r="C57" s="422">
        <f t="shared" si="11"/>
        <v>19556674.822479744</v>
      </c>
      <c r="D57" s="422">
        <f t="shared" ref="D57:D59" si="17">D24-E57</f>
        <v>19552875.590557262</v>
      </c>
      <c r="E57" s="422">
        <f>I57*I24*10^3</f>
        <v>3799.2319224820353</v>
      </c>
      <c r="G57" s="422"/>
      <c r="H57" s="1100">
        <f t="shared" si="14"/>
        <v>1.995394917269977</v>
      </c>
      <c r="I57" s="1089">
        <f>MIN($I$54,L24)</f>
        <v>1.9953949172699768</v>
      </c>
      <c r="J57" s="1088">
        <f>H57*0.746</f>
        <v>1.4885646082834028</v>
      </c>
      <c r="K57" s="1091">
        <f>I57*0.746</f>
        <v>1.4885646082834028</v>
      </c>
      <c r="L57" s="558" t="s">
        <v>2787</v>
      </c>
    </row>
    <row r="58" spans="1:13" ht="13">
      <c r="A58" s="431" t="s">
        <v>2788</v>
      </c>
      <c r="B58" s="1042" t="s">
        <v>2976</v>
      </c>
      <c r="C58" s="422">
        <f t="shared" si="11"/>
        <v>16307695.851723861</v>
      </c>
      <c r="D58" s="422">
        <f t="shared" si="17"/>
        <v>16247536.449837657</v>
      </c>
      <c r="E58" s="422">
        <f>I58*I25*10^3</f>
        <v>60159.401886204883</v>
      </c>
      <c r="G58" s="422"/>
      <c r="H58" s="1100">
        <f t="shared" si="14"/>
        <v>2.7370064552413504</v>
      </c>
      <c r="I58" s="1089">
        <f>MIN($I$54,L25)</f>
        <v>2.7370064552413504</v>
      </c>
      <c r="J58" s="1097"/>
      <c r="K58" s="1095"/>
      <c r="L58" s="1095"/>
    </row>
    <row r="59" spans="1:13" ht="13">
      <c r="A59" s="431" t="s">
        <v>2789</v>
      </c>
      <c r="B59" s="1042" t="s">
        <v>2977</v>
      </c>
      <c r="C59" s="422">
        <f t="shared" si="11"/>
        <v>4088921.8131231186</v>
      </c>
      <c r="D59" s="422">
        <f t="shared" si="17"/>
        <v>4088921.8131231186</v>
      </c>
      <c r="E59" s="1095"/>
      <c r="G59" s="1095">
        <f>D59/(J26*10^6)</f>
        <v>9.2423456121092928E-3</v>
      </c>
      <c r="H59" s="1095"/>
      <c r="I59" s="1096"/>
      <c r="J59" s="1097"/>
      <c r="K59" s="1095"/>
      <c r="L59" s="1095"/>
    </row>
    <row r="60" spans="1:13" ht="13">
      <c r="A60" s="431" t="s">
        <v>2790</v>
      </c>
      <c r="B60" s="1041" t="s">
        <v>380</v>
      </c>
      <c r="C60" s="422"/>
      <c r="D60" s="422"/>
      <c r="E60" s="1095"/>
      <c r="G60" s="1095"/>
      <c r="H60" s="1095"/>
      <c r="I60" s="1096"/>
      <c r="J60" s="1097"/>
      <c r="K60" s="1095"/>
      <c r="L60" s="1095"/>
    </row>
    <row r="61" spans="1:13" ht="13">
      <c r="A61" s="431">
        <v>17</v>
      </c>
      <c r="B61" s="251" t="s">
        <v>431</v>
      </c>
      <c r="C61" s="1086">
        <f>SUM(C46:C60)</f>
        <v>1124500460.1591012</v>
      </c>
      <c r="D61" s="1086">
        <f>SUM(D46:D60)</f>
        <v>1116998274.473465</v>
      </c>
      <c r="E61" s="1086">
        <f>SUM(E46:E59)</f>
        <v>7502185.685636621</v>
      </c>
      <c r="G61" s="422"/>
      <c r="H61" s="422"/>
      <c r="I61" s="422"/>
      <c r="J61" s="422"/>
    </row>
    <row r="62" spans="1:13" ht="13">
      <c r="A62" s="431">
        <v>18</v>
      </c>
    </row>
    <row r="63" spans="1:13" ht="13">
      <c r="A63" s="431">
        <v>19</v>
      </c>
      <c r="B63" s="443" t="s">
        <v>228</v>
      </c>
    </row>
    <row r="64" spans="1:13">
      <c r="B64" s="415" t="s">
        <v>2791</v>
      </c>
    </row>
    <row r="65" spans="2:2">
      <c r="B65" s="415" t="s">
        <v>2792</v>
      </c>
    </row>
    <row r="66" spans="2:2">
      <c r="B66" s="415" t="s">
        <v>2793</v>
      </c>
    </row>
    <row r="67" spans="2:2">
      <c r="B67" s="444" t="s">
        <v>2794</v>
      </c>
    </row>
    <row r="68" spans="2:2">
      <c r="B68" s="444" t="s">
        <v>2795</v>
      </c>
    </row>
    <row r="69" spans="2:2">
      <c r="B69" s="569" t="s">
        <v>2796</v>
      </c>
    </row>
    <row r="70" spans="2:2">
      <c r="B70" s="415" t="s">
        <v>2797</v>
      </c>
    </row>
    <row r="71" spans="2:2">
      <c r="B71" s="415" t="s">
        <v>2798</v>
      </c>
    </row>
    <row r="72" spans="2:2">
      <c r="B72" s="415" t="s">
        <v>2799</v>
      </c>
    </row>
    <row r="73" spans="2:2">
      <c r="B73" s="415" t="s">
        <v>2800</v>
      </c>
    </row>
    <row r="74" spans="2:2">
      <c r="B74" s="415" t="s">
        <v>2801</v>
      </c>
    </row>
    <row r="75" spans="2:2">
      <c r="B75" s="444" t="s">
        <v>2802</v>
      </c>
    </row>
    <row r="76" spans="2:2">
      <c r="B76" s="444" t="s">
        <v>2803</v>
      </c>
    </row>
    <row r="77" spans="2:2">
      <c r="B77" s="444" t="s">
        <v>2804</v>
      </c>
    </row>
    <row r="78" spans="2:2" ht="15.5">
      <c r="B78" s="415" t="s">
        <v>2805</v>
      </c>
    </row>
    <row r="79" spans="2:2">
      <c r="B79" s="415" t="s">
        <v>2806</v>
      </c>
    </row>
    <row r="80" spans="2:2">
      <c r="B80" s="415" t="s">
        <v>2807</v>
      </c>
    </row>
    <row r="81" spans="1:11">
      <c r="B81" s="415" t="s">
        <v>2808</v>
      </c>
    </row>
    <row r="82" spans="1:11">
      <c r="B82" s="415" t="s">
        <v>2809</v>
      </c>
    </row>
    <row r="83" spans="1:11">
      <c r="B83" s="415" t="s">
        <v>2810</v>
      </c>
    </row>
    <row r="84" spans="1:11">
      <c r="B84" s="415" t="s">
        <v>2811</v>
      </c>
    </row>
    <row r="85" spans="1:11" ht="13">
      <c r="A85" s="431">
        <v>20</v>
      </c>
    </row>
    <row r="86" spans="1:11" ht="13">
      <c r="A86" s="431">
        <v>21</v>
      </c>
      <c r="B86" s="444"/>
    </row>
    <row r="87" spans="1:11" ht="15.5">
      <c r="A87" s="431">
        <v>22</v>
      </c>
      <c r="B87" s="414" t="s">
        <v>2812</v>
      </c>
    </row>
    <row r="88" spans="1:11" ht="13">
      <c r="A88" s="431">
        <v>23</v>
      </c>
    </row>
    <row r="89" spans="1:11" ht="13">
      <c r="A89" s="431">
        <v>24</v>
      </c>
    </row>
    <row r="90" spans="1:11" ht="25.5" customHeight="1">
      <c r="A90" s="431">
        <v>25</v>
      </c>
      <c r="B90" s="429" t="str">
        <f>B11</f>
        <v>CPUC Rate Group</v>
      </c>
      <c r="C90" s="445" t="s">
        <v>2813</v>
      </c>
      <c r="D90" s="446"/>
      <c r="E90" s="683" t="s">
        <v>2813</v>
      </c>
      <c r="F90" s="446"/>
      <c r="G90" s="446"/>
      <c r="H90" s="446"/>
      <c r="I90" s="446"/>
      <c r="J90" s="446"/>
      <c r="K90" s="684"/>
    </row>
    <row r="91" spans="1:11" ht="13">
      <c r="A91" s="431" t="s">
        <v>2814</v>
      </c>
      <c r="B91" s="1043" t="s">
        <v>2963</v>
      </c>
      <c r="C91" s="1044" t="s">
        <v>2978</v>
      </c>
      <c r="D91" s="447"/>
      <c r="E91" s="447"/>
      <c r="F91" s="447"/>
      <c r="G91" s="447"/>
      <c r="H91" s="447"/>
      <c r="I91" s="447"/>
      <c r="J91" s="447"/>
      <c r="K91" s="447"/>
    </row>
    <row r="92" spans="1:11" ht="13">
      <c r="A92" s="431"/>
      <c r="B92" s="1043" t="s">
        <v>2979</v>
      </c>
      <c r="C92" s="1045" t="s">
        <v>2980</v>
      </c>
      <c r="D92" s="447"/>
      <c r="E92" s="447"/>
      <c r="F92" s="447"/>
      <c r="G92" s="447"/>
      <c r="H92" s="447"/>
      <c r="I92" s="447"/>
      <c r="J92" s="447"/>
      <c r="K92" s="447"/>
    </row>
    <row r="93" spans="1:11" ht="13">
      <c r="A93" s="431" t="s">
        <v>2815</v>
      </c>
      <c r="B93" s="1043" t="s">
        <v>2964</v>
      </c>
      <c r="C93" s="1044" t="s">
        <v>2981</v>
      </c>
      <c r="D93" s="447"/>
      <c r="E93" s="447"/>
      <c r="F93" s="447"/>
      <c r="G93" s="447"/>
      <c r="H93" s="447"/>
      <c r="I93" s="447"/>
      <c r="J93" s="1043"/>
      <c r="K93" s="447"/>
    </row>
    <row r="94" spans="1:11" ht="13">
      <c r="A94" s="431" t="s">
        <v>2816</v>
      </c>
      <c r="B94" s="1043" t="s">
        <v>2966</v>
      </c>
      <c r="C94" s="1044" t="s">
        <v>2982</v>
      </c>
      <c r="D94" s="447"/>
      <c r="E94" s="447"/>
      <c r="F94" s="447"/>
      <c r="G94" s="447"/>
      <c r="H94" s="447"/>
      <c r="I94" s="447"/>
      <c r="J94" s="1043"/>
      <c r="K94" s="447"/>
    </row>
    <row r="95" spans="1:11" ht="13">
      <c r="A95" s="431" t="s">
        <v>2817</v>
      </c>
      <c r="B95" s="1043" t="s">
        <v>2967</v>
      </c>
      <c r="C95" s="1044" t="s">
        <v>2983</v>
      </c>
      <c r="D95" s="447"/>
      <c r="E95" s="447"/>
      <c r="F95" s="447"/>
      <c r="G95" s="447"/>
      <c r="H95" s="447"/>
      <c r="I95" s="447"/>
      <c r="J95" s="1043"/>
      <c r="K95" s="447"/>
    </row>
    <row r="96" spans="1:11" ht="13">
      <c r="A96" s="431" t="s">
        <v>2818</v>
      </c>
      <c r="B96" s="1043" t="s">
        <v>2968</v>
      </c>
      <c r="C96" s="1044" t="s">
        <v>2984</v>
      </c>
      <c r="D96" s="447"/>
      <c r="E96" s="447"/>
      <c r="F96" s="447"/>
      <c r="G96" s="447"/>
      <c r="H96" s="447"/>
      <c r="I96" s="447"/>
      <c r="J96" s="1043"/>
      <c r="K96" s="447"/>
    </row>
    <row r="97" spans="1:13" ht="13">
      <c r="A97" s="431" t="s">
        <v>2819</v>
      </c>
      <c r="B97" s="1043" t="s">
        <v>2969</v>
      </c>
      <c r="C97" s="1044" t="s">
        <v>2985</v>
      </c>
      <c r="D97" s="447"/>
      <c r="E97" s="447"/>
      <c r="F97" s="447"/>
      <c r="G97" s="447"/>
      <c r="H97" s="447"/>
      <c r="I97" s="447"/>
      <c r="J97" s="1043"/>
      <c r="K97" s="447"/>
    </row>
    <row r="98" spans="1:13" ht="13">
      <c r="A98" s="431" t="s">
        <v>2820</v>
      </c>
      <c r="B98" s="1043" t="s">
        <v>2970</v>
      </c>
      <c r="C98" s="1044" t="s">
        <v>2985</v>
      </c>
      <c r="D98" s="447"/>
      <c r="E98" s="447"/>
      <c r="F98" s="447"/>
      <c r="G98" s="447"/>
      <c r="H98" s="447"/>
      <c r="I98" s="447"/>
      <c r="J98" s="1043"/>
      <c r="K98" s="447"/>
    </row>
    <row r="99" spans="1:13" ht="13">
      <c r="A99" s="431" t="s">
        <v>2821</v>
      </c>
      <c r="B99" s="1043" t="s">
        <v>2971</v>
      </c>
      <c r="C99" s="1044" t="s">
        <v>2985</v>
      </c>
      <c r="D99" s="447"/>
      <c r="E99" s="447"/>
      <c r="F99" s="447"/>
      <c r="G99" s="447"/>
      <c r="H99" s="447"/>
      <c r="I99" s="447"/>
      <c r="J99" s="1043"/>
      <c r="K99" s="447"/>
    </row>
    <row r="100" spans="1:13" ht="13">
      <c r="A100" s="431" t="s">
        <v>2822</v>
      </c>
      <c r="B100" s="1043" t="s">
        <v>2972</v>
      </c>
      <c r="C100" s="1044" t="s">
        <v>2986</v>
      </c>
      <c r="D100" s="447"/>
      <c r="E100" s="447"/>
      <c r="F100" s="447"/>
      <c r="G100" s="447"/>
      <c r="H100" s="447"/>
      <c r="I100" s="447"/>
      <c r="J100" s="1043"/>
      <c r="K100" s="447"/>
    </row>
    <row r="101" spans="1:13" ht="13">
      <c r="A101" s="431" t="s">
        <v>2823</v>
      </c>
      <c r="B101" s="1043" t="s">
        <v>2973</v>
      </c>
      <c r="C101" s="1044" t="s">
        <v>2987</v>
      </c>
      <c r="D101" s="447"/>
      <c r="E101" s="447"/>
      <c r="F101" s="447"/>
      <c r="G101" s="447"/>
      <c r="H101" s="447"/>
      <c r="I101" s="447"/>
      <c r="J101" s="1043"/>
      <c r="K101" s="447"/>
    </row>
    <row r="102" spans="1:13" ht="13">
      <c r="A102" s="431" t="s">
        <v>2824</v>
      </c>
      <c r="B102" s="1043" t="s">
        <v>2974</v>
      </c>
      <c r="C102" s="1044" t="s">
        <v>2987</v>
      </c>
      <c r="D102" s="447"/>
      <c r="E102" s="447"/>
      <c r="F102" s="447"/>
      <c r="G102" s="447"/>
      <c r="H102" s="447"/>
      <c r="I102" s="447"/>
      <c r="J102" s="1043"/>
      <c r="K102" s="447"/>
    </row>
    <row r="103" spans="1:13" ht="13">
      <c r="A103" s="431" t="s">
        <v>2825</v>
      </c>
      <c r="B103" s="1043" t="s">
        <v>2975</v>
      </c>
      <c r="C103" s="1044" t="s">
        <v>2988</v>
      </c>
      <c r="D103" s="447"/>
      <c r="E103" s="447"/>
      <c r="F103" s="447"/>
      <c r="G103" s="447"/>
      <c r="H103" s="447"/>
      <c r="I103" s="447"/>
      <c r="J103" s="1043"/>
      <c r="K103" s="447"/>
    </row>
    <row r="104" spans="1:13" ht="13">
      <c r="A104" s="431" t="s">
        <v>2826</v>
      </c>
      <c r="B104" s="1043" t="s">
        <v>2976</v>
      </c>
      <c r="C104" s="1044" t="s">
        <v>2989</v>
      </c>
      <c r="D104" s="447"/>
      <c r="E104" s="447"/>
      <c r="F104" s="447"/>
      <c r="G104" s="447"/>
      <c r="H104" s="447"/>
      <c r="I104" s="447"/>
      <c r="J104" s="1043"/>
      <c r="K104" s="447"/>
    </row>
    <row r="105" spans="1:13" ht="13">
      <c r="A105" s="431" t="s">
        <v>2827</v>
      </c>
      <c r="B105" s="1043" t="s">
        <v>2977</v>
      </c>
      <c r="C105" s="1044" t="s">
        <v>2990</v>
      </c>
      <c r="D105" s="447"/>
      <c r="E105" s="447"/>
      <c r="F105" s="447"/>
      <c r="G105" s="447"/>
      <c r="H105" s="447"/>
      <c r="I105" s="447"/>
      <c r="J105" s="1043"/>
      <c r="K105" s="447"/>
    </row>
    <row r="106" spans="1:13" ht="13">
      <c r="A106" s="431" t="s">
        <v>2828</v>
      </c>
      <c r="B106" s="1046" t="s">
        <v>380</v>
      </c>
      <c r="C106" s="1044"/>
      <c r="D106" s="447"/>
      <c r="E106" s="447"/>
      <c r="F106" s="447"/>
      <c r="G106" s="447"/>
      <c r="H106" s="447"/>
      <c r="I106" s="447"/>
      <c r="J106" s="1043"/>
      <c r="K106" s="447"/>
    </row>
    <row r="107" spans="1:13" ht="13">
      <c r="A107" s="431">
        <v>27</v>
      </c>
    </row>
    <row r="108" spans="1:13" ht="13">
      <c r="A108" s="431">
        <f t="shared" ref="A108:A114" si="18">A107+1</f>
        <v>28</v>
      </c>
    </row>
    <row r="109" spans="1:13" ht="15.5">
      <c r="A109" s="431">
        <f t="shared" si="18"/>
        <v>29</v>
      </c>
      <c r="B109" s="414" t="s">
        <v>2829</v>
      </c>
    </row>
    <row r="110" spans="1:13" ht="13">
      <c r="A110" s="431">
        <f t="shared" si="18"/>
        <v>30</v>
      </c>
      <c r="C110" s="423" t="s">
        <v>336</v>
      </c>
      <c r="D110" s="423" t="s">
        <v>337</v>
      </c>
      <c r="E110" s="423" t="s">
        <v>338</v>
      </c>
      <c r="F110" s="423" t="s">
        <v>339</v>
      </c>
      <c r="G110" s="423" t="s">
        <v>340</v>
      </c>
      <c r="H110" s="423" t="s">
        <v>341</v>
      </c>
      <c r="I110" s="423" t="s">
        <v>342</v>
      </c>
      <c r="J110" s="423" t="s">
        <v>343</v>
      </c>
      <c r="K110" s="423" t="s">
        <v>344</v>
      </c>
      <c r="L110" s="423" t="s">
        <v>589</v>
      </c>
      <c r="M110" s="423" t="s">
        <v>590</v>
      </c>
    </row>
    <row r="111" spans="1:13" s="661" customFormat="1" ht="37.5">
      <c r="A111" s="448">
        <f t="shared" si="18"/>
        <v>31</v>
      </c>
      <c r="C111" s="425"/>
      <c r="D111" s="425"/>
      <c r="E111" s="425"/>
      <c r="F111" s="675" t="s">
        <v>2830</v>
      </c>
      <c r="G111" s="425"/>
      <c r="H111" s="675"/>
      <c r="I111" s="424" t="s">
        <v>2831</v>
      </c>
      <c r="J111" s="424" t="s">
        <v>2832</v>
      </c>
      <c r="K111" s="424" t="s">
        <v>2833</v>
      </c>
      <c r="L111" s="424" t="s">
        <v>2834</v>
      </c>
      <c r="M111" s="424" t="s">
        <v>2835</v>
      </c>
    </row>
    <row r="112" spans="1:13" s="570" customFormat="1" ht="13">
      <c r="A112" s="431">
        <f t="shared" si="18"/>
        <v>32</v>
      </c>
      <c r="C112" s="449"/>
      <c r="D112" s="449"/>
      <c r="E112" s="449"/>
      <c r="F112" s="676"/>
      <c r="G112" s="449"/>
      <c r="H112" s="676"/>
      <c r="I112" s="557" t="s">
        <v>2836</v>
      </c>
      <c r="K112" s="676"/>
      <c r="L112" s="676"/>
      <c r="M112" s="676"/>
    </row>
    <row r="113" spans="1:13" ht="21.75" customHeight="1">
      <c r="A113" s="431">
        <f t="shared" si="18"/>
        <v>33</v>
      </c>
      <c r="B113" s="669"/>
      <c r="C113" s="1146" t="s">
        <v>2837</v>
      </c>
      <c r="D113" s="1147"/>
      <c r="E113" s="1147"/>
      <c r="F113" s="1150"/>
      <c r="G113" s="669"/>
      <c r="H113" s="450"/>
      <c r="I113" s="669"/>
      <c r="J113" s="669"/>
      <c r="K113" s="669"/>
      <c r="L113" s="670" t="s">
        <v>2635</v>
      </c>
      <c r="M113" s="451"/>
    </row>
    <row r="114" spans="1:13" s="416" customFormat="1" ht="51.75" customHeight="1">
      <c r="A114" s="431">
        <f t="shared" si="18"/>
        <v>34</v>
      </c>
      <c r="B114" s="452" t="str">
        <f>B11</f>
        <v>CPUC Rate Group</v>
      </c>
      <c r="C114" s="453">
        <v>2019</v>
      </c>
      <c r="D114" s="453">
        <v>2020</v>
      </c>
      <c r="E114" s="453">
        <v>2021</v>
      </c>
      <c r="F114" s="452" t="s">
        <v>2838</v>
      </c>
      <c r="G114" s="1068" t="s">
        <v>2839</v>
      </c>
      <c r="H114" s="454" t="s">
        <v>2840</v>
      </c>
      <c r="I114" s="452" t="s">
        <v>2841</v>
      </c>
      <c r="J114" s="452" t="s">
        <v>2714</v>
      </c>
      <c r="K114" s="452" t="s">
        <v>2842</v>
      </c>
      <c r="L114" s="452" t="s">
        <v>2843</v>
      </c>
      <c r="M114" s="452" t="s">
        <v>2844</v>
      </c>
    </row>
    <row r="115" spans="1:13" ht="13">
      <c r="A115" s="431" t="s">
        <v>2845</v>
      </c>
      <c r="B115" s="1042" t="s">
        <v>2963</v>
      </c>
      <c r="C115" s="535">
        <v>68198.86</v>
      </c>
      <c r="D115" s="535">
        <v>86529.13</v>
      </c>
      <c r="E115" s="535">
        <v>73292.149999999994</v>
      </c>
      <c r="F115" s="434">
        <f>(C115+D115+E115)/3</f>
        <v>76006.713333333333</v>
      </c>
      <c r="G115" s="1103">
        <v>1.0905</v>
      </c>
      <c r="H115" s="530">
        <v>30558.560133333336</v>
      </c>
      <c r="I115" s="434">
        <f>E12</f>
        <v>28897.436892185866</v>
      </c>
      <c r="J115" s="434">
        <f>F12</f>
        <v>0</v>
      </c>
      <c r="K115" s="434">
        <f>I115+J115</f>
        <v>28897.436892185866</v>
      </c>
      <c r="L115" s="434">
        <f>(F115*G115)*(K115/H115)</f>
        <v>78379.783578045302</v>
      </c>
      <c r="M115" s="571">
        <f t="shared" ref="M115:M128" si="19">L115/$L$130</f>
        <v>0.43882496871509818</v>
      </c>
    </row>
    <row r="116" spans="1:13" ht="13">
      <c r="A116" s="431" t="s">
        <v>2846</v>
      </c>
      <c r="B116" s="1042" t="s">
        <v>2964</v>
      </c>
      <c r="C116" s="535">
        <v>11548.74</v>
      </c>
      <c r="D116" s="535">
        <v>10575.2</v>
      </c>
      <c r="E116" s="535">
        <v>11381.43</v>
      </c>
      <c r="F116" s="434">
        <f t="shared" ref="F116:F128" si="20">(C116+D116+E116)/3</f>
        <v>11168.456666666667</v>
      </c>
      <c r="G116" s="1103">
        <v>1.0909</v>
      </c>
      <c r="H116" s="530">
        <v>5744.5577499999999</v>
      </c>
      <c r="I116" s="434">
        <f t="shared" ref="I116" si="21">E13</f>
        <v>6217.9674167209623</v>
      </c>
      <c r="J116" s="434">
        <f>F13</f>
        <v>0</v>
      </c>
      <c r="K116" s="434">
        <f t="shared" ref="K116:K128" si="22">I116+J116</f>
        <v>6217.9674167209623</v>
      </c>
      <c r="L116" s="434">
        <f t="shared" ref="L116:L128" si="23">(F116*G116)*(K116/H116)</f>
        <v>13187.726976272856</v>
      </c>
      <c r="M116" s="571">
        <f t="shared" si="19"/>
        <v>7.3834139539614638E-2</v>
      </c>
    </row>
    <row r="117" spans="1:13" ht="13">
      <c r="A117" s="431" t="s">
        <v>2847</v>
      </c>
      <c r="B117" s="1042" t="s">
        <v>2966</v>
      </c>
      <c r="C117" s="535">
        <v>83.93</v>
      </c>
      <c r="D117" s="535">
        <v>74.849999999999994</v>
      </c>
      <c r="E117" s="535">
        <v>73.05</v>
      </c>
      <c r="F117" s="434">
        <f t="shared" si="20"/>
        <v>77.276666666666657</v>
      </c>
      <c r="G117" s="1103">
        <v>1.0916999999999999</v>
      </c>
      <c r="H117" s="530">
        <v>57.09076666666666</v>
      </c>
      <c r="I117" s="434">
        <f t="shared" ref="I117:J119" si="24">E15</f>
        <v>54.401078863459979</v>
      </c>
      <c r="J117" s="434">
        <f t="shared" si="24"/>
        <v>0</v>
      </c>
      <c r="K117" s="434">
        <f t="shared" si="22"/>
        <v>54.401078863459979</v>
      </c>
      <c r="L117" s="434">
        <f t="shared" si="23"/>
        <v>80.388389521658283</v>
      </c>
      <c r="M117" s="571">
        <f t="shared" si="19"/>
        <v>4.5007055271813722E-4</v>
      </c>
    </row>
    <row r="118" spans="1:13" ht="13">
      <c r="A118" s="431" t="s">
        <v>2848</v>
      </c>
      <c r="B118" s="1042" t="s">
        <v>2967</v>
      </c>
      <c r="C118" s="535">
        <v>26717.13</v>
      </c>
      <c r="D118" s="535">
        <v>24813.51</v>
      </c>
      <c r="E118" s="535">
        <v>25954.39</v>
      </c>
      <c r="F118" s="434">
        <f t="shared" si="20"/>
        <v>25828.343333333334</v>
      </c>
      <c r="G118" s="1103">
        <v>1.0905</v>
      </c>
      <c r="H118" s="530">
        <v>13540.742113333336</v>
      </c>
      <c r="I118" s="434">
        <f t="shared" si="24"/>
        <v>12923.904731668837</v>
      </c>
      <c r="J118" s="434">
        <f t="shared" si="24"/>
        <v>0</v>
      </c>
      <c r="K118" s="434">
        <f t="shared" si="22"/>
        <v>12923.904731668837</v>
      </c>
      <c r="L118" s="434">
        <f t="shared" si="23"/>
        <v>26882.738144626564</v>
      </c>
      <c r="M118" s="571">
        <f t="shared" si="19"/>
        <v>0.15050841156693748</v>
      </c>
    </row>
    <row r="119" spans="1:13" ht="13">
      <c r="A119" s="431" t="s">
        <v>2849</v>
      </c>
      <c r="B119" s="1042" t="s">
        <v>2968</v>
      </c>
      <c r="C119" s="535">
        <v>13923.97</v>
      </c>
      <c r="D119" s="535">
        <v>12741.03</v>
      </c>
      <c r="E119" s="535">
        <v>13222.56</v>
      </c>
      <c r="F119" s="434">
        <f t="shared" si="20"/>
        <v>13295.853333333333</v>
      </c>
      <c r="G119" s="1103">
        <v>1.0900000000000001</v>
      </c>
      <c r="H119" s="530">
        <v>7483.7429499999998</v>
      </c>
      <c r="I119" s="434">
        <f t="shared" si="24"/>
        <v>8235.3647584572391</v>
      </c>
      <c r="J119" s="434">
        <f t="shared" si="24"/>
        <v>0</v>
      </c>
      <c r="K119" s="434">
        <f t="shared" si="22"/>
        <v>8235.3647584572391</v>
      </c>
      <c r="L119" s="434">
        <f t="shared" si="23"/>
        <v>15948.017048433632</v>
      </c>
      <c r="M119" s="571">
        <f t="shared" si="19"/>
        <v>8.9288178186639394E-2</v>
      </c>
    </row>
    <row r="120" spans="1:13" ht="13">
      <c r="A120" s="431" t="s">
        <v>2850</v>
      </c>
      <c r="B120" s="1042" t="s">
        <v>2969</v>
      </c>
      <c r="C120" s="535">
        <v>13319.56</v>
      </c>
      <c r="D120" s="535">
        <v>11783.58</v>
      </c>
      <c r="E120" s="535">
        <v>12183.77</v>
      </c>
      <c r="F120" s="434">
        <f t="shared" si="20"/>
        <v>12428.970000000001</v>
      </c>
      <c r="G120" s="1103">
        <v>1.0909</v>
      </c>
      <c r="H120" s="531">
        <v>7547</v>
      </c>
      <c r="I120" s="434">
        <f>E18+E21</f>
        <v>8283.1262747035853</v>
      </c>
      <c r="J120" s="434">
        <f t="shared" ref="J120:J128" si="25">F18</f>
        <v>0</v>
      </c>
      <c r="K120" s="434">
        <f>I120+J120</f>
        <v>8283.1262747035853</v>
      </c>
      <c r="L120" s="434">
        <f t="shared" si="23"/>
        <v>14881.270590616792</v>
      </c>
      <c r="M120" s="571">
        <f t="shared" si="19"/>
        <v>8.331578378072349E-2</v>
      </c>
    </row>
    <row r="121" spans="1:13" ht="13">
      <c r="A121" s="431" t="s">
        <v>2851</v>
      </c>
      <c r="B121" s="1042" t="s">
        <v>2970</v>
      </c>
      <c r="C121" s="535">
        <v>9174.48</v>
      </c>
      <c r="D121" s="535">
        <v>8405.4700000000012</v>
      </c>
      <c r="E121" s="535">
        <v>9018.61</v>
      </c>
      <c r="F121" s="434">
        <f t="shared" si="20"/>
        <v>8866.1866666666665</v>
      </c>
      <c r="G121" s="1103">
        <v>1.0644</v>
      </c>
      <c r="H121" s="531">
        <v>5803</v>
      </c>
      <c r="I121" s="434">
        <f>E19+E22</f>
        <v>6167.2311003510749</v>
      </c>
      <c r="J121" s="434">
        <f t="shared" si="25"/>
        <v>0</v>
      </c>
      <c r="K121" s="434">
        <f t="shared" si="22"/>
        <v>6167.2311003510749</v>
      </c>
      <c r="L121" s="434">
        <f t="shared" si="23"/>
        <v>10029.502446800861</v>
      </c>
      <c r="M121" s="571">
        <f t="shared" si="19"/>
        <v>5.6152184868729249E-2</v>
      </c>
    </row>
    <row r="122" spans="1:13" ht="13">
      <c r="A122" s="431" t="s">
        <v>2852</v>
      </c>
      <c r="B122" s="1042" t="s">
        <v>2971</v>
      </c>
      <c r="C122" s="535">
        <v>11495.74</v>
      </c>
      <c r="D122" s="535">
        <v>10582.94</v>
      </c>
      <c r="E122" s="535">
        <v>10754.83</v>
      </c>
      <c r="F122" s="434">
        <f t="shared" si="20"/>
        <v>10944.503333333334</v>
      </c>
      <c r="G122" s="1103">
        <v>1.0315000000000001</v>
      </c>
      <c r="H122" s="531">
        <v>7720</v>
      </c>
      <c r="I122" s="434">
        <f>E20+E23</f>
        <v>8044.0213812058319</v>
      </c>
      <c r="J122" s="434">
        <f t="shared" si="25"/>
        <v>0</v>
      </c>
      <c r="K122" s="434">
        <f t="shared" si="22"/>
        <v>8044.0213812058319</v>
      </c>
      <c r="L122" s="434">
        <f t="shared" si="23"/>
        <v>11763.08421150806</v>
      </c>
      <c r="M122" s="571">
        <f t="shared" si="19"/>
        <v>6.5857990740280412E-2</v>
      </c>
    </row>
    <row r="123" spans="1:13" ht="13">
      <c r="A123" s="431" t="s">
        <v>2853</v>
      </c>
      <c r="B123" s="1042" t="s">
        <v>2972</v>
      </c>
      <c r="C123" s="535">
        <v>127.16</v>
      </c>
      <c r="D123" s="535">
        <v>111.57</v>
      </c>
      <c r="E123" s="535">
        <v>113.7</v>
      </c>
      <c r="F123" s="434">
        <f t="shared" si="20"/>
        <v>117.47666666666667</v>
      </c>
      <c r="G123" s="1103">
        <v>1.0911</v>
      </c>
      <c r="H123" s="531">
        <v>73</v>
      </c>
      <c r="I123" s="434">
        <f>E21*0</f>
        <v>0</v>
      </c>
      <c r="J123" s="434">
        <f t="shared" si="25"/>
        <v>71.072403361260001</v>
      </c>
      <c r="K123" s="434">
        <f t="shared" si="22"/>
        <v>71.072403361260001</v>
      </c>
      <c r="L123" s="434">
        <f t="shared" si="23"/>
        <v>124.79417447000881</v>
      </c>
      <c r="M123" s="571">
        <f t="shared" si="19"/>
        <v>6.9868526305764825E-4</v>
      </c>
    </row>
    <row r="124" spans="1:13" ht="13">
      <c r="A124" s="431" t="s">
        <v>2854</v>
      </c>
      <c r="B124" s="1042" t="s">
        <v>2973</v>
      </c>
      <c r="C124" s="535">
        <v>330.41</v>
      </c>
      <c r="D124" s="535">
        <v>256.70999999999998</v>
      </c>
      <c r="E124" s="535">
        <v>250.63</v>
      </c>
      <c r="F124" s="434">
        <f t="shared" si="20"/>
        <v>279.25</v>
      </c>
      <c r="G124" s="1103">
        <v>1.0645</v>
      </c>
      <c r="H124" s="531">
        <v>183</v>
      </c>
      <c r="I124" s="434">
        <f>E22*0</f>
        <v>0</v>
      </c>
      <c r="J124" s="434">
        <f t="shared" si="25"/>
        <v>173.64174048986001</v>
      </c>
      <c r="K124" s="434">
        <f t="shared" si="22"/>
        <v>173.64174048986001</v>
      </c>
      <c r="L124" s="434">
        <f t="shared" si="23"/>
        <v>282.06025107018621</v>
      </c>
      <c r="M124" s="571">
        <f t="shared" si="19"/>
        <v>1.5791709953932231E-3</v>
      </c>
    </row>
    <row r="125" spans="1:13" ht="13">
      <c r="A125" s="431" t="s">
        <v>2855</v>
      </c>
      <c r="B125" s="1042" t="s">
        <v>2974</v>
      </c>
      <c r="C125" s="535">
        <v>861.75</v>
      </c>
      <c r="D125" s="535">
        <v>600.29</v>
      </c>
      <c r="E125" s="535">
        <v>904.25</v>
      </c>
      <c r="F125" s="434">
        <f t="shared" si="20"/>
        <v>788.76333333333332</v>
      </c>
      <c r="G125" s="1103">
        <v>1.0316000000000001</v>
      </c>
      <c r="H125" s="531">
        <v>578</v>
      </c>
      <c r="I125" s="434">
        <f>E23*0</f>
        <v>0</v>
      </c>
      <c r="J125" s="434">
        <f t="shared" si="25"/>
        <v>502.50879985540013</v>
      </c>
      <c r="K125" s="434">
        <f t="shared" si="22"/>
        <v>502.50879985540013</v>
      </c>
      <c r="L125" s="434">
        <f t="shared" si="23"/>
        <v>707.41437423699278</v>
      </c>
      <c r="M125" s="571">
        <f t="shared" si="19"/>
        <v>3.9606015285057888E-3</v>
      </c>
    </row>
    <row r="126" spans="1:13" ht="13">
      <c r="A126" s="431" t="s">
        <v>2856</v>
      </c>
      <c r="B126" s="1042" t="s">
        <v>2975</v>
      </c>
      <c r="C126" s="535">
        <v>2346.63</v>
      </c>
      <c r="D126" s="535">
        <v>2728.92</v>
      </c>
      <c r="E126" s="535">
        <v>2946.69</v>
      </c>
      <c r="F126" s="434">
        <f t="shared" si="20"/>
        <v>2674.08</v>
      </c>
      <c r="G126" s="1103">
        <v>1.091</v>
      </c>
      <c r="H126" s="530">
        <v>1894</v>
      </c>
      <c r="I126" s="434">
        <f>E24</f>
        <v>2016.6425893918665</v>
      </c>
      <c r="J126" s="434">
        <f t="shared" si="25"/>
        <v>0</v>
      </c>
      <c r="K126" s="434">
        <f t="shared" si="22"/>
        <v>2016.6425893918665</v>
      </c>
      <c r="L126" s="434">
        <f t="shared" si="23"/>
        <v>3106.333687669553</v>
      </c>
      <c r="M126" s="571">
        <f t="shared" si="19"/>
        <v>1.7391433365632192E-2</v>
      </c>
    </row>
    <row r="127" spans="1:13" ht="13">
      <c r="A127" s="431" t="s">
        <v>2857</v>
      </c>
      <c r="B127" s="1042" t="s">
        <v>2976</v>
      </c>
      <c r="C127" s="535">
        <v>1937.47</v>
      </c>
      <c r="D127" s="535">
        <v>2073.15</v>
      </c>
      <c r="E127" s="535">
        <v>2256.62</v>
      </c>
      <c r="F127" s="434">
        <f t="shared" si="20"/>
        <v>2089.08</v>
      </c>
      <c r="G127" s="1103">
        <v>1.0895999999999999</v>
      </c>
      <c r="H127" s="530">
        <v>1521</v>
      </c>
      <c r="I127" s="434">
        <f>E25</f>
        <v>1730.8233404314828</v>
      </c>
      <c r="J127" s="434">
        <f t="shared" si="25"/>
        <v>0</v>
      </c>
      <c r="K127" s="434">
        <f t="shared" si="22"/>
        <v>1730.8233404314828</v>
      </c>
      <c r="L127" s="434">
        <f t="shared" si="23"/>
        <v>2590.2739321640793</v>
      </c>
      <c r="M127" s="571">
        <f t="shared" si="19"/>
        <v>1.4502169122648959E-2</v>
      </c>
    </row>
    <row r="128" spans="1:13" ht="13">
      <c r="A128" s="431" t="s">
        <v>2858</v>
      </c>
      <c r="B128" s="1042" t="s">
        <v>2977</v>
      </c>
      <c r="C128" s="535">
        <v>1071.79</v>
      </c>
      <c r="D128" s="535">
        <v>654.97</v>
      </c>
      <c r="E128" s="535">
        <v>536.85</v>
      </c>
      <c r="F128" s="434">
        <f t="shared" si="20"/>
        <v>754.53666666666675</v>
      </c>
      <c r="G128" s="1103">
        <v>1.0938000000000001</v>
      </c>
      <c r="H128" s="530">
        <v>564</v>
      </c>
      <c r="I128" s="434">
        <f>E26</f>
        <v>443.83621313761523</v>
      </c>
      <c r="J128" s="434">
        <f t="shared" si="25"/>
        <v>0</v>
      </c>
      <c r="K128" s="434">
        <f t="shared" si="22"/>
        <v>443.83621313761523</v>
      </c>
      <c r="L128" s="434">
        <f t="shared" si="23"/>
        <v>649.47419178597784</v>
      </c>
      <c r="M128" s="571">
        <f t="shared" si="19"/>
        <v>3.6362117740215008E-3</v>
      </c>
    </row>
    <row r="129" spans="1:13" ht="13">
      <c r="A129" s="431" t="s">
        <v>2859</v>
      </c>
      <c r="B129" s="1041" t="s">
        <v>380</v>
      </c>
      <c r="C129" s="535"/>
      <c r="D129" s="535"/>
      <c r="E129" s="535"/>
      <c r="F129" s="434"/>
      <c r="G129" s="671"/>
      <c r="H129" s="530"/>
      <c r="K129" s="434"/>
      <c r="L129" s="434"/>
      <c r="M129" s="571"/>
    </row>
    <row r="130" spans="1:13" ht="13">
      <c r="A130" s="431">
        <v>36</v>
      </c>
      <c r="B130" s="252" t="s">
        <v>431</v>
      </c>
      <c r="C130" s="677">
        <f>SUM(C115:C129)</f>
        <v>161137.62000000002</v>
      </c>
      <c r="D130" s="677">
        <f>SUM(D115:D129)</f>
        <v>171931.32</v>
      </c>
      <c r="E130" s="677">
        <f>SUM(E115:E129)</f>
        <v>162889.52999999997</v>
      </c>
      <c r="F130" s="677">
        <f>SUM(F115:F129)</f>
        <v>165319.48999999996</v>
      </c>
      <c r="G130" s="678"/>
      <c r="H130" s="677">
        <f>SUM(H115:H129)</f>
        <v>83267.693713333341</v>
      </c>
      <c r="I130" s="677">
        <f t="shared" ref="I130:M130" si="26">SUM(I115:I129)</f>
        <v>83014.755777117825</v>
      </c>
      <c r="J130" s="677">
        <f t="shared" si="26"/>
        <v>747.22294370652014</v>
      </c>
      <c r="K130" s="677">
        <f t="shared" si="26"/>
        <v>83761.978720824336</v>
      </c>
      <c r="L130" s="677">
        <f t="shared" si="26"/>
        <v>178612.86199722247</v>
      </c>
      <c r="M130" s="679">
        <f t="shared" si="26"/>
        <v>1.0000000000000002</v>
      </c>
    </row>
    <row r="131" spans="1:13">
      <c r="J131" s="439"/>
      <c r="L131" s="439"/>
      <c r="M131" s="440"/>
    </row>
    <row r="132" spans="1:13">
      <c r="J132" s="439"/>
      <c r="L132" s="439"/>
      <c r="M132" s="440"/>
    </row>
    <row r="133" spans="1:13">
      <c r="J133" s="439"/>
      <c r="L133" s="439"/>
      <c r="M133" s="440"/>
    </row>
    <row r="134" spans="1:13">
      <c r="J134" s="439"/>
      <c r="L134" s="439"/>
      <c r="M134" s="440"/>
    </row>
    <row r="135" spans="1:13">
      <c r="J135" s="439"/>
      <c r="L135" s="439"/>
      <c r="M135" s="440"/>
    </row>
    <row r="136" spans="1:13">
      <c r="J136" s="439"/>
      <c r="L136" s="439"/>
      <c r="M136" s="440"/>
    </row>
    <row r="137" spans="1:13">
      <c r="J137" s="439"/>
      <c r="L137" s="439"/>
      <c r="M137" s="440"/>
    </row>
    <row r="138" spans="1:13">
      <c r="J138" s="439"/>
      <c r="L138" s="439"/>
      <c r="M138" s="440"/>
    </row>
    <row r="139" spans="1:13">
      <c r="J139" s="439"/>
      <c r="L139" s="439"/>
      <c r="M139" s="440"/>
    </row>
    <row r="140" spans="1:13">
      <c r="L140" s="439"/>
    </row>
    <row r="144" spans="1:13">
      <c r="M144" s="415"/>
    </row>
    <row r="145" spans="13:13">
      <c r="M145" s="415"/>
    </row>
    <row r="146" spans="13:13">
      <c r="M146" s="415"/>
    </row>
    <row r="147" spans="13:13">
      <c r="M147" s="415"/>
    </row>
    <row r="148" spans="13:13">
      <c r="M148" s="415"/>
    </row>
    <row r="149" spans="13:13">
      <c r="M149" s="415"/>
    </row>
    <row r="150" spans="13:13">
      <c r="M150" s="415"/>
    </row>
    <row r="151" spans="13:13">
      <c r="M151" s="415"/>
    </row>
    <row r="152" spans="13:13">
      <c r="M152" s="415"/>
    </row>
    <row r="153" spans="13:13">
      <c r="M153" s="415"/>
    </row>
    <row r="154" spans="13:13">
      <c r="M154" s="415"/>
    </row>
    <row r="155" spans="13:13">
      <c r="M155" s="415"/>
    </row>
    <row r="156" spans="13:13">
      <c r="M156" s="415"/>
    </row>
    <row r="157" spans="13:13">
      <c r="M157" s="415"/>
    </row>
    <row r="158" spans="13:13">
      <c r="M158" s="415"/>
    </row>
    <row r="159" spans="13:13">
      <c r="M159" s="415"/>
    </row>
    <row r="160" spans="13:13">
      <c r="M160" s="415"/>
    </row>
    <row r="161" spans="13:13">
      <c r="M161" s="415"/>
    </row>
    <row r="162" spans="13:13">
      <c r="M162" s="415"/>
    </row>
    <row r="163" spans="13:13">
      <c r="M163" s="415"/>
    </row>
    <row r="164" spans="13:13">
      <c r="M164" s="415"/>
    </row>
    <row r="165" spans="13:13">
      <c r="M165" s="415"/>
    </row>
    <row r="166" spans="13:13">
      <c r="M166" s="415"/>
    </row>
    <row r="167" spans="13:13">
      <c r="M167" s="415"/>
    </row>
    <row r="168" spans="13:13">
      <c r="M168" s="415"/>
    </row>
    <row r="169" spans="13:13">
      <c r="M169" s="415"/>
    </row>
    <row r="170" spans="13:13">
      <c r="M170" s="415"/>
    </row>
    <row r="171" spans="13:13">
      <c r="M171" s="415"/>
    </row>
    <row r="172" spans="13:13">
      <c r="M172" s="415"/>
    </row>
    <row r="173" spans="13:13">
      <c r="M173" s="415"/>
    </row>
    <row r="174" spans="13:13">
      <c r="M174" s="415"/>
    </row>
    <row r="175" spans="13:13">
      <c r="M175" s="415"/>
    </row>
    <row r="176" spans="13:13">
      <c r="M176" s="415"/>
    </row>
    <row r="177" spans="13:13">
      <c r="M177" s="415"/>
    </row>
    <row r="178" spans="13:13">
      <c r="M178" s="415"/>
    </row>
    <row r="179" spans="13:13">
      <c r="M179" s="415"/>
    </row>
    <row r="180" spans="13:13">
      <c r="M180" s="415"/>
    </row>
    <row r="181" spans="13:13">
      <c r="M181" s="415"/>
    </row>
    <row r="182" spans="13:13">
      <c r="M182" s="415"/>
    </row>
    <row r="183" spans="13:13">
      <c r="M183" s="415"/>
    </row>
    <row r="184" spans="13:13">
      <c r="M184" s="415"/>
    </row>
    <row r="185" spans="13:13">
      <c r="M185" s="415"/>
    </row>
    <row r="186" spans="13:13">
      <c r="M186" s="415"/>
    </row>
    <row r="187" spans="13:13">
      <c r="M187" s="415"/>
    </row>
    <row r="188" spans="13:13">
      <c r="M188" s="415"/>
    </row>
    <row r="189" spans="13:13">
      <c r="M189" s="415"/>
    </row>
    <row r="190" spans="13:13">
      <c r="M190" s="415"/>
    </row>
    <row r="191" spans="13:13">
      <c r="M191" s="415"/>
    </row>
    <row r="192" spans="13:13">
      <c r="M192" s="415"/>
    </row>
    <row r="193" spans="13:13">
      <c r="M193" s="415"/>
    </row>
    <row r="194" spans="13:13">
      <c r="M194" s="415"/>
    </row>
    <row r="195" spans="13:13">
      <c r="M195" s="415"/>
    </row>
    <row r="196" spans="13:13">
      <c r="M196" s="415"/>
    </row>
    <row r="197" spans="13:13">
      <c r="M197" s="415"/>
    </row>
    <row r="198" spans="13:13">
      <c r="M198" s="415"/>
    </row>
    <row r="199" spans="13:13">
      <c r="M199" s="415"/>
    </row>
    <row r="200" spans="13:13">
      <c r="M200" s="415"/>
    </row>
    <row r="201" spans="13:13">
      <c r="M201" s="415"/>
    </row>
    <row r="202" spans="13:13">
      <c r="M202" s="415"/>
    </row>
    <row r="203" spans="13:13">
      <c r="M203" s="415"/>
    </row>
    <row r="204" spans="13:13">
      <c r="M204" s="415"/>
    </row>
    <row r="205" spans="13:13">
      <c r="M205" s="415"/>
    </row>
    <row r="206" spans="13:13">
      <c r="M206" s="415"/>
    </row>
    <row r="207" spans="13:13">
      <c r="M207" s="415"/>
    </row>
    <row r="208" spans="13:13">
      <c r="M208" s="415"/>
    </row>
    <row r="209" spans="13:13">
      <c r="M209" s="415"/>
    </row>
    <row r="210" spans="13:13">
      <c r="M210" s="415"/>
    </row>
    <row r="211" spans="13:13">
      <c r="M211" s="415"/>
    </row>
    <row r="212" spans="13:13">
      <c r="M212" s="415"/>
    </row>
    <row r="213" spans="13:13">
      <c r="M213" s="415"/>
    </row>
    <row r="214" spans="13:13">
      <c r="M214" s="415"/>
    </row>
    <row r="215" spans="13:13">
      <c r="M215" s="415"/>
    </row>
    <row r="216" spans="13:13">
      <c r="M216" s="415"/>
    </row>
    <row r="217" spans="13:13">
      <c r="M217" s="415"/>
    </row>
    <row r="218" spans="13:13">
      <c r="M218" s="415"/>
    </row>
    <row r="219" spans="13:13">
      <c r="M219" s="415"/>
    </row>
    <row r="220" spans="13:13">
      <c r="M220" s="415"/>
    </row>
    <row r="221" spans="13:13">
      <c r="M221" s="415"/>
    </row>
    <row r="222" spans="13:13">
      <c r="M222" s="415"/>
    </row>
    <row r="223" spans="13:13">
      <c r="M223" s="415"/>
    </row>
    <row r="224" spans="13:13">
      <c r="M224" s="415"/>
    </row>
    <row r="225" spans="13:13">
      <c r="M225" s="415"/>
    </row>
    <row r="226" spans="13:13">
      <c r="M226" s="415"/>
    </row>
    <row r="227" spans="13:13">
      <c r="M227" s="415"/>
    </row>
    <row r="228" spans="13:13">
      <c r="M228" s="415"/>
    </row>
    <row r="229" spans="13:13">
      <c r="M229" s="415"/>
    </row>
    <row r="230" spans="13:13">
      <c r="M230" s="415"/>
    </row>
    <row r="231" spans="13:13">
      <c r="M231" s="415"/>
    </row>
    <row r="232" spans="13:13">
      <c r="M232" s="415"/>
    </row>
    <row r="233" spans="13:13">
      <c r="M233" s="415"/>
    </row>
    <row r="234" spans="13:13">
      <c r="M234" s="415"/>
    </row>
    <row r="235" spans="13:13">
      <c r="M235" s="415"/>
    </row>
    <row r="236" spans="13:13">
      <c r="M236" s="415"/>
    </row>
    <row r="237" spans="13:13">
      <c r="M237" s="415"/>
    </row>
    <row r="238" spans="13:13">
      <c r="M238" s="415"/>
    </row>
    <row r="239" spans="13:13">
      <c r="M239" s="415"/>
    </row>
    <row r="240" spans="13:13">
      <c r="M240" s="415"/>
    </row>
    <row r="241" spans="13:13">
      <c r="M241" s="415"/>
    </row>
    <row r="242" spans="13:13">
      <c r="M242" s="415"/>
    </row>
    <row r="243" spans="13:13">
      <c r="M243" s="415"/>
    </row>
    <row r="244" spans="13:13">
      <c r="M244" s="415"/>
    </row>
    <row r="245" spans="13:13">
      <c r="M245" s="415"/>
    </row>
    <row r="246" spans="13:13">
      <c r="M246" s="415"/>
    </row>
    <row r="247" spans="13:13">
      <c r="M247" s="415"/>
    </row>
    <row r="248" spans="13:13">
      <c r="M248" s="415"/>
    </row>
    <row r="249" spans="13:13">
      <c r="M249" s="415"/>
    </row>
    <row r="250" spans="13:13">
      <c r="M250" s="415"/>
    </row>
    <row r="251" spans="13:13">
      <c r="M251" s="415"/>
    </row>
    <row r="252" spans="13:13">
      <c r="M252" s="415"/>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&amp;RTO2024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98"/>
  <sheetViews>
    <sheetView tabSelected="1" zoomScaleNormal="100" workbookViewId="0"/>
  </sheetViews>
  <sheetFormatPr defaultRowHeight="12.5"/>
  <cols>
    <col min="1" max="1" width="4.54296875" customWidth="1"/>
    <col min="2" max="2" width="7.7265625" customWidth="1"/>
    <col min="4" max="4" width="10.453125" customWidth="1"/>
    <col min="6" max="6" width="11.7265625" customWidth="1"/>
    <col min="7" max="7" width="13.54296875" customWidth="1"/>
    <col min="8" max="8" width="22.7265625" customWidth="1"/>
    <col min="9" max="9" width="29.453125" customWidth="1"/>
    <col min="10" max="10" width="2.54296875" customWidth="1"/>
    <col min="11" max="11" width="23.1796875" customWidth="1"/>
    <col min="12" max="12" width="2.54296875" customWidth="1"/>
    <col min="13" max="13" width="23.1796875" customWidth="1"/>
    <col min="14" max="14" width="31.26953125" customWidth="1"/>
    <col min="15" max="15" width="15" bestFit="1" customWidth="1"/>
    <col min="16" max="16" width="19.1796875" bestFit="1" customWidth="1"/>
  </cols>
  <sheetData>
    <row r="1" spans="1:11" ht="13">
      <c r="A1" s="1" t="s">
        <v>95</v>
      </c>
    </row>
    <row r="2" spans="1:11">
      <c r="I2" s="54" t="s">
        <v>96</v>
      </c>
      <c r="J2" s="54"/>
    </row>
    <row r="3" spans="1:11" ht="13">
      <c r="A3" s="1" t="s">
        <v>97</v>
      </c>
      <c r="K3" s="2"/>
    </row>
    <row r="4" spans="1:11" ht="13">
      <c r="H4" s="2"/>
      <c r="I4" s="2" t="s">
        <v>98</v>
      </c>
      <c r="K4" s="130">
        <v>2022</v>
      </c>
    </row>
    <row r="5" spans="1:11" ht="13">
      <c r="A5" s="32" t="s">
        <v>99</v>
      </c>
      <c r="H5" s="3" t="s">
        <v>100</v>
      </c>
      <c r="I5" s="3" t="s">
        <v>101</v>
      </c>
      <c r="K5" s="3" t="s">
        <v>102</v>
      </c>
    </row>
    <row r="7" spans="1:11" ht="13">
      <c r="A7" s="9" t="s">
        <v>103</v>
      </c>
      <c r="B7" s="10"/>
      <c r="C7" s="10"/>
      <c r="D7" s="10"/>
      <c r="E7" s="10"/>
      <c r="F7" s="10"/>
      <c r="G7" s="10"/>
      <c r="H7" s="8"/>
      <c r="I7" s="8"/>
      <c r="J7" s="8"/>
      <c r="K7" s="8"/>
    </row>
    <row r="9" spans="1:11" ht="13">
      <c r="A9" s="2">
        <v>1</v>
      </c>
      <c r="B9" s="291" t="s">
        <v>104</v>
      </c>
      <c r="I9" s="247" t="str">
        <f>"6-PlantInService, Line "&amp;'6-PlantInService'!A44&amp;""</f>
        <v>6-PlantInService, Line 19</v>
      </c>
      <c r="K9" s="6">
        <f>'6-PlantInService'!D44</f>
        <v>10923385779.162935</v>
      </c>
    </row>
    <row r="10" spans="1:11" ht="13">
      <c r="A10" s="2">
        <f>A9+1</f>
        <v>2</v>
      </c>
      <c r="B10" s="291" t="s">
        <v>105</v>
      </c>
      <c r="I10" s="247" t="str">
        <f>"6-PlantInService, Line "&amp;'6-PlantInService'!A64&amp;""</f>
        <v>6-PlantInService, Line 27</v>
      </c>
      <c r="K10" s="6">
        <f>'6-PlantInService'!F64</f>
        <v>364085577.752482</v>
      </c>
    </row>
    <row r="11" spans="1:11" ht="13">
      <c r="A11" s="2">
        <f>A10+1</f>
        <v>3</v>
      </c>
      <c r="B11" s="291" t="s">
        <v>106</v>
      </c>
      <c r="I11" s="247" t="str">
        <f>"11-PHFU, Line "&amp;'11-PHFU'!A39&amp;""</f>
        <v>11-PHFU, Line 8</v>
      </c>
      <c r="K11" s="6">
        <f>'11-PHFU'!E39</f>
        <v>9132043</v>
      </c>
    </row>
    <row r="12" spans="1:11" ht="13">
      <c r="A12" s="2">
        <f>A11+1</f>
        <v>4</v>
      </c>
      <c r="B12" s="291" t="s">
        <v>107</v>
      </c>
      <c r="I12" s="247" t="str">
        <f>"12-AbandonedPlant, Line "&amp;'12-AbandonedPlant'!A20&amp;""</f>
        <v>12-AbandonedPlant, Line 3</v>
      </c>
      <c r="K12" s="6">
        <f>'12-AbandonedPlant'!G20</f>
        <v>0</v>
      </c>
    </row>
    <row r="13" spans="1:11" ht="13">
      <c r="A13" s="2"/>
      <c r="B13" s="291"/>
      <c r="K13" s="6"/>
    </row>
    <row r="14" spans="1:11" ht="13">
      <c r="A14" s="2"/>
      <c r="B14" s="28" t="s">
        <v>108</v>
      </c>
      <c r="K14" s="6"/>
    </row>
    <row r="15" spans="1:11" ht="13">
      <c r="A15" s="2">
        <f>A12+1</f>
        <v>5</v>
      </c>
      <c r="B15" s="246" t="s">
        <v>109</v>
      </c>
      <c r="I15" s="247" t="str">
        <f>"13-WorkCap, Line "&amp;'13-WorkCap'!A26&amp;""</f>
        <v>13-WorkCap, Line 16</v>
      </c>
      <c r="K15" s="6">
        <f>'13-WorkCap'!F26</f>
        <v>26972331.782717928</v>
      </c>
    </row>
    <row r="16" spans="1:11" ht="13">
      <c r="A16" s="2">
        <f>A15+1</f>
        <v>6</v>
      </c>
      <c r="B16" s="12" t="s">
        <v>110</v>
      </c>
      <c r="I16" s="247" t="str">
        <f>"13-WorkCap, Line "&amp;'13-WorkCap'!A55&amp;""</f>
        <v>13-WorkCap, Line 36</v>
      </c>
      <c r="K16" s="6">
        <f>'13-WorkCap'!F55</f>
        <v>16985961.914313655</v>
      </c>
    </row>
    <row r="17" spans="1:11" ht="13">
      <c r="A17" s="2">
        <f>A16+1</f>
        <v>7</v>
      </c>
      <c r="B17" s="246" t="s">
        <v>111</v>
      </c>
      <c r="I17" s="247" t="str">
        <f>"(Line "&amp;A126&amp;" + Line "&amp;A127&amp;") / 8"</f>
        <v>(Line 66 + Line 67) / 8</v>
      </c>
      <c r="K17" s="53">
        <f>(K126+K127)/8</f>
        <v>31207783.131480061</v>
      </c>
    </row>
    <row r="18" spans="1:11" ht="13">
      <c r="A18" s="2">
        <f>A17+1</f>
        <v>8</v>
      </c>
      <c r="B18" s="246" t="s">
        <v>112</v>
      </c>
      <c r="I18" s="247" t="str">
        <f>"Line "&amp;A15&amp;" + Line "&amp;A16&amp;" + Line "&amp;A17&amp;""</f>
        <v>Line 5 + Line 6 + Line 7</v>
      </c>
      <c r="K18" s="6">
        <f>SUM(K15:K17)</f>
        <v>75166076.828511655</v>
      </c>
    </row>
    <row r="19" spans="1:11" ht="13">
      <c r="A19" s="2"/>
      <c r="B19" s="246"/>
      <c r="K19" s="6"/>
    </row>
    <row r="20" spans="1:11" ht="13">
      <c r="A20" s="2"/>
      <c r="B20" s="44" t="s">
        <v>113</v>
      </c>
      <c r="K20" s="6"/>
    </row>
    <row r="21" spans="1:11" ht="13">
      <c r="A21" s="2">
        <f>A18+1</f>
        <v>9</v>
      </c>
      <c r="B21" s="246" t="s">
        <v>114</v>
      </c>
      <c r="H21" t="s">
        <v>115</v>
      </c>
      <c r="I21" s="247" t="str">
        <f>"8-AccDep, Line "&amp;'8-AccDep'!A24&amp;", Col. 12"</f>
        <v>8-AccDep, Line 13, Col. 12</v>
      </c>
      <c r="K21" s="6">
        <f>-'8-AccDep'!N24</f>
        <v>-2428578405.12362</v>
      </c>
    </row>
    <row r="22" spans="1:11" ht="13">
      <c r="A22" s="2">
        <f>A21+1</f>
        <v>10</v>
      </c>
      <c r="B22" s="246" t="s">
        <v>116</v>
      </c>
      <c r="H22" t="s">
        <v>115</v>
      </c>
      <c r="I22" s="247" t="str">
        <f>"8-AccDep, Line "&amp;'8-AccDep'!A34&amp;", Col. 5"</f>
        <v>8-AccDep, Line 16, Col. 5</v>
      </c>
      <c r="K22" s="6">
        <f>-'8-AccDep'!G34</f>
        <v>0</v>
      </c>
    </row>
    <row r="23" spans="1:11" ht="13">
      <c r="A23" s="2">
        <f>A22+1</f>
        <v>11</v>
      </c>
      <c r="B23" s="246" t="s">
        <v>117</v>
      </c>
      <c r="C23" s="15"/>
      <c r="H23" t="s">
        <v>115</v>
      </c>
      <c r="I23" s="247" t="str">
        <f>"8-AccDep, Line "&amp;'8-AccDep'!A60&amp;""</f>
        <v>8-AccDep, Line 26</v>
      </c>
      <c r="K23" s="53">
        <f>-'8-AccDep'!F60</f>
        <v>-131616564.05344036</v>
      </c>
    </row>
    <row r="24" spans="1:11" ht="13">
      <c r="A24" s="2">
        <f>A23+1</f>
        <v>12</v>
      </c>
      <c r="B24" s="45" t="s">
        <v>118</v>
      </c>
      <c r="C24" s="15"/>
      <c r="I24" s="247" t="str">
        <f>"Line "&amp;A21&amp;" + Line "&amp;A22&amp;" + Line "&amp;A23&amp;""</f>
        <v>Line 9 + Line 10 + Line 11</v>
      </c>
      <c r="K24" s="6">
        <f>SUM(K21:K23)</f>
        <v>-2560194969.1770606</v>
      </c>
    </row>
    <row r="25" spans="1:11">
      <c r="B25" s="247"/>
      <c r="K25" s="6"/>
    </row>
    <row r="26" spans="1:11" ht="13">
      <c r="A26" s="2">
        <f>A24+1</f>
        <v>13</v>
      </c>
      <c r="B26" s="291" t="s">
        <v>119</v>
      </c>
      <c r="I26" s="247" t="str">
        <f>"9-ADIT-1, Line "&amp;'9-ADIT-1'!A14&amp;", Col. 2"</f>
        <v>9-ADIT-1, Line 5, Col. 2</v>
      </c>
      <c r="K26" s="6">
        <f>'9-ADIT-1'!D14</f>
        <v>-1435064626.6339588</v>
      </c>
    </row>
    <row r="27" spans="1:11" ht="13">
      <c r="A27" s="2"/>
      <c r="B27" s="38"/>
    </row>
    <row r="28" spans="1:11" ht="13">
      <c r="A28" s="2">
        <f>A26+1</f>
        <v>14</v>
      </c>
      <c r="B28" s="291" t="s">
        <v>120</v>
      </c>
      <c r="I28" s="247" t="str">
        <f>"14-IncentivePlant, L "&amp;'14-IncentivePlant'!A38&amp;", Col 1"</f>
        <v>14-IncentivePlant, L 13, Col 1</v>
      </c>
      <c r="K28" s="6">
        <f>'14-IncentivePlant'!E38</f>
        <v>285206915.12</v>
      </c>
    </row>
    <row r="29" spans="1:11" ht="13">
      <c r="A29" s="2"/>
      <c r="B29" s="291"/>
      <c r="K29" s="6"/>
    </row>
    <row r="30" spans="1:11" ht="13">
      <c r="A30" s="2">
        <f>A28+1</f>
        <v>15</v>
      </c>
      <c r="B30" s="291" t="s">
        <v>121</v>
      </c>
      <c r="I30" s="247" t="str">
        <f>"23-RegAssets, Line "&amp;'23-RegAssets'!A17&amp;""</f>
        <v>23-RegAssets, Line 14</v>
      </c>
      <c r="K30" s="6">
        <f>'23-RegAssets'!E17</f>
        <v>0</v>
      </c>
    </row>
    <row r="31" spans="1:11" ht="13">
      <c r="A31" s="2">
        <f t="shared" ref="A31:A32" si="0">A30+1</f>
        <v>16</v>
      </c>
      <c r="B31" s="38" t="s">
        <v>72</v>
      </c>
      <c r="I31" s="247" t="str">
        <f>"34-UnfundedReserves, Line "&amp;'34-UnfundedReserves'!A9&amp;""</f>
        <v>34-UnfundedReserves, Line 6</v>
      </c>
      <c r="K31" s="6">
        <f>'34-UnfundedReserves'!K9</f>
        <v>-71842009.477484107</v>
      </c>
    </row>
    <row r="32" spans="1:11" ht="13">
      <c r="A32" s="2">
        <f t="shared" si="0"/>
        <v>17</v>
      </c>
      <c r="B32" s="38" t="s">
        <v>122</v>
      </c>
      <c r="H32" t="s">
        <v>115</v>
      </c>
      <c r="I32" s="247" t="str">
        <f>"22-NUCs, Line "&amp;'22-NUCs'!A11&amp;""</f>
        <v>22-NUCs, Line 4</v>
      </c>
      <c r="K32" s="6">
        <f>-'22-NUCs'!E11</f>
        <v>-37405734.116853178</v>
      </c>
    </row>
    <row r="33" spans="1:11" ht="13">
      <c r="A33" s="2"/>
      <c r="B33" s="38"/>
    </row>
    <row r="34" spans="1:11" ht="13">
      <c r="A34" s="2">
        <f>A32+1</f>
        <v>18</v>
      </c>
      <c r="B34" t="s">
        <v>123</v>
      </c>
      <c r="I34" s="247" t="str">
        <f>"L"&amp;A9&amp;" + L"&amp;A10&amp;" + L"&amp;A11&amp;" + L"&amp;A12&amp;" + L"&amp;A18&amp;" + L"&amp;A24&amp;" +"</f>
        <v>L1 + L2 + L3 + L4 + L8 + L12 +</v>
      </c>
      <c r="K34" s="6">
        <f>K9+K10+K11+K12+K18+K24+K26+K28+K30+K31+K32</f>
        <v>7552469052.4585724</v>
      </c>
    </row>
    <row r="35" spans="1:11" ht="13">
      <c r="A35" s="2"/>
      <c r="I35" s="291" t="str">
        <f>"L"&amp;A26&amp;" + L"&amp;A28&amp;"+ L"&amp;A30&amp;"+ L"&amp;A31&amp;" + L"&amp;A32&amp;""</f>
        <v>L13 + L14+ L15+ L16 + L17</v>
      </c>
      <c r="K35" s="6"/>
    </row>
    <row r="37" spans="1:11" ht="13">
      <c r="A37" s="9" t="s">
        <v>124</v>
      </c>
      <c r="B37" s="10"/>
      <c r="C37" s="10"/>
      <c r="D37" s="10"/>
      <c r="E37" s="10"/>
      <c r="F37" s="10"/>
      <c r="G37" s="10"/>
      <c r="H37" s="8"/>
      <c r="I37" s="8"/>
      <c r="J37" s="8"/>
      <c r="K37" s="8"/>
    </row>
    <row r="39" spans="1:11" ht="13">
      <c r="A39" s="2">
        <f>A34+1</f>
        <v>19</v>
      </c>
      <c r="B39" s="247" t="s">
        <v>125</v>
      </c>
      <c r="I39" s="247" t="s">
        <v>126</v>
      </c>
      <c r="J39" s="247"/>
      <c r="K39" s="249">
        <f>H180</f>
        <v>434859266</v>
      </c>
    </row>
    <row r="40" spans="1:11" ht="13">
      <c r="A40" s="2">
        <f>A39+1</f>
        <v>20</v>
      </c>
      <c r="B40" s="12" t="s">
        <v>127</v>
      </c>
      <c r="I40" s="247" t="str">
        <f>"27-Allocators, Line "&amp;'27-Allocators'!A28&amp;""</f>
        <v>27-Allocators, Line 22</v>
      </c>
      <c r="K40" s="7">
        <f>'27-Allocators'!G28</f>
        <v>0.18233907928586837</v>
      </c>
    </row>
    <row r="41" spans="1:11" ht="13">
      <c r="A41" s="2">
        <f>A40+1</f>
        <v>21</v>
      </c>
      <c r="B41" t="s">
        <v>128</v>
      </c>
      <c r="I41" s="247" t="str">
        <f>"Line "&amp;A39&amp;" * Line "&amp;A40&amp;""</f>
        <v>Line 19 * Line 20</v>
      </c>
      <c r="K41" s="249">
        <f>K39*K40</f>
        <v>79291838.18136853</v>
      </c>
    </row>
    <row r="42" spans="1:11" ht="13">
      <c r="A42" s="2" t="s">
        <v>129</v>
      </c>
      <c r="H42" s="247"/>
      <c r="K42" s="7"/>
    </row>
    <row r="43" spans="1:11" ht="13">
      <c r="A43" s="2">
        <f>A41+1</f>
        <v>22</v>
      </c>
      <c r="B43" s="247" t="s">
        <v>130</v>
      </c>
      <c r="K43" s="7"/>
    </row>
    <row r="44" spans="1:11" ht="13">
      <c r="A44" s="2">
        <f t="shared" ref="A44:A56" si="1">A43+1</f>
        <v>23</v>
      </c>
      <c r="B44" s="12" t="s">
        <v>131</v>
      </c>
      <c r="E44" s="1"/>
      <c r="F44" s="1"/>
      <c r="G44" s="1"/>
      <c r="I44" s="247" t="str">
        <f>"Line "&amp;A45&amp;" + Line "&amp;A46&amp;"+ Line "&amp;A47&amp;""</f>
        <v>Line 24 + Line 25+ Line 26</v>
      </c>
      <c r="K44" s="6">
        <f>SUM(K45:K47)</f>
        <v>130256889.28</v>
      </c>
    </row>
    <row r="45" spans="1:11" ht="13">
      <c r="A45" s="2">
        <f t="shared" si="1"/>
        <v>24</v>
      </c>
      <c r="B45" s="194" t="s">
        <v>132</v>
      </c>
      <c r="E45" s="1"/>
      <c r="F45" s="1"/>
      <c r="G45" s="1"/>
      <c r="I45" s="247" t="s">
        <v>126</v>
      </c>
      <c r="J45" s="247"/>
      <c r="K45" s="249">
        <f t="shared" ref="K45:K51" si="2">H181</f>
        <v>129729289.01000001</v>
      </c>
    </row>
    <row r="46" spans="1:11" ht="13">
      <c r="A46" s="2">
        <f t="shared" si="1"/>
        <v>25</v>
      </c>
      <c r="B46" s="194" t="s">
        <v>133</v>
      </c>
      <c r="E46" s="1"/>
      <c r="F46" s="1"/>
      <c r="G46" s="1"/>
      <c r="I46" s="247" t="s">
        <v>126</v>
      </c>
      <c r="J46" s="247"/>
      <c r="K46" s="249">
        <f>H182</f>
        <v>427390.07</v>
      </c>
    </row>
    <row r="47" spans="1:11" ht="13">
      <c r="A47" s="2">
        <f t="shared" si="1"/>
        <v>26</v>
      </c>
      <c r="B47" s="194" t="s">
        <v>134</v>
      </c>
      <c r="E47" s="1"/>
      <c r="F47" s="1"/>
      <c r="G47" s="1"/>
      <c r="I47" s="247" t="s">
        <v>126</v>
      </c>
      <c r="J47" s="247"/>
      <c r="K47" s="249">
        <f>H183</f>
        <v>100210.2</v>
      </c>
    </row>
    <row r="48" spans="1:11" ht="13">
      <c r="A48" s="2">
        <f t="shared" si="1"/>
        <v>27</v>
      </c>
      <c r="B48" s="246" t="s">
        <v>135</v>
      </c>
      <c r="I48" s="247" t="s">
        <v>126</v>
      </c>
      <c r="J48" s="247"/>
      <c r="K48" s="249">
        <f t="shared" si="2"/>
        <v>3370028.17</v>
      </c>
    </row>
    <row r="49" spans="1:11" ht="13">
      <c r="A49" s="2">
        <f t="shared" si="1"/>
        <v>28</v>
      </c>
      <c r="B49" s="12" t="s">
        <v>136</v>
      </c>
      <c r="I49" s="247" t="s">
        <v>126</v>
      </c>
      <c r="J49" s="247"/>
      <c r="K49" s="249">
        <f t="shared" si="2"/>
        <v>893513.6</v>
      </c>
    </row>
    <row r="50" spans="1:11" ht="13">
      <c r="A50" s="2">
        <f t="shared" si="1"/>
        <v>29</v>
      </c>
      <c r="B50" s="12" t="s">
        <v>137</v>
      </c>
      <c r="I50" s="247" t="s">
        <v>126</v>
      </c>
      <c r="J50" s="247"/>
      <c r="K50" s="249">
        <f t="shared" si="2"/>
        <v>2668166.4900000002</v>
      </c>
    </row>
    <row r="51" spans="1:11" ht="13">
      <c r="A51" s="2">
        <f t="shared" si="1"/>
        <v>30</v>
      </c>
      <c r="B51" s="12" t="s">
        <v>138</v>
      </c>
      <c r="I51" s="247" t="s">
        <v>126</v>
      </c>
      <c r="J51" s="247"/>
      <c r="K51" s="249">
        <f t="shared" si="2"/>
        <v>23590.67</v>
      </c>
    </row>
    <row r="52" spans="1:11" ht="13">
      <c r="A52" s="2">
        <f t="shared" si="1"/>
        <v>31</v>
      </c>
      <c r="B52" t="s">
        <v>139</v>
      </c>
      <c r="I52" s="247" t="str">
        <f>"Line "&amp;A44&amp;" + (Line "&amp;A48&amp;" to Line "&amp;A51&amp;")"</f>
        <v>Line 23 + (Line 27 to Line 30)</v>
      </c>
      <c r="K52" s="6">
        <f>K44+K48+K49+K50+K51</f>
        <v>137212188.21000001</v>
      </c>
    </row>
    <row r="53" spans="1:11" ht="13">
      <c r="A53" s="2">
        <f t="shared" si="1"/>
        <v>32</v>
      </c>
      <c r="B53" s="247" t="s">
        <v>140</v>
      </c>
      <c r="H53" s="247"/>
      <c r="I53" s="247" t="str">
        <f>"26-TaxRates, Line "&amp;'26-TaxRates'!A22&amp;""</f>
        <v>26-TaxRates, Line 16</v>
      </c>
      <c r="K53" s="118">
        <f>'26-TaxRates'!F22</f>
        <v>68606094.105000004</v>
      </c>
    </row>
    <row r="54" spans="1:11" ht="13">
      <c r="A54" s="2">
        <f t="shared" si="1"/>
        <v>33</v>
      </c>
      <c r="B54" t="s">
        <v>141</v>
      </c>
      <c r="I54" s="247" t="str">
        <f>"Line "&amp;A52&amp;" - Line "&amp;A53&amp;""</f>
        <v>Line 31 - Line 32</v>
      </c>
      <c r="K54" s="6">
        <f>K52-K53</f>
        <v>68606094.105000004</v>
      </c>
    </row>
    <row r="55" spans="1:11" ht="13">
      <c r="A55" s="2">
        <f>A54+1</f>
        <v>34</v>
      </c>
      <c r="B55" s="246" t="s">
        <v>142</v>
      </c>
      <c r="I55" s="247" t="str">
        <f>"27-Allocators, Line "&amp;'27-Allocators'!A15&amp;""</f>
        <v>27-Allocators, Line 9</v>
      </c>
      <c r="K55" s="7">
        <f>'27-Allocators'!G15</f>
        <v>5.9842511582503061E-2</v>
      </c>
    </row>
    <row r="56" spans="1:11" ht="13">
      <c r="A56" s="2">
        <f t="shared" si="1"/>
        <v>35</v>
      </c>
      <c r="B56" s="291" t="s">
        <v>130</v>
      </c>
      <c r="I56" s="247" t="str">
        <f>"Line "&amp;A54&amp;" * Line "&amp;A55&amp;""</f>
        <v>Line 33 * Line 34</v>
      </c>
      <c r="K56" s="249">
        <f>K54*K55</f>
        <v>4105560.9811087577</v>
      </c>
    </row>
    <row r="57" spans="1:11" ht="13">
      <c r="A57" s="2"/>
      <c r="K57" s="6"/>
    </row>
    <row r="58" spans="1:11" ht="13">
      <c r="A58" s="2">
        <f>A56+1</f>
        <v>36</v>
      </c>
      <c r="B58" s="247" t="s">
        <v>143</v>
      </c>
      <c r="H58" s="247" t="s">
        <v>144</v>
      </c>
      <c r="I58" s="247" t="str">
        <f>"Line "&amp;A41&amp;" + Line "&amp;A56&amp;""</f>
        <v>Line 21 + Line 35</v>
      </c>
      <c r="K58" s="6">
        <f>K41+K56</f>
        <v>83397399.162477285</v>
      </c>
    </row>
    <row r="60" spans="1:11" ht="13">
      <c r="A60" s="9" t="s">
        <v>145</v>
      </c>
      <c r="B60" s="10"/>
      <c r="C60" s="10"/>
      <c r="D60" s="10"/>
      <c r="E60" s="10"/>
      <c r="F60" s="10"/>
      <c r="G60" s="10"/>
      <c r="H60" s="8"/>
      <c r="I60" s="8"/>
      <c r="J60" s="8"/>
      <c r="K60" s="8"/>
    </row>
    <row r="61" spans="1:11" ht="13">
      <c r="A61" s="1"/>
      <c r="B61" s="247"/>
      <c r="C61" s="247"/>
      <c r="D61" s="247"/>
      <c r="E61" s="247"/>
      <c r="F61" s="247"/>
      <c r="G61" s="247"/>
      <c r="H61" s="247"/>
      <c r="I61" s="247"/>
      <c r="J61" s="247"/>
      <c r="K61" s="247"/>
    </row>
    <row r="62" spans="1:11">
      <c r="A62" s="248"/>
      <c r="B62" s="28" t="s">
        <v>146</v>
      </c>
      <c r="C62" s="247"/>
      <c r="D62" s="247"/>
      <c r="E62" s="247"/>
      <c r="F62" s="247"/>
      <c r="G62" s="247"/>
      <c r="H62" s="247"/>
      <c r="I62" s="247"/>
      <c r="J62" s="247"/>
      <c r="K62" s="247"/>
    </row>
    <row r="63" spans="1:11" ht="13">
      <c r="A63" s="2">
        <f>A58+1</f>
        <v>37</v>
      </c>
      <c r="B63" s="247" t="s">
        <v>147</v>
      </c>
      <c r="C63" s="247"/>
      <c r="D63" s="247"/>
      <c r="E63" s="247"/>
      <c r="F63" s="247"/>
      <c r="G63" s="247"/>
      <c r="H63" s="247"/>
      <c r="I63" s="247" t="str">
        <f>"5-ROR-1, Line "&amp;'5-ROR-1'!A12&amp;""</f>
        <v>5-ROR-1, Line 4</v>
      </c>
      <c r="J63" s="247"/>
      <c r="K63" s="249">
        <f>'5-ROR-1'!L12</f>
        <v>23264170489.184616</v>
      </c>
    </row>
    <row r="64" spans="1:11" ht="13">
      <c r="A64" s="2">
        <f>A63+1</f>
        <v>38</v>
      </c>
      <c r="B64" s="247" t="s">
        <v>148</v>
      </c>
      <c r="C64" s="247"/>
      <c r="D64" s="247"/>
      <c r="E64" s="247"/>
      <c r="F64" s="247"/>
      <c r="G64" s="247"/>
      <c r="H64" s="247"/>
      <c r="I64" s="247" t="str">
        <f>"5-ROR-1, Line "&amp;'5-ROR-1'!A21&amp;""</f>
        <v>5-ROR-1, Line 11</v>
      </c>
      <c r="J64" s="247"/>
      <c r="K64" s="249">
        <f>'5-ROR-1'!L21</f>
        <v>899210572</v>
      </c>
    </row>
    <row r="65" spans="1:11" ht="13">
      <c r="A65" s="2">
        <f>A64+1</f>
        <v>39</v>
      </c>
      <c r="B65" s="247" t="s">
        <v>149</v>
      </c>
      <c r="C65" s="247"/>
      <c r="D65" s="247"/>
      <c r="E65" s="247"/>
      <c r="F65" s="247"/>
      <c r="G65" s="247"/>
      <c r="I65" s="247" t="str">
        <f>"5-ROR-1, Line "&amp;'5-ROR-1'!A23&amp;""</f>
        <v>5-ROR-1, Line 12</v>
      </c>
      <c r="J65" s="247"/>
      <c r="K65" s="212">
        <f>'5-ROR-1'!L23</f>
        <v>3.8652165673305997E-2</v>
      </c>
    </row>
    <row r="66" spans="1:11" ht="13">
      <c r="A66" s="2"/>
      <c r="B66" s="247"/>
      <c r="C66" s="247"/>
      <c r="D66" s="247"/>
      <c r="E66" s="247"/>
      <c r="F66" s="247"/>
      <c r="G66" s="247"/>
      <c r="I66" s="247"/>
      <c r="J66" s="247"/>
      <c r="K66" s="212"/>
    </row>
    <row r="67" spans="1:11" ht="13">
      <c r="A67" s="2"/>
      <c r="B67" s="28" t="s">
        <v>150</v>
      </c>
      <c r="C67" s="247"/>
      <c r="D67" s="247"/>
      <c r="E67" s="247"/>
      <c r="F67" s="247"/>
      <c r="G67" s="247"/>
      <c r="H67" s="247"/>
      <c r="I67" s="247"/>
      <c r="J67" s="247"/>
      <c r="K67" s="247"/>
    </row>
    <row r="68" spans="1:11" ht="13">
      <c r="A68" s="2">
        <f>A65+1</f>
        <v>40</v>
      </c>
      <c r="B68" s="247" t="s">
        <v>151</v>
      </c>
      <c r="C68" s="247"/>
      <c r="D68" s="247"/>
      <c r="E68" s="247"/>
      <c r="F68" s="247"/>
      <c r="G68" s="247"/>
      <c r="H68" s="247"/>
      <c r="I68" s="247" t="str">
        <f>"5-ROR-1, Line "&amp;'5-ROR-1'!A29&amp;""</f>
        <v>5-ROR-1, Line 16</v>
      </c>
      <c r="J68" s="247"/>
      <c r="K68" s="249">
        <f>'5-ROR-1'!L29</f>
        <v>1898930786.6759024</v>
      </c>
    </row>
    <row r="69" spans="1:11" ht="13">
      <c r="A69" s="2">
        <f>A68+1</f>
        <v>41</v>
      </c>
      <c r="B69" s="247" t="s">
        <v>152</v>
      </c>
      <c r="C69" s="247"/>
      <c r="D69" s="247"/>
      <c r="E69" s="247"/>
      <c r="F69" s="247"/>
      <c r="G69" s="247"/>
      <c r="H69" s="247"/>
      <c r="I69" s="247" t="str">
        <f>"5-ROR-1, Line "&amp;'5-ROR-1'!A35&amp;""</f>
        <v>5-ROR-1, Line 20</v>
      </c>
      <c r="J69" s="247"/>
      <c r="K69" s="249">
        <f>'5-ROR-1'!L35</f>
        <v>111107686.63840115</v>
      </c>
    </row>
    <row r="70" spans="1:11" ht="13">
      <c r="A70" s="2">
        <f>A69+1</f>
        <v>42</v>
      </c>
      <c r="B70" s="247" t="s">
        <v>153</v>
      </c>
      <c r="C70" s="247"/>
      <c r="D70" s="247"/>
      <c r="E70" s="247"/>
      <c r="F70" s="247"/>
      <c r="G70" s="247"/>
      <c r="I70" s="247" t="str">
        <f>"5-ROR-1, Line "&amp;'5-ROR-1'!A37&amp;""</f>
        <v>5-ROR-1, Line 21</v>
      </c>
      <c r="J70" s="247"/>
      <c r="K70" s="212">
        <f>'5-ROR-1'!L37</f>
        <v>5.8510656321969633E-2</v>
      </c>
    </row>
    <row r="71" spans="1:11" ht="13">
      <c r="A71" s="2"/>
      <c r="B71" s="247"/>
      <c r="C71" s="247"/>
      <c r="D71" s="247"/>
      <c r="E71" s="247"/>
      <c r="F71" s="247"/>
      <c r="G71" s="247"/>
      <c r="I71" s="247"/>
      <c r="J71" s="247"/>
      <c r="K71" s="212"/>
    </row>
    <row r="72" spans="1:11" ht="13">
      <c r="A72" s="2"/>
      <c r="B72" s="28" t="s">
        <v>154</v>
      </c>
      <c r="C72" s="247"/>
      <c r="D72" s="247"/>
      <c r="E72" s="247"/>
      <c r="F72" s="247"/>
      <c r="G72" s="247"/>
      <c r="H72" s="247"/>
      <c r="I72" s="247"/>
      <c r="J72" s="247"/>
      <c r="K72" s="247"/>
    </row>
    <row r="73" spans="1:11" ht="13">
      <c r="A73" s="2">
        <f>A70+1</f>
        <v>43</v>
      </c>
      <c r="B73" s="247" t="s">
        <v>155</v>
      </c>
      <c r="C73" s="247"/>
      <c r="D73" s="247"/>
      <c r="E73" s="247"/>
      <c r="F73" s="247"/>
      <c r="G73" s="247"/>
      <c r="H73" s="247"/>
      <c r="I73" s="247" t="str">
        <f>"5-ROR-1, Line "&amp;'5-ROR-1'!A45&amp;""</f>
        <v>5-ROR-1, Line 27</v>
      </c>
      <c r="J73" s="247"/>
      <c r="K73" s="249">
        <f>'5-ROR-1'!L45</f>
        <v>18318124696.711151</v>
      </c>
    </row>
    <row r="74" spans="1:11" ht="13">
      <c r="A74" s="2"/>
      <c r="B74" s="247"/>
      <c r="C74" s="247"/>
      <c r="D74" s="247"/>
      <c r="E74" s="247"/>
      <c r="F74" s="247"/>
      <c r="G74" s="247"/>
      <c r="H74" s="247"/>
      <c r="I74" s="627"/>
      <c r="J74" s="247"/>
      <c r="K74" s="247"/>
    </row>
    <row r="75" spans="1:11" ht="13">
      <c r="A75" s="2">
        <f>A73+1</f>
        <v>44</v>
      </c>
      <c r="B75" s="247" t="s">
        <v>156</v>
      </c>
      <c r="C75" s="247"/>
      <c r="D75" s="247"/>
      <c r="E75" s="247"/>
      <c r="F75" s="247"/>
      <c r="G75" s="247"/>
      <c r="H75" s="247"/>
      <c r="I75" s="247" t="str">
        <f>"Line "&amp;A63&amp;" + Line "&amp;A68&amp;" + Line "&amp;A73&amp;""</f>
        <v>Line 37 + Line 40 + Line 43</v>
      </c>
      <c r="J75" s="247"/>
      <c r="K75" s="249">
        <f>K63+K68+K73</f>
        <v>43481225972.571671</v>
      </c>
    </row>
    <row r="76" spans="1:11" ht="13">
      <c r="A76" s="2"/>
      <c r="B76" s="247"/>
      <c r="C76" s="247"/>
      <c r="D76" s="247"/>
      <c r="E76" s="247"/>
      <c r="F76" s="247"/>
      <c r="G76" s="247"/>
      <c r="H76" s="247"/>
      <c r="I76" s="247"/>
      <c r="J76" s="247"/>
      <c r="K76" s="249"/>
    </row>
    <row r="77" spans="1:11" ht="13">
      <c r="A77" s="2" t="s">
        <v>157</v>
      </c>
      <c r="B77" s="247" t="s">
        <v>158</v>
      </c>
      <c r="C77" s="247"/>
      <c r="D77" s="247"/>
      <c r="E77" s="247"/>
      <c r="F77" s="247"/>
      <c r="G77" s="247"/>
      <c r="H77" s="247"/>
      <c r="I77" s="247"/>
      <c r="J77" s="247"/>
      <c r="K77" s="272">
        <v>0.47499999999999998</v>
      </c>
    </row>
    <row r="78" spans="1:11" ht="13">
      <c r="A78" s="2"/>
      <c r="B78" s="246"/>
      <c r="C78" s="247"/>
      <c r="D78" s="247"/>
      <c r="E78" s="247"/>
      <c r="F78" s="247"/>
      <c r="G78" s="247"/>
      <c r="I78" s="247"/>
      <c r="J78" s="247"/>
      <c r="K78" s="249"/>
    </row>
    <row r="79" spans="1:11" ht="13">
      <c r="A79" s="2"/>
      <c r="B79" s="28" t="s">
        <v>159</v>
      </c>
      <c r="C79" s="247"/>
      <c r="D79" s="247"/>
      <c r="E79" s="247"/>
      <c r="F79" s="247"/>
      <c r="G79" s="247"/>
      <c r="H79" s="247"/>
      <c r="I79" s="247"/>
      <c r="J79" s="247"/>
      <c r="K79" s="247"/>
    </row>
    <row r="80" spans="1:11" ht="13">
      <c r="A80" s="2">
        <f>A75+1</f>
        <v>45</v>
      </c>
      <c r="B80" s="247" t="s">
        <v>160</v>
      </c>
      <c r="C80" s="247"/>
      <c r="D80" s="247"/>
      <c r="E80" s="247"/>
      <c r="F80" s="247"/>
      <c r="G80" s="247"/>
      <c r="H80" s="247"/>
      <c r="I80" s="247" t="str">
        <f>"100% - (Line "&amp;A81&amp;" + Line "&amp;A82&amp;")"</f>
        <v>100% - (Line 46 + Line 47)</v>
      </c>
      <c r="J80" s="247"/>
      <c r="K80" s="212">
        <f>1-(K81+K82)</f>
        <v>0.48132757025126749</v>
      </c>
    </row>
    <row r="81" spans="1:11" ht="13">
      <c r="A81" s="2">
        <f>A80+1</f>
        <v>46</v>
      </c>
      <c r="B81" s="247" t="s">
        <v>161</v>
      </c>
      <c r="C81" s="247"/>
      <c r="D81" s="247"/>
      <c r="E81" s="247"/>
      <c r="F81" s="247"/>
      <c r="G81" s="247"/>
      <c r="H81" s="247"/>
      <c r="I81" s="247" t="str">
        <f>"Line "&amp;A68&amp;" / Line "&amp;A75&amp;""</f>
        <v>Line 40 / Line 44</v>
      </c>
      <c r="J81" s="247"/>
      <c r="K81" s="212">
        <f>K68/K75</f>
        <v>4.3672429748732575E-2</v>
      </c>
    </row>
    <row r="82" spans="1:11" ht="13">
      <c r="A82" s="2">
        <f>A81+1</f>
        <v>47</v>
      </c>
      <c r="B82" s="247" t="s">
        <v>162</v>
      </c>
      <c r="C82" s="247"/>
      <c r="D82" s="247"/>
      <c r="E82" s="247"/>
      <c r="F82" s="247"/>
      <c r="G82" s="247"/>
      <c r="H82" s="247"/>
      <c r="I82" s="247" t="str">
        <f>"Max Line "&amp;A77&amp;" or (Line "&amp;A73&amp;" / Line "&amp;A75&amp;")"</f>
        <v>Max Line 44a or (Line 43 / Line 44)</v>
      </c>
      <c r="J82" s="247"/>
      <c r="K82" s="29">
        <f>MAX((K73/K75),K77)</f>
        <v>0.47499999999999998</v>
      </c>
    </row>
    <row r="83" spans="1:11" ht="13">
      <c r="A83" s="2"/>
      <c r="B83" s="247"/>
      <c r="C83" s="247"/>
      <c r="D83" s="247"/>
      <c r="E83" s="247"/>
      <c r="F83" s="247"/>
      <c r="G83" s="247"/>
      <c r="H83" s="247"/>
      <c r="I83" s="247" t="str">
        <f>"Line "&amp;A80&amp;" + Line "&amp;A81&amp;"+ Line "&amp;A82&amp;""</f>
        <v>Line 45 + Line 46+ Line 47</v>
      </c>
      <c r="J83" s="247"/>
      <c r="K83" s="212">
        <f>SUM(K80:K82)</f>
        <v>1</v>
      </c>
    </row>
    <row r="84" spans="1:11" ht="13">
      <c r="A84" s="2"/>
      <c r="B84" s="28" t="s">
        <v>163</v>
      </c>
      <c r="C84" s="247"/>
      <c r="D84" s="247"/>
      <c r="E84" s="247"/>
      <c r="F84" s="247"/>
      <c r="G84" s="247"/>
      <c r="H84" s="247"/>
      <c r="I84" s="247"/>
      <c r="J84" s="247"/>
      <c r="K84" s="212"/>
    </row>
    <row r="85" spans="1:11" ht="13">
      <c r="A85" s="2">
        <f>A82+1</f>
        <v>48</v>
      </c>
      <c r="B85" s="247" t="s">
        <v>149</v>
      </c>
      <c r="C85" s="247"/>
      <c r="D85" s="247"/>
      <c r="E85" s="247"/>
      <c r="F85" s="247"/>
      <c r="G85" s="247"/>
      <c r="I85" s="247" t="str">
        <f>"Line "&amp;A65&amp;""</f>
        <v>Line 39</v>
      </c>
      <c r="J85" s="247"/>
      <c r="K85" s="212">
        <f>K65</f>
        <v>3.8652165673305997E-2</v>
      </c>
    </row>
    <row r="86" spans="1:11" ht="13">
      <c r="A86" s="2">
        <f>A85+1</f>
        <v>49</v>
      </c>
      <c r="B86" s="247" t="s">
        <v>153</v>
      </c>
      <c r="C86" s="247"/>
      <c r="D86" s="247"/>
      <c r="E86" s="247"/>
      <c r="F86" s="247"/>
      <c r="G86" s="247"/>
      <c r="I86" s="247" t="str">
        <f>"Line "&amp;A70&amp;""</f>
        <v>Line 42</v>
      </c>
      <c r="J86" s="247"/>
      <c r="K86" s="212">
        <f>K70</f>
        <v>5.8510656321969633E-2</v>
      </c>
    </row>
    <row r="87" spans="1:11" ht="13">
      <c r="A87" s="2">
        <f>A86+1</f>
        <v>50</v>
      </c>
      <c r="B87" s="247" t="s">
        <v>164</v>
      </c>
      <c r="C87" s="247"/>
      <c r="D87" s="247"/>
      <c r="E87" s="247"/>
      <c r="F87" s="247"/>
      <c r="G87" s="247"/>
      <c r="H87" s="247" t="s">
        <v>165</v>
      </c>
      <c r="I87" s="247" t="s">
        <v>166</v>
      </c>
      <c r="J87" s="247"/>
      <c r="K87" s="123">
        <v>0.10299999999999999</v>
      </c>
    </row>
    <row r="88" spans="1:11" ht="13">
      <c r="A88" s="2"/>
      <c r="B88" s="247"/>
      <c r="C88" s="247"/>
      <c r="D88" s="247"/>
      <c r="E88" s="247"/>
      <c r="F88" s="247"/>
      <c r="G88" s="247"/>
      <c r="I88" s="294"/>
      <c r="J88" s="247"/>
      <c r="K88" s="212"/>
    </row>
    <row r="89" spans="1:11" ht="13">
      <c r="A89" s="2"/>
      <c r="B89" s="28" t="s">
        <v>167</v>
      </c>
      <c r="C89" s="247"/>
      <c r="D89" s="247"/>
      <c r="E89" s="247"/>
      <c r="F89" s="247"/>
      <c r="G89" s="247"/>
      <c r="H89" s="247"/>
      <c r="I89" s="247"/>
      <c r="J89" s="247"/>
      <c r="K89" s="247"/>
    </row>
    <row r="90" spans="1:11" ht="13">
      <c r="A90" s="2">
        <f>A87+1</f>
        <v>51</v>
      </c>
      <c r="B90" s="247" t="s">
        <v>168</v>
      </c>
      <c r="C90" s="247"/>
      <c r="D90" s="247"/>
      <c r="E90" s="247"/>
      <c r="F90" s="247"/>
      <c r="G90" s="247"/>
      <c r="I90" s="247" t="str">
        <f>"Line "&amp;A65&amp;" * Line "&amp;A80&amp;""</f>
        <v>Line 39 * Line 45</v>
      </c>
      <c r="J90" s="247"/>
      <c r="K90" s="212">
        <f>K65*K80</f>
        <v>1.8604352988481822E-2</v>
      </c>
    </row>
    <row r="91" spans="1:11" ht="13">
      <c r="A91" s="2">
        <f>A90+1</f>
        <v>52</v>
      </c>
      <c r="B91" s="247" t="s">
        <v>169</v>
      </c>
      <c r="C91" s="247"/>
      <c r="D91" s="247"/>
      <c r="E91" s="247"/>
      <c r="F91" s="247"/>
      <c r="G91" s="247"/>
      <c r="I91" s="247" t="str">
        <f>"Line "&amp;A70&amp;" * Line "&amp;A81&amp;""</f>
        <v>Line 42 * Line 46</v>
      </c>
      <c r="J91" s="247"/>
      <c r="K91" s="212">
        <f>K70*K81</f>
        <v>2.5553025277734545E-3</v>
      </c>
    </row>
    <row r="92" spans="1:11" ht="13">
      <c r="A92" s="2">
        <f>A91+1</f>
        <v>53</v>
      </c>
      <c r="B92" s="247" t="s">
        <v>170</v>
      </c>
      <c r="C92" s="247"/>
      <c r="D92" s="247"/>
      <c r="E92" s="247"/>
      <c r="F92" s="247"/>
      <c r="G92" s="247"/>
      <c r="I92" s="247" t="str">
        <f>"Line "&amp;A82&amp;" * Line "&amp;A87&amp;""</f>
        <v>Line 47 * Line 50</v>
      </c>
      <c r="J92" s="247"/>
      <c r="K92" s="29">
        <f>K82*K87</f>
        <v>4.8924999999999996E-2</v>
      </c>
    </row>
    <row r="93" spans="1:11" ht="13">
      <c r="A93" s="2">
        <f>A92+1</f>
        <v>54</v>
      </c>
      <c r="B93" s="246" t="s">
        <v>171</v>
      </c>
      <c r="C93" s="247"/>
      <c r="D93" s="247"/>
      <c r="E93" s="247"/>
      <c r="F93" s="247"/>
      <c r="G93" s="247"/>
      <c r="I93" s="247" t="str">
        <f>"Line "&amp;A90&amp;" + Line "&amp;A91&amp;" + Line "&amp;A92&amp;""</f>
        <v>Line 51 + Line 52 + Line 53</v>
      </c>
      <c r="J93" s="247"/>
      <c r="K93" s="212">
        <f>SUM(K90:K92)</f>
        <v>7.008465551625527E-2</v>
      </c>
    </row>
    <row r="94" spans="1:11" ht="13">
      <c r="A94" s="2"/>
      <c r="B94" s="246"/>
      <c r="C94" s="247"/>
      <c r="D94" s="247"/>
      <c r="E94" s="247"/>
      <c r="F94" s="247"/>
      <c r="G94" s="247"/>
      <c r="I94" s="247"/>
      <c r="J94" s="247"/>
      <c r="K94" s="1069"/>
    </row>
    <row r="95" spans="1:11" ht="13">
      <c r="A95" s="2">
        <f>A93+1</f>
        <v>55</v>
      </c>
      <c r="B95" s="291" t="s">
        <v>172</v>
      </c>
      <c r="C95" s="247"/>
      <c r="D95" s="247"/>
      <c r="E95" s="247"/>
      <c r="F95" s="247"/>
      <c r="G95" s="247"/>
      <c r="H95" s="247" t="s">
        <v>173</v>
      </c>
      <c r="I95" s="247" t="str">
        <f>"Line "&amp;A91&amp;" + Line "&amp;A92&amp;""</f>
        <v>Line 52 + Line 53</v>
      </c>
      <c r="J95" s="247"/>
      <c r="K95" s="212">
        <f>K91+K92</f>
        <v>5.1480302527773449E-2</v>
      </c>
    </row>
    <row r="96" spans="1:11" ht="13">
      <c r="A96" s="2"/>
      <c r="B96" s="247"/>
      <c r="C96" s="247"/>
      <c r="D96" s="247"/>
      <c r="E96" s="247"/>
      <c r="F96" s="247"/>
      <c r="G96" s="247"/>
      <c r="I96" s="247"/>
      <c r="J96" s="247"/>
      <c r="K96" s="1069"/>
    </row>
    <row r="97" spans="1:11" ht="13">
      <c r="A97" s="2">
        <f>A95+1</f>
        <v>56</v>
      </c>
      <c r="B97" s="247" t="s">
        <v>174</v>
      </c>
      <c r="C97" s="247"/>
      <c r="D97" s="247"/>
      <c r="E97" s="247"/>
      <c r="F97" s="247"/>
      <c r="G97" s="247"/>
      <c r="I97" s="247" t="str">
        <f>"Line "&amp;A34&amp;" * Line "&amp;A93&amp;""</f>
        <v>Line 18 * Line 54</v>
      </c>
      <c r="J97" s="247"/>
      <c r="K97" s="249">
        <f>K34*K93</f>
        <v>529312191.83873791</v>
      </c>
    </row>
    <row r="98" spans="1:11">
      <c r="A98" s="248"/>
      <c r="B98" s="247"/>
      <c r="C98" s="247"/>
      <c r="D98" s="247"/>
      <c r="E98" s="247"/>
      <c r="F98" s="247"/>
      <c r="G98" s="247"/>
      <c r="H98" s="247"/>
      <c r="I98" s="247"/>
      <c r="J98" s="247"/>
      <c r="K98" s="247"/>
    </row>
    <row r="99" spans="1:11">
      <c r="A99" s="247"/>
      <c r="B99" s="247"/>
      <c r="C99" s="247"/>
      <c r="D99" s="247"/>
      <c r="E99" s="247"/>
      <c r="F99" s="247"/>
      <c r="G99" s="247"/>
      <c r="H99" s="247"/>
      <c r="I99" s="247"/>
      <c r="J99" s="247"/>
      <c r="K99" s="247"/>
    </row>
    <row r="100" spans="1:11" ht="13">
      <c r="A100" s="692" t="s">
        <v>175</v>
      </c>
      <c r="B100" s="10"/>
      <c r="C100" s="10"/>
      <c r="D100" s="10"/>
      <c r="E100" s="10"/>
      <c r="F100" s="10"/>
      <c r="G100" s="10"/>
      <c r="H100" s="8"/>
      <c r="I100" s="8"/>
      <c r="J100" s="8"/>
      <c r="K100" s="8"/>
    </row>
    <row r="102" spans="1:11" ht="13">
      <c r="A102" s="2">
        <f>A97+1</f>
        <v>57</v>
      </c>
      <c r="B102" t="s">
        <v>176</v>
      </c>
      <c r="I102" t="str">
        <f>"26-Tax Rates, Line "&amp;'26-TaxRates'!A7&amp;""</f>
        <v>26-Tax Rates, Line 1</v>
      </c>
      <c r="K102" s="7">
        <f>'26-TaxRates'!D7</f>
        <v>0.21</v>
      </c>
    </row>
    <row r="103" spans="1:11" ht="13">
      <c r="A103" s="2">
        <f>A102+1</f>
        <v>58</v>
      </c>
      <c r="B103" s="247" t="s">
        <v>177</v>
      </c>
      <c r="I103" t="str">
        <f>"26-Tax Rates, Line "&amp;'26-TaxRates'!A14&amp;""</f>
        <v>26-Tax Rates, Line 8</v>
      </c>
      <c r="K103" s="7">
        <f>'26-TaxRates'!D14</f>
        <v>8.8400000000000006E-2</v>
      </c>
    </row>
    <row r="104" spans="1:11" ht="13">
      <c r="A104" s="2">
        <f>A103+1</f>
        <v>59</v>
      </c>
      <c r="B104" s="247" t="s">
        <v>178</v>
      </c>
      <c r="H104" s="31" t="s">
        <v>179</v>
      </c>
      <c r="I104" s="247" t="str">
        <f>"(L"&amp;A102&amp;" + L"&amp;A103&amp;") - (L"&amp;A102&amp;" * L"&amp;A103&amp;")"</f>
        <v>(L57 + L58) - (L57 * L58)</v>
      </c>
      <c r="K104" s="7">
        <f>(K102+K103)-(K102*K103)</f>
        <v>0.27983599999999997</v>
      </c>
    </row>
    <row r="105" spans="1:11" ht="13">
      <c r="A105" s="2"/>
      <c r="K105" s="7"/>
    </row>
    <row r="106" spans="1:11" ht="13">
      <c r="A106" s="2"/>
      <c r="B106" s="28" t="s">
        <v>180</v>
      </c>
      <c r="K106" s="7"/>
    </row>
    <row r="107" spans="1:11" ht="13">
      <c r="A107" s="2">
        <f>A104+1</f>
        <v>60</v>
      </c>
      <c r="B107" s="291" t="s">
        <v>181</v>
      </c>
      <c r="H107" s="247"/>
      <c r="I107" s="245" t="s">
        <v>182</v>
      </c>
      <c r="K107" s="6">
        <f>-'9-ADIT-2'!I49</f>
        <v>-11197785</v>
      </c>
    </row>
    <row r="108" spans="1:11" ht="13">
      <c r="A108" s="2">
        <f>A107+1</f>
        <v>61</v>
      </c>
      <c r="B108" s="291" t="s">
        <v>183</v>
      </c>
      <c r="H108" s="247" t="s">
        <v>184</v>
      </c>
      <c r="K108" s="59">
        <v>0</v>
      </c>
    </row>
    <row r="109" spans="1:11" ht="13">
      <c r="A109" s="2">
        <f t="shared" ref="A109:A110" si="3">A108+1</f>
        <v>62</v>
      </c>
      <c r="B109" s="291" t="s">
        <v>185</v>
      </c>
      <c r="H109" s="247" t="s">
        <v>184</v>
      </c>
      <c r="K109" s="53">
        <v>2606000</v>
      </c>
    </row>
    <row r="110" spans="1:11" ht="13">
      <c r="A110" s="2">
        <f t="shared" si="3"/>
        <v>63</v>
      </c>
      <c r="B110" s="246" t="s">
        <v>186</v>
      </c>
      <c r="I110" s="247" t="str">
        <f>"Line "&amp;A107&amp;" + Line "&amp;A108&amp;"+ Line "&amp;A109&amp;""</f>
        <v>Line 60 + Line 61+ Line 62</v>
      </c>
      <c r="K110" s="6">
        <f>SUM(K107:K109)</f>
        <v>-8591785</v>
      </c>
    </row>
    <row r="111" spans="1:11" ht="13">
      <c r="A111" s="633"/>
    </row>
    <row r="112" spans="1:11" ht="13">
      <c r="A112" s="2">
        <f>A110+1</f>
        <v>64</v>
      </c>
      <c r="B112" s="247" t="s">
        <v>187</v>
      </c>
      <c r="I112" t="str">
        <f>"Formula on Line "&amp;A114&amp;""</f>
        <v>Formula on Line 65</v>
      </c>
      <c r="K112" s="6">
        <f>(((K34*K95) + K121)*(K104/(1-K104)))+(K110/(1-K104))</f>
        <v>139362322.55712432</v>
      </c>
    </row>
    <row r="113" spans="1:11" ht="13">
      <c r="A113" s="2"/>
    </row>
    <row r="114" spans="1:11" ht="13">
      <c r="A114" s="2">
        <f>A112+1</f>
        <v>65</v>
      </c>
      <c r="B114" s="247" t="s">
        <v>188</v>
      </c>
      <c r="C114" s="247"/>
      <c r="D114" s="247"/>
      <c r="E114" s="247"/>
      <c r="F114" s="247"/>
      <c r="G114" s="247"/>
    </row>
    <row r="115" spans="1:11">
      <c r="A115" s="37"/>
      <c r="I115" s="247"/>
    </row>
    <row r="116" spans="1:11">
      <c r="A116" s="37"/>
      <c r="C116" t="s">
        <v>189</v>
      </c>
    </row>
    <row r="117" spans="1:11">
      <c r="A117" s="37"/>
      <c r="C117" s="12" t="s">
        <v>190</v>
      </c>
      <c r="I117" s="247" t="str">
        <f>"Line "&amp;A34&amp;""</f>
        <v>Line 18</v>
      </c>
    </row>
    <row r="118" spans="1:11">
      <c r="A118" s="37"/>
      <c r="C118" s="246" t="s">
        <v>191</v>
      </c>
      <c r="I118" s="247" t="str">
        <f>"Line "&amp;A95&amp;""</f>
        <v>Line 55</v>
      </c>
    </row>
    <row r="119" spans="1:11">
      <c r="A119" s="37"/>
      <c r="C119" s="12" t="s">
        <v>192</v>
      </c>
      <c r="I119" s="247" t="str">
        <f>"Line "&amp;A104&amp;""</f>
        <v>Line 59</v>
      </c>
    </row>
    <row r="120" spans="1:11">
      <c r="A120" s="37"/>
      <c r="C120" s="12" t="s">
        <v>193</v>
      </c>
      <c r="I120" s="247" t="str">
        <f>"Line "&amp;A110&amp;""</f>
        <v>Line 63</v>
      </c>
    </row>
    <row r="121" spans="1:11">
      <c r="A121" s="37"/>
      <c r="C121" s="246" t="s">
        <v>194</v>
      </c>
      <c r="H121" s="245" t="s">
        <v>195</v>
      </c>
      <c r="I121" s="254" t="s">
        <v>196</v>
      </c>
      <c r="K121" s="267">
        <v>551490</v>
      </c>
    </row>
    <row r="122" spans="1:11">
      <c r="H122" s="25"/>
    </row>
    <row r="123" spans="1:11" ht="13">
      <c r="A123" s="692" t="s">
        <v>197</v>
      </c>
      <c r="B123" s="10"/>
      <c r="C123" s="10"/>
      <c r="D123" s="10"/>
      <c r="E123" s="10"/>
      <c r="F123" s="10"/>
      <c r="G123" s="10"/>
      <c r="H123" s="8"/>
      <c r="I123" s="8"/>
      <c r="J123" s="8"/>
      <c r="K123" s="8"/>
    </row>
    <row r="125" spans="1:11">
      <c r="B125" s="28" t="s">
        <v>198</v>
      </c>
    </row>
    <row r="126" spans="1:11" ht="13">
      <c r="A126" s="2">
        <f>A114+1</f>
        <v>66</v>
      </c>
      <c r="B126" t="s">
        <v>199</v>
      </c>
      <c r="H126" s="12"/>
      <c r="I126" t="str">
        <f>"19-OandM, Line "&amp;'19-OandM'!A124&amp;", Col. 6"</f>
        <v>19-OandM, Line 91, Col. 6</v>
      </c>
      <c r="K126" s="6">
        <f>'19-OandM'!G124</f>
        <v>100214566.80676542</v>
      </c>
    </row>
    <row r="127" spans="1:11" ht="13">
      <c r="A127" s="2">
        <f t="shared" ref="A127:A142" si="4">A126+1</f>
        <v>67</v>
      </c>
      <c r="B127" s="247" t="s">
        <v>200</v>
      </c>
      <c r="H127" s="12"/>
      <c r="I127" t="str">
        <f>"20-AandG, Line "&amp;'20-AandG'!A30&amp;""</f>
        <v>20-AandG, Line 23</v>
      </c>
      <c r="K127" s="6">
        <f>'20-AandG'!F30</f>
        <v>149447698.24507508</v>
      </c>
    </row>
    <row r="128" spans="1:11" ht="13">
      <c r="A128" s="2">
        <f t="shared" si="4"/>
        <v>68</v>
      </c>
      <c r="B128" t="s">
        <v>201</v>
      </c>
      <c r="H128" s="12"/>
      <c r="I128" s="247" t="str">
        <f>"22-NUCs, Line "&amp;'22-NUCs'!A17&amp;""</f>
        <v>22-NUCs, Line 8</v>
      </c>
      <c r="K128" s="6">
        <f>'22-NUCs'!E17</f>
        <v>2083731.03</v>
      </c>
    </row>
    <row r="129" spans="1:11" ht="13">
      <c r="A129" s="2">
        <f t="shared" si="4"/>
        <v>69</v>
      </c>
      <c r="B129" s="247" t="s">
        <v>202</v>
      </c>
      <c r="H129" s="12"/>
      <c r="I129" t="str">
        <f>"17-Depreciation, Line "&amp;'17-Depreciation'!A94&amp;""</f>
        <v>17-Depreciation, Line 70</v>
      </c>
      <c r="K129" s="6">
        <f>'17-Depreciation'!F94</f>
        <v>315994726.65759426</v>
      </c>
    </row>
    <row r="130" spans="1:11" ht="13">
      <c r="A130" s="2">
        <f t="shared" si="4"/>
        <v>70</v>
      </c>
      <c r="B130" s="247" t="s">
        <v>203</v>
      </c>
      <c r="H130" s="12"/>
      <c r="I130" t="str">
        <f>"12-AbandonedPlant, Line "&amp;'12-AbandonedPlant'!A18&amp;""</f>
        <v>12-AbandonedPlant, Line 1</v>
      </c>
      <c r="K130" s="6">
        <f>'12-AbandonedPlant'!G18</f>
        <v>0</v>
      </c>
    </row>
    <row r="131" spans="1:11" ht="13">
      <c r="A131" s="2">
        <f t="shared" si="4"/>
        <v>71</v>
      </c>
      <c r="B131" s="247" t="s">
        <v>143</v>
      </c>
      <c r="H131" s="12"/>
      <c r="I131" t="str">
        <f>"Line "&amp;A58&amp;""</f>
        <v>Line 36</v>
      </c>
      <c r="K131" s="6">
        <f>K58</f>
        <v>83397399.162477285</v>
      </c>
    </row>
    <row r="132" spans="1:11" ht="13">
      <c r="A132" s="2">
        <f t="shared" si="4"/>
        <v>72</v>
      </c>
      <c r="B132" t="s">
        <v>204</v>
      </c>
      <c r="H132" s="246" t="s">
        <v>115</v>
      </c>
      <c r="I132" t="str">
        <f>"21-Revenue Credits, Line "&amp;'21-RevenueCredits'!A271&amp;""</f>
        <v>21-Revenue Credits, Line 44</v>
      </c>
      <c r="K132" s="6">
        <f>-'21-RevenueCredits'!E271</f>
        <v>-66134527.883372493</v>
      </c>
    </row>
    <row r="133" spans="1:11" ht="13">
      <c r="A133" s="2">
        <f t="shared" si="4"/>
        <v>73</v>
      </c>
      <c r="B133" t="s">
        <v>205</v>
      </c>
      <c r="H133" s="12"/>
      <c r="I133" t="str">
        <f>"Line "&amp;A97&amp;""</f>
        <v>Line 56</v>
      </c>
      <c r="K133" s="6">
        <f>K97</f>
        <v>529312191.83873791</v>
      </c>
    </row>
    <row r="134" spans="1:11" ht="13">
      <c r="A134" s="2">
        <f t="shared" si="4"/>
        <v>74</v>
      </c>
      <c r="B134" t="s">
        <v>206</v>
      </c>
      <c r="H134" s="12"/>
      <c r="I134" t="str">
        <f>"Line "&amp;A112&amp;""</f>
        <v>Line 64</v>
      </c>
      <c r="K134" s="249">
        <f>K112</f>
        <v>139362322.55712432</v>
      </c>
    </row>
    <row r="135" spans="1:11" ht="13">
      <c r="A135" s="2">
        <f t="shared" si="4"/>
        <v>75</v>
      </c>
      <c r="B135" t="s">
        <v>207</v>
      </c>
      <c r="H135" s="246" t="s">
        <v>208</v>
      </c>
      <c r="I135" s="247" t="str">
        <f>"11-PHFU, Line "&amp;'11-PHFU'!A47&amp;""</f>
        <v>11-PHFU, Line 10</v>
      </c>
      <c r="K135" s="249">
        <f>-'11-PHFU'!E47</f>
        <v>0</v>
      </c>
    </row>
    <row r="136" spans="1:11" ht="13">
      <c r="A136" s="2">
        <f t="shared" si="4"/>
        <v>76</v>
      </c>
      <c r="B136" s="304" t="s">
        <v>209</v>
      </c>
      <c r="C136" s="304"/>
      <c r="H136" s="12"/>
      <c r="I136" s="247" t="str">
        <f>"23-RegAssets, Line "&amp;'23-RegAssets'!A19&amp;""</f>
        <v>23-RegAssets, Line 16</v>
      </c>
      <c r="K136" s="249">
        <f>'23-RegAssets'!E19</f>
        <v>0</v>
      </c>
    </row>
    <row r="137" spans="1:11" ht="13">
      <c r="A137" s="2">
        <f t="shared" si="4"/>
        <v>77</v>
      </c>
      <c r="B137" s="247" t="s">
        <v>210</v>
      </c>
      <c r="H137" s="12"/>
      <c r="I137" t="str">
        <f>"15-IncentiveAdder, Line "&amp;'15-IncentiveAdder'!A44&amp;""</f>
        <v>15-IncentiveAdder, Line 14</v>
      </c>
      <c r="K137" s="249">
        <f>'15-IncentiveAdder'!G44</f>
        <v>24013487.42910824</v>
      </c>
    </row>
    <row r="138" spans="1:11" ht="13">
      <c r="A138" s="2" t="s">
        <v>211</v>
      </c>
      <c r="B138" s="247" t="s">
        <v>212</v>
      </c>
      <c r="H138" s="246" t="s">
        <v>213</v>
      </c>
      <c r="I138" s="247" t="s">
        <v>214</v>
      </c>
      <c r="K138" s="53">
        <f>-K137</f>
        <v>-24013487.42910824</v>
      </c>
    </row>
    <row r="139" spans="1:11" ht="13">
      <c r="A139" s="2">
        <f>A137+1</f>
        <v>78</v>
      </c>
      <c r="B139" s="247" t="s">
        <v>215</v>
      </c>
      <c r="H139" s="12"/>
      <c r="I139" t="str">
        <f>"Sum of Lines "&amp;A126&amp;" to "&amp;A138&amp;""</f>
        <v>Sum of Lines 66 to 77a</v>
      </c>
      <c r="K139" s="6">
        <f>SUM(K126:K138)</f>
        <v>1253678108.4144018</v>
      </c>
    </row>
    <row r="140" spans="1:11" ht="13">
      <c r="A140" s="633"/>
      <c r="B140" s="247"/>
      <c r="H140" s="12"/>
      <c r="K140" s="6"/>
    </row>
    <row r="141" spans="1:11" ht="13">
      <c r="A141" s="2">
        <f>A139+1</f>
        <v>79</v>
      </c>
      <c r="B141" s="247" t="s">
        <v>216</v>
      </c>
      <c r="I141" t="str">
        <f>"L "&amp;A139&amp;" * FF Factor (28-FFU, L "&amp;'28-FFU'!A22&amp;")"</f>
        <v>L 78 * FF Factor (28-FFU, L 5)</v>
      </c>
      <c r="K141" s="6">
        <f>'28-FFU'!D22*K139</f>
        <v>11740170.99338359</v>
      </c>
    </row>
    <row r="142" spans="1:11" ht="13">
      <c r="A142" s="2">
        <f t="shared" si="4"/>
        <v>80</v>
      </c>
      <c r="B142" s="247" t="s">
        <v>217</v>
      </c>
      <c r="I142" t="str">
        <f>"L "&amp;A139&amp;" * U Factor (28-FFU, L "&amp;'28-FFU'!A22&amp;")"</f>
        <v>L 78 * U Factor (28-FFU, L 5)</v>
      </c>
      <c r="K142" s="6">
        <f>'28-FFU'!E22*K139</f>
        <v>10704879.928706184</v>
      </c>
    </row>
    <row r="143" spans="1:11" ht="13">
      <c r="A143" s="2"/>
      <c r="B143" s="247"/>
      <c r="K143" s="6"/>
    </row>
    <row r="144" spans="1:11" ht="13">
      <c r="A144" s="2">
        <f>A142+1</f>
        <v>81</v>
      </c>
      <c r="B144" s="247" t="s">
        <v>80</v>
      </c>
      <c r="I144" t="str">
        <f>"Line "&amp;A139&amp;" + Line "&amp;A141&amp;"+ Line "&amp;A142&amp;""</f>
        <v>Line 78 + Line 79+ Line 80</v>
      </c>
      <c r="K144" s="6">
        <f>K139+K141+K142</f>
        <v>1276123159.3364916</v>
      </c>
    </row>
    <row r="146" spans="1:14" ht="13">
      <c r="A146" s="9" t="s">
        <v>218</v>
      </c>
      <c r="B146" s="10"/>
      <c r="C146" s="10"/>
      <c r="D146" s="10"/>
      <c r="E146" s="10"/>
      <c r="F146" s="10"/>
      <c r="G146" s="10"/>
      <c r="H146" s="8"/>
      <c r="I146" s="8"/>
      <c r="J146" s="8"/>
      <c r="K146" s="8"/>
    </row>
    <row r="148" spans="1:14">
      <c r="B148" s="28" t="s">
        <v>219</v>
      </c>
    </row>
    <row r="149" spans="1:14" ht="13">
      <c r="A149" s="2">
        <f>A144+1</f>
        <v>82</v>
      </c>
      <c r="B149" t="s">
        <v>80</v>
      </c>
      <c r="I149" t="str">
        <f>"Line "&amp;A144&amp;""</f>
        <v>Line 81</v>
      </c>
      <c r="K149" s="6">
        <f>K144</f>
        <v>1276123159.3364916</v>
      </c>
    </row>
    <row r="150" spans="1:14" ht="13">
      <c r="A150" s="2">
        <f>A149+1</f>
        <v>83</v>
      </c>
      <c r="B150" t="s">
        <v>81</v>
      </c>
      <c r="I150" s="247" t="str">
        <f>"2-IFPTRR, Line "&amp;'2-IFPTRR'!A91&amp;""</f>
        <v>2-IFPTRR, Line 82</v>
      </c>
      <c r="K150" s="6">
        <f>'2-IFPTRR'!D91</f>
        <v>65627902.850031734</v>
      </c>
    </row>
    <row r="151" spans="1:14" ht="13">
      <c r="A151" s="2">
        <f>A150+1</f>
        <v>84</v>
      </c>
      <c r="B151" s="247" t="s">
        <v>220</v>
      </c>
      <c r="H151" s="247"/>
      <c r="I151" s="247" t="str">
        <f>"3-TrueUpAdjust, Line "&amp;'3-TrueUpAdjust'!A44&amp;""</f>
        <v>3-TrueUpAdjust, Line 30</v>
      </c>
      <c r="K151" s="249">
        <f>'3-TrueUpAdjust'!E44</f>
        <v>-133413458.79766294</v>
      </c>
      <c r="L151" s="56"/>
    </row>
    <row r="152" spans="1:14" ht="13">
      <c r="A152" s="2" t="s">
        <v>221</v>
      </c>
      <c r="B152" s="247" t="s">
        <v>83</v>
      </c>
      <c r="C152" s="247"/>
      <c r="D152" s="247"/>
      <c r="E152" s="247"/>
      <c r="F152" s="612"/>
      <c r="G152" s="612"/>
      <c r="I152" s="245" t="str">
        <f>"Negative of 35-Other Formula Revenue, L "&amp;'35-Other Formula Revenue'!A113&amp;""</f>
        <v>Negative of 35-Other Formula Revenue, L 80</v>
      </c>
      <c r="J152" s="612"/>
      <c r="K152" s="249">
        <f>-'35-Other Formula Revenue'!D113</f>
        <v>-12394780.052277384</v>
      </c>
      <c r="L152" s="892"/>
    </row>
    <row r="153" spans="1:14" ht="13">
      <c r="A153" s="2">
        <f>A151+1</f>
        <v>85</v>
      </c>
      <c r="B153" s="247" t="s">
        <v>84</v>
      </c>
      <c r="H153" s="247" t="s">
        <v>222</v>
      </c>
      <c r="K153" s="208">
        <v>-71442363.177482024</v>
      </c>
    </row>
    <row r="154" spans="1:14" ht="13">
      <c r="A154" s="2"/>
      <c r="K154" s="6"/>
    </row>
    <row r="155" spans="1:14" ht="13">
      <c r="A155" s="2">
        <f>A153+1</f>
        <v>86</v>
      </c>
      <c r="B155" s="247" t="s">
        <v>223</v>
      </c>
      <c r="H155" s="247" t="s">
        <v>224</v>
      </c>
      <c r="I155" s="247" t="str">
        <f>"L "&amp;A149&amp;" + L "&amp;A150&amp;" + L "&amp;A151&amp;"+ L "&amp;A152&amp;" + L "&amp;A153&amp;""</f>
        <v>L 82 + L 83 + L 84+ L 84a + L 85</v>
      </c>
      <c r="K155" s="249">
        <f>K149+K150+K151+K152+K153</f>
        <v>1124500460.159101</v>
      </c>
      <c r="L155" s="6"/>
      <c r="N155" s="6"/>
    </row>
    <row r="156" spans="1:14" ht="13">
      <c r="A156" s="2"/>
      <c r="K156" s="6"/>
    </row>
    <row r="157" spans="1:14" ht="13">
      <c r="A157" s="2"/>
      <c r="B157" s="28" t="s">
        <v>225</v>
      </c>
      <c r="K157" s="6"/>
    </row>
    <row r="158" spans="1:14" ht="13">
      <c r="A158" s="2">
        <f>A155+1</f>
        <v>87</v>
      </c>
      <c r="B158" t="s">
        <v>226</v>
      </c>
      <c r="I158" t="str">
        <f>"Line "&amp;A155&amp;""</f>
        <v>Line 86</v>
      </c>
      <c r="K158" s="6">
        <f>K155</f>
        <v>1124500460.159101</v>
      </c>
    </row>
    <row r="159" spans="1:14" ht="13">
      <c r="A159" s="2">
        <f>A158+1</f>
        <v>88</v>
      </c>
      <c r="B159" t="s">
        <v>227</v>
      </c>
      <c r="I159" s="247" t="str">
        <f>"25-WholesaleDifference, Line "&amp;'25-WholesaleDifference'!A93&amp;""</f>
        <v>25-WholesaleDifference, Line 45</v>
      </c>
      <c r="K159" s="53">
        <f>'25-WholesaleDifference'!H93</f>
        <v>-13230745.242059002</v>
      </c>
    </row>
    <row r="160" spans="1:14" ht="13">
      <c r="A160" s="2">
        <f>A159+1</f>
        <v>89</v>
      </c>
      <c r="B160" t="s">
        <v>225</v>
      </c>
      <c r="I160" t="str">
        <f>"Line "&amp;A158&amp;" + Line "&amp;A159&amp;""</f>
        <v>Line 87 + Line 88</v>
      </c>
      <c r="K160" s="6">
        <f>K158+K159</f>
        <v>1111269714.917042</v>
      </c>
    </row>
    <row r="161" spans="2:16">
      <c r="H161" s="247"/>
    </row>
    <row r="162" spans="2:16" ht="13">
      <c r="B162" s="30" t="s">
        <v>228</v>
      </c>
    </row>
    <row r="163" spans="2:16">
      <c r="B163" s="247" t="s">
        <v>229</v>
      </c>
    </row>
    <row r="164" spans="2:16">
      <c r="B164" s="246" t="s">
        <v>230</v>
      </c>
    </row>
    <row r="165" spans="2:16">
      <c r="B165" s="247" t="s">
        <v>231</v>
      </c>
    </row>
    <row r="166" spans="2:16">
      <c r="B166" s="247" t="s">
        <v>232</v>
      </c>
    </row>
    <row r="167" spans="2:16">
      <c r="B167" s="247" t="s">
        <v>233</v>
      </c>
    </row>
    <row r="168" spans="2:16">
      <c r="B168" s="247"/>
      <c r="C168" t="s">
        <v>234</v>
      </c>
      <c r="F168" s="254" t="s">
        <v>235</v>
      </c>
      <c r="G168" s="54"/>
      <c r="H168" s="54"/>
      <c r="I168" s="54"/>
    </row>
    <row r="169" spans="2:16">
      <c r="B169" s="247" t="s">
        <v>236</v>
      </c>
      <c r="C169" s="247"/>
      <c r="D169" s="247"/>
      <c r="E169" s="247"/>
      <c r="F169" s="247"/>
      <c r="G169" s="247"/>
      <c r="H169" s="247"/>
    </row>
    <row r="170" spans="2:16">
      <c r="B170" s="246" t="s">
        <v>237</v>
      </c>
    </row>
    <row r="171" spans="2:16">
      <c r="B171" s="246" t="s">
        <v>238</v>
      </c>
    </row>
    <row r="172" spans="2:16">
      <c r="B172" s="247" t="s">
        <v>239</v>
      </c>
    </row>
    <row r="173" spans="2:16">
      <c r="B173" s="247" t="s">
        <v>240</v>
      </c>
    </row>
    <row r="174" spans="2:16">
      <c r="B174" s="246" t="s">
        <v>241</v>
      </c>
    </row>
    <row r="175" spans="2:16">
      <c r="B175" s="291" t="s">
        <v>242</v>
      </c>
      <c r="C175" s="247"/>
      <c r="D175" s="247"/>
      <c r="E175" s="247"/>
      <c r="F175" s="247"/>
      <c r="G175" s="247"/>
      <c r="H175" s="247"/>
      <c r="I175" s="247"/>
      <c r="J175" s="247"/>
      <c r="K175" s="247"/>
      <c r="M175" s="247"/>
    </row>
    <row r="176" spans="2:16">
      <c r="B176" s="886"/>
      <c r="O176" s="6"/>
      <c r="P176" s="6"/>
    </row>
    <row r="177" spans="2:16" ht="13">
      <c r="B177" s="291"/>
      <c r="C177" s="247"/>
      <c r="D177" s="247"/>
      <c r="E177" s="247"/>
      <c r="F177" s="2" t="s">
        <v>243</v>
      </c>
      <c r="G177" s="2" t="s">
        <v>244</v>
      </c>
      <c r="H177" s="247"/>
      <c r="I177" s="247"/>
      <c r="J177" s="247"/>
      <c r="K177" s="247"/>
      <c r="M177" s="247"/>
    </row>
    <row r="178" spans="2:16" ht="13">
      <c r="B178" s="247"/>
      <c r="C178" s="247"/>
      <c r="D178" s="247"/>
      <c r="E178" s="247"/>
      <c r="F178" s="2" t="s">
        <v>245</v>
      </c>
      <c r="G178" s="2" t="s">
        <v>246</v>
      </c>
      <c r="H178" s="247"/>
      <c r="I178" s="247"/>
      <c r="J178" s="247"/>
      <c r="K178" s="247"/>
      <c r="M178" s="247"/>
      <c r="O178" s="6"/>
      <c r="P178" s="6"/>
    </row>
    <row r="179" spans="2:16" ht="13">
      <c r="B179" s="30" t="s">
        <v>247</v>
      </c>
      <c r="C179" s="30"/>
      <c r="D179" s="30"/>
      <c r="E179" s="30"/>
      <c r="F179" s="3" t="s">
        <v>248</v>
      </c>
      <c r="G179" s="3" t="s">
        <v>79</v>
      </c>
      <c r="H179" s="3" t="s">
        <v>249</v>
      </c>
      <c r="I179" s="30" t="s">
        <v>250</v>
      </c>
      <c r="J179" s="247"/>
      <c r="K179" s="3" t="s">
        <v>251</v>
      </c>
      <c r="M179" s="3" t="s">
        <v>251</v>
      </c>
    </row>
    <row r="180" spans="2:16">
      <c r="B180" s="291" t="s">
        <v>252</v>
      </c>
      <c r="C180" s="254" t="s">
        <v>3010</v>
      </c>
      <c r="D180" s="254"/>
      <c r="E180" s="254"/>
      <c r="F180" s="249">
        <f>'35-Other Formula Revenue'!G77</f>
        <v>8000000</v>
      </c>
      <c r="G180" s="267">
        <f>5254036+2564107+259282989+157771543+0+570981+1415610+0+0</f>
        <v>426859266</v>
      </c>
      <c r="H180" s="974">
        <f>SUM(F180:G180)</f>
        <v>434859266</v>
      </c>
      <c r="I180" s="247" t="s">
        <v>125</v>
      </c>
      <c r="J180" s="247"/>
      <c r="K180" s="247" t="s">
        <v>253</v>
      </c>
      <c r="M180" s="247" t="s">
        <v>253</v>
      </c>
    </row>
    <row r="181" spans="2:16">
      <c r="B181" s="291" t="s">
        <v>254</v>
      </c>
      <c r="C181" s="254" t="s">
        <v>2934</v>
      </c>
      <c r="D181" s="254"/>
      <c r="E181" s="254"/>
      <c r="F181" s="249">
        <f>'35-Other Formula Revenue'!G84</f>
        <v>44814.009999999995</v>
      </c>
      <c r="G181" s="552">
        <v>129684475</v>
      </c>
      <c r="H181" s="974">
        <f>SUM(F181:G181)</f>
        <v>129729289.01000001</v>
      </c>
      <c r="I181" s="291" t="s">
        <v>132</v>
      </c>
      <c r="J181" s="247"/>
      <c r="K181" s="247" t="s">
        <v>255</v>
      </c>
      <c r="M181" s="247" t="s">
        <v>255</v>
      </c>
    </row>
    <row r="182" spans="2:16">
      <c r="B182" s="291" t="s">
        <v>256</v>
      </c>
      <c r="C182" s="254" t="s">
        <v>2933</v>
      </c>
      <c r="D182" s="254"/>
      <c r="E182" s="254"/>
      <c r="F182" s="249">
        <f>'35-Other Formula Revenue'!G85</f>
        <v>-563.93000000000006</v>
      </c>
      <c r="G182" s="552">
        <v>427954</v>
      </c>
      <c r="H182" s="974">
        <f t="shared" ref="H182:H187" si="5">SUM(F182:G182)</f>
        <v>427390.07</v>
      </c>
      <c r="I182" s="291" t="s">
        <v>133</v>
      </c>
      <c r="J182" s="247"/>
      <c r="K182" s="247" t="s">
        <v>257</v>
      </c>
      <c r="M182" s="247" t="s">
        <v>257</v>
      </c>
    </row>
    <row r="183" spans="2:16">
      <c r="B183" s="291" t="s">
        <v>258</v>
      </c>
      <c r="C183" s="254" t="s">
        <v>2935</v>
      </c>
      <c r="D183" s="254"/>
      <c r="E183" s="254"/>
      <c r="F183" s="249">
        <f>'35-Other Formula Revenue'!G86</f>
        <v>124.19999999999999</v>
      </c>
      <c r="G183" s="552">
        <v>100086</v>
      </c>
      <c r="H183" s="974">
        <f t="shared" si="5"/>
        <v>100210.2</v>
      </c>
      <c r="I183" s="291" t="s">
        <v>134</v>
      </c>
      <c r="J183" s="247"/>
      <c r="K183" s="247" t="s">
        <v>259</v>
      </c>
      <c r="M183" s="247" t="s">
        <v>259</v>
      </c>
    </row>
    <row r="184" spans="2:16">
      <c r="B184" s="291" t="s">
        <v>260</v>
      </c>
      <c r="C184" s="254" t="s">
        <v>3006</v>
      </c>
      <c r="D184" s="254"/>
      <c r="E184" s="254"/>
      <c r="F184" s="249">
        <f>'35-Other Formula Revenue'!G87</f>
        <v>2111.17</v>
      </c>
      <c r="G184" s="552">
        <v>3367917</v>
      </c>
      <c r="H184" s="974">
        <f t="shared" si="5"/>
        <v>3370028.17</v>
      </c>
      <c r="I184" s="291" t="s">
        <v>135</v>
      </c>
      <c r="J184" s="247"/>
      <c r="K184" s="247" t="s">
        <v>261</v>
      </c>
      <c r="M184" s="247" t="s">
        <v>261</v>
      </c>
    </row>
    <row r="185" spans="2:16">
      <c r="B185" s="291" t="s">
        <v>262</v>
      </c>
      <c r="C185" s="254" t="s">
        <v>3007</v>
      </c>
      <c r="D185" s="254"/>
      <c r="E185" s="254"/>
      <c r="F185" s="249">
        <f>'35-Other Formula Revenue'!G88</f>
        <v>211.6</v>
      </c>
      <c r="G185" s="552">
        <v>893302</v>
      </c>
      <c r="H185" s="974">
        <f t="shared" si="5"/>
        <v>893513.6</v>
      </c>
      <c r="I185" s="291" t="s">
        <v>136</v>
      </c>
      <c r="J185" s="247"/>
      <c r="K185" s="247" t="s">
        <v>263</v>
      </c>
      <c r="M185" s="247" t="s">
        <v>263</v>
      </c>
      <c r="P185" s="56"/>
    </row>
    <row r="186" spans="2:16">
      <c r="B186" s="291" t="s">
        <v>264</v>
      </c>
      <c r="C186" s="254" t="s">
        <v>3008</v>
      </c>
      <c r="D186" s="254"/>
      <c r="E186" s="254"/>
      <c r="F186" s="249">
        <f>'35-Other Formula Revenue'!G89</f>
        <v>718.4899999999999</v>
      </c>
      <c r="G186" s="552">
        <v>2667448</v>
      </c>
      <c r="H186" s="974">
        <f t="shared" si="5"/>
        <v>2668166.4900000002</v>
      </c>
      <c r="I186" s="291" t="s">
        <v>137</v>
      </c>
      <c r="J186" s="247"/>
      <c r="K186" s="247" t="s">
        <v>265</v>
      </c>
      <c r="M186" s="247" t="s">
        <v>265</v>
      </c>
      <c r="P186" s="56"/>
    </row>
    <row r="187" spans="2:16">
      <c r="B187" s="291" t="s">
        <v>266</v>
      </c>
      <c r="C187" s="254" t="s">
        <v>3009</v>
      </c>
      <c r="D187" s="254"/>
      <c r="E187" s="254"/>
      <c r="F187" s="249">
        <f>'35-Other Formula Revenue'!G90</f>
        <v>34.67</v>
      </c>
      <c r="G187" s="552">
        <v>23556</v>
      </c>
      <c r="H187" s="974">
        <f t="shared" si="5"/>
        <v>23590.67</v>
      </c>
      <c r="I187" s="291" t="s">
        <v>138</v>
      </c>
      <c r="J187" s="247"/>
      <c r="K187" s="247" t="s">
        <v>267</v>
      </c>
      <c r="M187" s="247" t="s">
        <v>267</v>
      </c>
      <c r="P187" s="56"/>
    </row>
    <row r="188" spans="2:16">
      <c r="K188" s="247"/>
      <c r="M188" s="247"/>
      <c r="P188" s="56"/>
    </row>
    <row r="189" spans="2:16">
      <c r="B189" s="1049"/>
      <c r="C189" s="1050"/>
      <c r="D189" s="1050"/>
      <c r="E189" s="1050"/>
      <c r="P189" s="56"/>
    </row>
    <row r="190" spans="2:16">
      <c r="B190" s="1051"/>
      <c r="C190" s="1050"/>
      <c r="D190" s="1050"/>
      <c r="E190" s="1050"/>
      <c r="P190" s="56"/>
    </row>
    <row r="191" spans="2:16">
      <c r="B191" s="1051"/>
      <c r="C191" s="1050"/>
      <c r="D191" s="1050"/>
      <c r="E191" s="1050"/>
    </row>
    <row r="192" spans="2:16">
      <c r="B192" s="1051"/>
      <c r="C192" s="1050"/>
      <c r="D192" s="1050"/>
      <c r="E192" s="1050"/>
      <c r="P192" s="56"/>
    </row>
    <row r="193" spans="2:5">
      <c r="B193" s="1051"/>
      <c r="C193" s="1050"/>
      <c r="D193" s="1050"/>
      <c r="E193" s="1050"/>
    </row>
    <row r="194" spans="2:5">
      <c r="B194" s="246"/>
    </row>
    <row r="195" spans="2:5">
      <c r="B195" s="246"/>
    </row>
    <row r="196" spans="2:5">
      <c r="B196" s="246"/>
    </row>
    <row r="197" spans="2:5">
      <c r="B197" s="246"/>
    </row>
    <row r="198" spans="2:5">
      <c r="B198" s="246"/>
    </row>
  </sheetData>
  <phoneticPr fontId="23" type="noConversion"/>
  <pageMargins left="0.7" right="0.7" top="0.75" bottom="0.75" header="0.3" footer="0.3"/>
  <pageSetup scale="50" fitToWidth="3" orientation="portrait" cellComments="asDisplayed" r:id="rId1"/>
  <headerFooter alignWithMargins="0">
    <oddHeader>&amp;CSchedule 1
Base TRR
&amp;RTO2024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14" ht="13">
      <c r="A1" s="303" t="s">
        <v>2860</v>
      </c>
      <c r="B1" s="303"/>
      <c r="C1" s="304"/>
      <c r="D1" s="304"/>
      <c r="G1" s="304"/>
      <c r="H1" s="304"/>
      <c r="I1" s="304"/>
      <c r="J1" s="304"/>
      <c r="K1" s="304"/>
      <c r="L1" s="304"/>
      <c r="M1" s="304"/>
    </row>
    <row r="2" spans="1:14" ht="13">
      <c r="C2" s="39" t="s">
        <v>195</v>
      </c>
      <c r="E2" s="254" t="s">
        <v>2861</v>
      </c>
      <c r="F2" s="54"/>
      <c r="G2" s="54"/>
    </row>
    <row r="3" spans="1:14" ht="13">
      <c r="A3" s="305" t="s">
        <v>273</v>
      </c>
      <c r="B3" s="305"/>
      <c r="C3" s="304"/>
      <c r="D3" s="304"/>
      <c r="E3" s="304"/>
      <c r="F3" s="304"/>
      <c r="G3" s="304"/>
      <c r="H3" s="304"/>
      <c r="I3" s="304"/>
      <c r="J3" s="304"/>
      <c r="K3" s="304"/>
      <c r="L3" s="304"/>
      <c r="M3" s="304"/>
    </row>
    <row r="4" spans="1:14" ht="13">
      <c r="A4" s="306">
        <v>1</v>
      </c>
      <c r="B4" s="306"/>
      <c r="C4" s="304"/>
      <c r="D4" s="304"/>
      <c r="E4" s="304"/>
      <c r="F4" s="304"/>
      <c r="G4" s="304"/>
      <c r="H4" s="304"/>
      <c r="I4" s="304"/>
      <c r="J4" s="304"/>
      <c r="K4" s="304"/>
      <c r="L4" s="304"/>
      <c r="M4" s="304"/>
    </row>
    <row r="5" spans="1:14" ht="13">
      <c r="A5" s="306">
        <v>2</v>
      </c>
      <c r="B5" s="306"/>
      <c r="C5" s="304"/>
      <c r="D5" s="304"/>
      <c r="E5" s="304"/>
      <c r="F5" s="304"/>
      <c r="G5" s="304"/>
      <c r="H5" s="304"/>
      <c r="I5" s="304"/>
      <c r="J5" s="304"/>
      <c r="K5" s="304"/>
      <c r="L5" s="304"/>
      <c r="M5" s="304"/>
    </row>
    <row r="6" spans="1:14" ht="13">
      <c r="A6" s="306">
        <v>3</v>
      </c>
      <c r="B6" s="306"/>
      <c r="C6" s="304"/>
      <c r="D6" s="304"/>
      <c r="E6" s="304"/>
      <c r="F6" s="304"/>
      <c r="G6" s="304"/>
      <c r="H6" s="304"/>
      <c r="I6" s="304"/>
      <c r="J6" s="304"/>
      <c r="K6" s="306" t="s">
        <v>859</v>
      </c>
      <c r="L6" s="304"/>
      <c r="M6" s="304"/>
    </row>
    <row r="7" spans="1:14" ht="13">
      <c r="A7" s="306">
        <v>4</v>
      </c>
      <c r="B7" s="306"/>
      <c r="C7" s="304"/>
      <c r="D7" s="304"/>
      <c r="E7" s="384" t="s">
        <v>251</v>
      </c>
      <c r="F7" s="306"/>
      <c r="G7" s="304"/>
      <c r="H7" s="304"/>
      <c r="I7" s="304"/>
      <c r="J7" s="304"/>
      <c r="K7" s="384" t="s">
        <v>79</v>
      </c>
      <c r="L7" s="304"/>
      <c r="M7" s="308"/>
    </row>
    <row r="8" spans="1:14" ht="13">
      <c r="A8" s="306">
        <v>5</v>
      </c>
      <c r="B8" s="306"/>
      <c r="C8" s="304"/>
      <c r="D8" s="304"/>
      <c r="E8" s="304"/>
      <c r="F8" s="304"/>
      <c r="G8" s="304"/>
      <c r="H8" s="304"/>
      <c r="I8" s="304"/>
      <c r="J8" s="304"/>
      <c r="K8" s="309"/>
      <c r="L8" s="304"/>
      <c r="M8" s="304"/>
    </row>
    <row r="9" spans="1:14" ht="13">
      <c r="A9" s="306">
        <v>6</v>
      </c>
      <c r="B9" s="306"/>
      <c r="C9" s="303" t="s">
        <v>2862</v>
      </c>
      <c r="D9" s="304"/>
      <c r="E9" s="304" t="s">
        <v>2863</v>
      </c>
      <c r="F9" s="304"/>
      <c r="G9" s="304"/>
      <c r="H9" s="304"/>
      <c r="I9" s="304"/>
      <c r="J9" s="304"/>
      <c r="K9" s="309">
        <f>I20</f>
        <v>-71842009.477484107</v>
      </c>
      <c r="L9" s="304"/>
      <c r="M9" s="304"/>
      <c r="N9" s="385"/>
    </row>
    <row r="10" spans="1:14" ht="13.5" thickBot="1">
      <c r="A10" s="306">
        <v>7</v>
      </c>
      <c r="B10" s="306"/>
      <c r="C10" s="303" t="s">
        <v>2864</v>
      </c>
      <c r="D10" s="305"/>
      <c r="E10" s="304" t="s">
        <v>2865</v>
      </c>
      <c r="F10" s="304"/>
      <c r="G10" s="304"/>
      <c r="H10" s="304"/>
      <c r="I10" s="304"/>
      <c r="J10" s="304"/>
      <c r="K10" s="386">
        <f>+K20</f>
        <v>-89403362.556410819</v>
      </c>
      <c r="L10" s="304"/>
      <c r="M10" s="304"/>
    </row>
    <row r="11" spans="1:14" ht="13.5" thickTop="1">
      <c r="A11" s="306">
        <v>8</v>
      </c>
      <c r="B11" s="306"/>
      <c r="C11" s="304"/>
      <c r="D11" s="304"/>
      <c r="E11" s="304"/>
      <c r="F11" s="304"/>
      <c r="G11" s="304"/>
      <c r="H11" s="304"/>
      <c r="I11" s="304"/>
      <c r="J11" s="304"/>
      <c r="K11" s="309"/>
      <c r="L11" s="304"/>
      <c r="M11" s="304"/>
    </row>
    <row r="12" spans="1:14" ht="13">
      <c r="A12" s="306">
        <v>9</v>
      </c>
      <c r="B12" s="306"/>
      <c r="C12" s="304"/>
      <c r="D12" s="304"/>
      <c r="E12" s="304"/>
      <c r="F12" s="304"/>
      <c r="G12" s="387" t="s">
        <v>336</v>
      </c>
      <c r="H12" s="387"/>
      <c r="I12" s="387" t="s">
        <v>337</v>
      </c>
      <c r="J12" s="387"/>
      <c r="K12" s="387" t="s">
        <v>338</v>
      </c>
      <c r="L12" s="304"/>
      <c r="M12" s="304"/>
    </row>
    <row r="13" spans="1:14" ht="13">
      <c r="A13" s="306">
        <v>10</v>
      </c>
      <c r="B13" s="306"/>
      <c r="C13" s="304"/>
      <c r="D13" s="304"/>
      <c r="E13" s="304"/>
      <c r="F13" s="304"/>
      <c r="G13" s="306" t="s">
        <v>859</v>
      </c>
      <c r="H13" s="306"/>
      <c r="I13" s="306" t="s">
        <v>859</v>
      </c>
      <c r="J13" s="306"/>
      <c r="K13" s="306" t="s">
        <v>859</v>
      </c>
      <c r="L13" s="304"/>
      <c r="M13" s="304"/>
    </row>
    <row r="14" spans="1:14" ht="14.5">
      <c r="A14" s="306">
        <v>11</v>
      </c>
      <c r="B14" s="306"/>
      <c r="C14" s="306"/>
      <c r="D14" s="306"/>
      <c r="E14" s="306"/>
      <c r="F14" s="306"/>
      <c r="G14" s="306" t="s">
        <v>796</v>
      </c>
      <c r="H14" s="306"/>
      <c r="I14" s="306" t="s">
        <v>1092</v>
      </c>
      <c r="J14" s="306"/>
      <c r="K14" s="388" t="s">
        <v>798</v>
      </c>
      <c r="L14" s="304"/>
      <c r="M14" s="304"/>
    </row>
    <row r="15" spans="1:14" ht="13">
      <c r="A15" s="306">
        <v>12</v>
      </c>
      <c r="B15" s="306"/>
      <c r="C15" s="306" t="s">
        <v>2341</v>
      </c>
      <c r="D15" s="306"/>
      <c r="E15" s="306"/>
      <c r="F15" s="306"/>
      <c r="G15" s="306" t="s">
        <v>2866</v>
      </c>
      <c r="H15" s="306"/>
      <c r="I15" s="306" t="s">
        <v>2866</v>
      </c>
      <c r="J15" s="306"/>
      <c r="K15" s="306" t="s">
        <v>2866</v>
      </c>
      <c r="L15" s="304"/>
      <c r="M15" s="304"/>
    </row>
    <row r="16" spans="1:14" ht="13">
      <c r="A16" s="306">
        <v>13</v>
      </c>
      <c r="B16" s="306"/>
      <c r="C16" s="307" t="s">
        <v>72</v>
      </c>
      <c r="D16" s="307"/>
      <c r="E16" s="307"/>
      <c r="F16" s="307"/>
      <c r="G16" s="384" t="s">
        <v>2867</v>
      </c>
      <c r="H16" s="306"/>
      <c r="I16" s="384" t="s">
        <v>2867</v>
      </c>
      <c r="J16" s="306"/>
      <c r="K16" s="384" t="s">
        <v>2867</v>
      </c>
      <c r="L16" s="304"/>
      <c r="M16" s="304"/>
    </row>
    <row r="17" spans="1:14" ht="13">
      <c r="A17" s="306">
        <v>14</v>
      </c>
      <c r="B17" s="306"/>
      <c r="C17" s="304" t="s">
        <v>2868</v>
      </c>
      <c r="D17" s="304"/>
      <c r="E17" s="247" t="s">
        <v>2869</v>
      </c>
      <c r="F17" s="247"/>
      <c r="G17" s="309">
        <f>+G27</f>
        <v>-100087604.89876574</v>
      </c>
      <c r="H17" s="309"/>
      <c r="I17" s="309">
        <f>+I27</f>
        <v>-66229483.933469951</v>
      </c>
      <c r="J17" s="309"/>
      <c r="K17" s="309">
        <f>(+G17+I17)/2</f>
        <v>-83158544.416117847</v>
      </c>
      <c r="L17" s="304"/>
      <c r="M17" s="304"/>
      <c r="N17" s="304"/>
    </row>
    <row r="18" spans="1:14" ht="13">
      <c r="A18" s="306">
        <v>15</v>
      </c>
      <c r="B18" s="306"/>
      <c r="C18" s="304" t="s">
        <v>2870</v>
      </c>
      <c r="D18" s="304"/>
      <c r="E18" s="304" t="s">
        <v>2871</v>
      </c>
      <c r="F18" s="304"/>
      <c r="G18" s="309">
        <f>+G32</f>
        <v>-6361021.6458191387</v>
      </c>
      <c r="H18" s="309"/>
      <c r="I18" s="309">
        <f>+I32</f>
        <v>-5086741.966385128</v>
      </c>
      <c r="J18" s="309"/>
      <c r="K18" s="309">
        <f>(+G18+I18)/2</f>
        <v>-5723881.8061021334</v>
      </c>
      <c r="L18" s="304"/>
      <c r="M18" s="304"/>
      <c r="N18" s="304"/>
    </row>
    <row r="19" spans="1:14" ht="13">
      <c r="A19" s="306">
        <v>16</v>
      </c>
      <c r="B19" s="306"/>
      <c r="C19" s="304" t="s">
        <v>2872</v>
      </c>
      <c r="D19" s="304"/>
      <c r="E19" s="304" t="s">
        <v>2873</v>
      </c>
      <c r="F19" s="304"/>
      <c r="G19" s="1034">
        <f>+G39</f>
        <v>-516089.09075266367</v>
      </c>
      <c r="H19" s="1035"/>
      <c r="I19" s="1034">
        <f>+I39</f>
        <v>-525783.57762902917</v>
      </c>
      <c r="J19" s="389"/>
      <c r="K19" s="309">
        <f>(+G19+I19)/2</f>
        <v>-520936.33419084642</v>
      </c>
      <c r="L19" s="304"/>
      <c r="M19" s="304"/>
    </row>
    <row r="20" spans="1:14" ht="13.5" thickBot="1">
      <c r="A20" s="306">
        <v>17</v>
      </c>
      <c r="B20" s="306"/>
      <c r="C20" s="304" t="s">
        <v>431</v>
      </c>
      <c r="D20" s="304"/>
      <c r="E20" s="304" t="s">
        <v>2874</v>
      </c>
      <c r="F20" s="304"/>
      <c r="G20" s="390">
        <f>+G17+G18+G19</f>
        <v>-106964715.63533755</v>
      </c>
      <c r="H20" s="309"/>
      <c r="I20" s="390">
        <f>+I17+I18+I19</f>
        <v>-71842009.477484107</v>
      </c>
      <c r="J20" s="309"/>
      <c r="K20" s="390">
        <f>+K17+K18+K19</f>
        <v>-89403362.556410819</v>
      </c>
      <c r="L20" s="304"/>
      <c r="M20" s="304"/>
      <c r="N20" s="247" t="s">
        <v>129</v>
      </c>
    </row>
    <row r="21" spans="1:14" ht="13.5" thickTop="1">
      <c r="A21" s="306">
        <v>18</v>
      </c>
      <c r="B21" s="306"/>
      <c r="C21" s="304"/>
      <c r="D21" s="304"/>
      <c r="E21" s="304"/>
      <c r="F21" s="304"/>
      <c r="G21" s="304"/>
      <c r="H21" s="304"/>
      <c r="I21" s="304"/>
      <c r="J21" s="304"/>
      <c r="K21" s="304"/>
      <c r="L21" s="304"/>
      <c r="M21" s="304"/>
    </row>
    <row r="22" spans="1:14" ht="13">
      <c r="A22" s="306">
        <v>19</v>
      </c>
      <c r="B22" s="306"/>
      <c r="C22" s="305" t="s">
        <v>2875</v>
      </c>
      <c r="D22" s="305"/>
      <c r="E22" s="305"/>
      <c r="F22" s="305"/>
      <c r="G22" s="304"/>
      <c r="H22" s="304"/>
      <c r="I22" s="304"/>
      <c r="J22" s="304"/>
      <c r="K22" s="304"/>
      <c r="L22" s="304"/>
      <c r="M22" s="304"/>
    </row>
    <row r="23" spans="1:14" ht="13">
      <c r="A23" s="306">
        <v>20</v>
      </c>
      <c r="B23" s="306"/>
      <c r="K23" s="248" t="s">
        <v>798</v>
      </c>
    </row>
    <row r="24" spans="1:14" ht="13">
      <c r="A24" s="306">
        <v>21</v>
      </c>
      <c r="B24" s="306"/>
      <c r="C24" s="305" t="s">
        <v>1597</v>
      </c>
      <c r="D24" s="305"/>
      <c r="E24" s="305"/>
      <c r="F24" s="305"/>
      <c r="G24" s="205" t="s">
        <v>796</v>
      </c>
      <c r="H24" s="37"/>
      <c r="I24" s="205" t="s">
        <v>1092</v>
      </c>
      <c r="J24" s="37"/>
      <c r="K24" s="391" t="s">
        <v>2876</v>
      </c>
      <c r="M24" s="259" t="s">
        <v>129</v>
      </c>
    </row>
    <row r="25" spans="1:14" ht="13">
      <c r="A25" s="306">
        <v>22</v>
      </c>
      <c r="B25" s="306"/>
      <c r="C25" s="247" t="s">
        <v>2877</v>
      </c>
      <c r="E25" s="304" t="s">
        <v>2878</v>
      </c>
      <c r="F25" s="304"/>
      <c r="G25" s="1056">
        <v>-1672516782</v>
      </c>
      <c r="H25" s="392"/>
      <c r="I25" s="1056">
        <v>-1106729684</v>
      </c>
      <c r="J25" s="393"/>
      <c r="M25" s="198"/>
      <c r="N25" s="319"/>
    </row>
    <row r="26" spans="1:14" ht="13">
      <c r="A26" s="306">
        <v>23</v>
      </c>
      <c r="B26" s="306"/>
      <c r="C26" t="s">
        <v>2528</v>
      </c>
      <c r="E26" s="394" t="s">
        <v>2879</v>
      </c>
      <c r="F26" s="394"/>
      <c r="G26" s="395">
        <f>'27-Allocators'!G15</f>
        <v>5.9842511582503061E-2</v>
      </c>
      <c r="H26" s="396"/>
      <c r="I26" s="395">
        <f>'27-Allocators'!G15</f>
        <v>5.9842511582503061E-2</v>
      </c>
      <c r="J26" s="396"/>
      <c r="M26" s="385"/>
    </row>
    <row r="27" spans="1:14" ht="13.5" thickBot="1">
      <c r="A27" s="306">
        <v>24</v>
      </c>
      <c r="B27" s="306"/>
      <c r="C27" t="s">
        <v>2880</v>
      </c>
      <c r="E27" s="257" t="s">
        <v>2881</v>
      </c>
      <c r="F27" s="31"/>
      <c r="G27" s="397">
        <f>+G25*G26</f>
        <v>-100087604.89876574</v>
      </c>
      <c r="H27" s="398"/>
      <c r="I27" s="397">
        <f>+I25*I26</f>
        <v>-66229483.933469951</v>
      </c>
      <c r="J27" s="398"/>
      <c r="K27" s="399">
        <f>(G27+I27)/2</f>
        <v>-83158544.416117847</v>
      </c>
      <c r="M27" s="385"/>
    </row>
    <row r="28" spans="1:14" ht="13.5" thickTop="1">
      <c r="A28" s="306">
        <v>25</v>
      </c>
      <c r="B28" s="306"/>
      <c r="M28" s="385"/>
    </row>
    <row r="29" spans="1:14" ht="13">
      <c r="A29" s="306">
        <v>26</v>
      </c>
      <c r="B29" s="306"/>
      <c r="C29" s="30" t="s">
        <v>2882</v>
      </c>
      <c r="D29" s="30"/>
      <c r="E29" s="30"/>
      <c r="F29" s="30"/>
      <c r="M29" s="400" t="s">
        <v>129</v>
      </c>
    </row>
    <row r="30" spans="1:14" ht="13">
      <c r="A30" s="306">
        <v>27</v>
      </c>
      <c r="B30" s="306"/>
      <c r="C30" s="247" t="s">
        <v>2883</v>
      </c>
      <c r="D30" s="247"/>
      <c r="E30" s="304" t="s">
        <v>2878</v>
      </c>
      <c r="F30" s="304"/>
      <c r="G30" s="1056">
        <v>-106296034</v>
      </c>
      <c r="H30" s="392"/>
      <c r="I30" s="1056">
        <v>-85002147</v>
      </c>
      <c r="J30" s="393"/>
      <c r="M30" s="385"/>
    </row>
    <row r="31" spans="1:14" ht="13">
      <c r="A31" s="306">
        <v>28</v>
      </c>
      <c r="B31" s="306"/>
      <c r="C31" t="s">
        <v>2528</v>
      </c>
      <c r="E31" s="394" t="s">
        <v>2879</v>
      </c>
      <c r="F31" s="394"/>
      <c r="G31" s="395">
        <f>'27-Allocators'!G15</f>
        <v>5.9842511582503061E-2</v>
      </c>
      <c r="H31" s="396"/>
      <c r="I31" s="395">
        <f>'27-Allocators'!G15</f>
        <v>5.9842511582503061E-2</v>
      </c>
      <c r="J31" s="396"/>
      <c r="M31" s="385"/>
    </row>
    <row r="32" spans="1:14" ht="13.5" thickBot="1">
      <c r="A32" s="306">
        <v>29</v>
      </c>
      <c r="B32" s="306"/>
      <c r="C32" t="s">
        <v>2880</v>
      </c>
      <c r="E32" s="257" t="s">
        <v>2884</v>
      </c>
      <c r="F32" s="31"/>
      <c r="G32" s="397">
        <f>+G30*G31</f>
        <v>-6361021.6458191387</v>
      </c>
      <c r="H32" s="398"/>
      <c r="I32" s="397">
        <f>+I30*I31</f>
        <v>-5086741.966385128</v>
      </c>
      <c r="J32" s="398"/>
      <c r="K32" s="399">
        <f>(G32+I32)/2</f>
        <v>-5723881.8061021334</v>
      </c>
      <c r="M32" s="385"/>
    </row>
    <row r="33" spans="1:11" ht="13.5" thickTop="1">
      <c r="A33" s="306">
        <f t="shared" ref="A33:A39" si="0">1+A32</f>
        <v>30</v>
      </c>
    </row>
    <row r="34" spans="1:11" ht="13">
      <c r="A34" s="306">
        <f t="shared" si="0"/>
        <v>31</v>
      </c>
      <c r="C34" s="30" t="s">
        <v>2885</v>
      </c>
    </row>
    <row r="35" spans="1:11" ht="13">
      <c r="A35" s="306">
        <f t="shared" si="0"/>
        <v>32</v>
      </c>
      <c r="C35" s="247" t="s">
        <v>2885</v>
      </c>
      <c r="E35" s="304" t="s">
        <v>2878</v>
      </c>
      <c r="F35" s="304"/>
      <c r="G35" s="1056">
        <v>-17248243</v>
      </c>
      <c r="H35" s="392"/>
      <c r="I35" s="1056">
        <v>-17572243</v>
      </c>
      <c r="J35" s="393"/>
    </row>
    <row r="36" spans="1:11" ht="13">
      <c r="A36" s="306">
        <f t="shared" si="0"/>
        <v>33</v>
      </c>
      <c r="C36" s="247" t="s">
        <v>2886</v>
      </c>
      <c r="E36" s="673" t="s">
        <v>2887</v>
      </c>
      <c r="G36" s="402">
        <v>0.5</v>
      </c>
      <c r="I36" s="402">
        <v>0.5</v>
      </c>
    </row>
    <row r="37" spans="1:11" ht="13">
      <c r="A37" s="306">
        <f t="shared" si="0"/>
        <v>34</v>
      </c>
      <c r="C37" s="247" t="s">
        <v>2888</v>
      </c>
      <c r="E37" s="247" t="s">
        <v>2889</v>
      </c>
      <c r="G37" s="6">
        <f>+G35*G36</f>
        <v>-8624121.5</v>
      </c>
      <c r="H37" s="6"/>
      <c r="I37" s="6">
        <f>+I35*I36</f>
        <v>-8786121.5</v>
      </c>
    </row>
    <row r="38" spans="1:11" ht="13">
      <c r="A38" s="306">
        <f t="shared" si="0"/>
        <v>35</v>
      </c>
      <c r="C38" t="s">
        <v>2528</v>
      </c>
      <c r="E38" s="394" t="s">
        <v>2879</v>
      </c>
      <c r="F38" s="394"/>
      <c r="G38" s="395">
        <f>'27-Allocators'!G15</f>
        <v>5.9842511582503061E-2</v>
      </c>
      <c r="H38" s="396"/>
      <c r="I38" s="395">
        <f>'27-Allocators'!G15</f>
        <v>5.9842511582503061E-2</v>
      </c>
      <c r="J38" s="396"/>
    </row>
    <row r="39" spans="1:11" ht="13.5" thickBot="1">
      <c r="A39" s="306">
        <f t="shared" si="0"/>
        <v>36</v>
      </c>
      <c r="C39" t="s">
        <v>2880</v>
      </c>
      <c r="E39" s="257" t="s">
        <v>2890</v>
      </c>
      <c r="F39" s="31"/>
      <c r="G39" s="397">
        <f>+G37*G38</f>
        <v>-516089.09075266367</v>
      </c>
      <c r="H39" s="398"/>
      <c r="I39" s="397">
        <f>+I37*I38</f>
        <v>-525783.57762902917</v>
      </c>
      <c r="J39" s="398"/>
      <c r="K39" s="399">
        <f>(G39+I39)/2</f>
        <v>-520936.33419084642</v>
      </c>
    </row>
    <row r="40" spans="1:11" ht="13" thickTop="1"/>
    <row r="41" spans="1:11" ht="13">
      <c r="C41" s="30" t="s">
        <v>228</v>
      </c>
    </row>
    <row r="42" spans="1:11">
      <c r="C42" s="247" t="s">
        <v>2891</v>
      </c>
      <c r="D42" s="642"/>
    </row>
    <row r="43" spans="1:11">
      <c r="C43" s="246" t="s">
        <v>2892</v>
      </c>
    </row>
    <row r="44" spans="1:11">
      <c r="C44" t="s">
        <v>2893</v>
      </c>
    </row>
    <row r="45" spans="1:11">
      <c r="C45" s="697" t="s">
        <v>2894</v>
      </c>
    </row>
  </sheetData>
  <pageMargins left="0.7" right="0.7" top="0.75" bottom="0.75" header="0.3" footer="0.3"/>
  <pageSetup scale="85" orientation="landscape" cellComments="asDisplayed" r:id="rId1"/>
  <headerFooter>
    <oddHeader>&amp;CSchedule 34
Unfunded Reserves
&amp;RTO2024 Annual Update 
Attachment 1</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2"/>
  <sheetViews>
    <sheetView zoomScaleNormal="100" workbookViewId="0"/>
  </sheetViews>
  <sheetFormatPr defaultRowHeight="12.5"/>
  <cols>
    <col min="1" max="1" width="5.7265625" customWidth="1"/>
    <col min="2" max="2" width="4.7265625" customWidth="1"/>
    <col min="3" max="3" width="55.26953125" customWidth="1"/>
    <col min="4" max="8" width="13.7265625" customWidth="1"/>
    <col min="9" max="9" width="17" customWidth="1"/>
  </cols>
  <sheetData>
    <row r="1" spans="1:11" ht="13">
      <c r="A1" s="1" t="s">
        <v>2256</v>
      </c>
      <c r="B1" s="247"/>
      <c r="C1" s="247"/>
      <c r="D1" s="247"/>
      <c r="E1" s="247"/>
      <c r="F1" s="247"/>
      <c r="G1" s="247"/>
    </row>
    <row r="2" spans="1:11" ht="13">
      <c r="A2" s="247"/>
      <c r="B2" s="1"/>
      <c r="C2" s="39" t="s">
        <v>195</v>
      </c>
      <c r="D2" s="254"/>
      <c r="E2" s="254"/>
      <c r="F2" s="254"/>
      <c r="G2" s="247"/>
    </row>
    <row r="3" spans="1:11">
      <c r="A3" s="247"/>
      <c r="B3" s="247"/>
      <c r="C3" s="247"/>
      <c r="D3" s="247"/>
      <c r="E3" s="247"/>
      <c r="F3" s="247"/>
      <c r="G3" s="247"/>
    </row>
    <row r="4" spans="1:11" ht="13">
      <c r="A4" s="3" t="s">
        <v>273</v>
      </c>
      <c r="B4" s="247"/>
      <c r="C4" s="247"/>
      <c r="D4" s="254" t="s">
        <v>96</v>
      </c>
      <c r="E4" s="254"/>
      <c r="F4" s="254"/>
      <c r="G4" s="247"/>
    </row>
    <row r="5" spans="1:11" ht="13">
      <c r="A5" s="2">
        <v>1</v>
      </c>
      <c r="B5" s="586" t="s">
        <v>2257</v>
      </c>
      <c r="C5" s="247"/>
      <c r="D5" s="247"/>
      <c r="E5" s="327"/>
      <c r="F5" s="247"/>
      <c r="G5" s="319"/>
      <c r="H5" s="319"/>
      <c r="I5" s="918"/>
    </row>
    <row r="6" spans="1:11" ht="13">
      <c r="A6" s="2">
        <f>A5+1</f>
        <v>2</v>
      </c>
      <c r="B6" s="4" t="s">
        <v>2258</v>
      </c>
      <c r="C6" s="1016" t="s">
        <v>2259</v>
      </c>
      <c r="D6" s="330"/>
      <c r="E6" s="330"/>
      <c r="F6" s="331"/>
      <c r="G6" s="247"/>
    </row>
    <row r="7" spans="1:11" ht="13">
      <c r="A7" s="2">
        <f t="shared" ref="A7:A70" si="0">A6+1</f>
        <v>3</v>
      </c>
      <c r="B7" s="4" t="s">
        <v>2931</v>
      </c>
      <c r="C7" s="330"/>
      <c r="D7" s="330"/>
      <c r="E7" s="330"/>
      <c r="F7" s="330"/>
      <c r="G7" s="247"/>
      <c r="J7" s="869"/>
      <c r="K7" s="319"/>
    </row>
    <row r="8" spans="1:11" ht="13">
      <c r="A8" s="2">
        <f t="shared" si="0"/>
        <v>4</v>
      </c>
      <c r="B8" s="4" t="s">
        <v>2932</v>
      </c>
      <c r="C8" s="330"/>
      <c r="D8" s="330"/>
      <c r="E8" s="330"/>
      <c r="F8" s="330"/>
      <c r="G8" s="247"/>
      <c r="J8" s="869"/>
      <c r="K8" s="319"/>
    </row>
    <row r="9" spans="1:11" ht="13">
      <c r="A9" s="2"/>
      <c r="B9" s="4"/>
      <c r="C9" s="4"/>
      <c r="D9" s="4"/>
      <c r="E9" s="4"/>
      <c r="F9" s="4"/>
      <c r="G9" s="247"/>
      <c r="J9" s="869"/>
      <c r="K9" s="319"/>
    </row>
    <row r="10" spans="1:11" ht="13">
      <c r="A10" s="2"/>
      <c r="B10" s="247"/>
      <c r="C10" s="4"/>
      <c r="D10" s="4"/>
      <c r="E10" s="4"/>
      <c r="F10" s="4"/>
      <c r="G10" s="247"/>
      <c r="J10" s="869"/>
      <c r="K10" s="319"/>
    </row>
    <row r="11" spans="1:11" ht="13">
      <c r="A11" s="2"/>
      <c r="B11" s="47" t="s">
        <v>2260</v>
      </c>
      <c r="C11" s="247"/>
      <c r="D11" s="247"/>
      <c r="E11" s="247"/>
      <c r="F11" s="247"/>
      <c r="G11" s="247"/>
      <c r="H11" s="870"/>
      <c r="I11" s="919"/>
      <c r="J11" s="869"/>
      <c r="K11" s="319"/>
    </row>
    <row r="12" spans="1:11" ht="13">
      <c r="A12" s="2"/>
      <c r="B12" s="47"/>
      <c r="C12" s="247"/>
      <c r="D12" s="247"/>
      <c r="E12" s="247"/>
      <c r="F12" s="247"/>
      <c r="G12" s="247"/>
      <c r="H12" s="870"/>
      <c r="I12" s="919"/>
      <c r="J12" s="869"/>
      <c r="K12" s="319"/>
    </row>
    <row r="13" spans="1:11" ht="13">
      <c r="A13" s="2"/>
      <c r="B13" s="247"/>
      <c r="C13" s="319"/>
      <c r="D13" s="48" t="s">
        <v>336</v>
      </c>
      <c r="E13" s="48" t="s">
        <v>337</v>
      </c>
      <c r="F13" s="48" t="s">
        <v>338</v>
      </c>
      <c r="G13" s="48" t="s">
        <v>339</v>
      </c>
      <c r="H13" s="870"/>
      <c r="I13" s="919"/>
      <c r="J13" s="869"/>
      <c r="K13" s="319"/>
    </row>
    <row r="14" spans="1:11" ht="13">
      <c r="A14" s="247"/>
      <c r="B14" s="247"/>
      <c r="C14" s="319"/>
      <c r="D14" s="326" t="s">
        <v>2261</v>
      </c>
      <c r="E14" s="326" t="s">
        <v>2262</v>
      </c>
      <c r="F14" s="326" t="s">
        <v>2263</v>
      </c>
      <c r="G14" s="326" t="s">
        <v>2264</v>
      </c>
      <c r="H14" s="869"/>
      <c r="I14" s="868"/>
      <c r="J14" s="319"/>
      <c r="K14" s="319"/>
    </row>
    <row r="15" spans="1:11" ht="13">
      <c r="A15" s="2"/>
      <c r="B15" s="247"/>
      <c r="C15" s="319"/>
      <c r="D15" s="326" t="s">
        <v>859</v>
      </c>
      <c r="E15" s="326" t="s">
        <v>859</v>
      </c>
      <c r="F15" s="326" t="s">
        <v>859</v>
      </c>
      <c r="G15" s="326" t="s">
        <v>859</v>
      </c>
      <c r="H15" s="868"/>
      <c r="I15" s="891"/>
      <c r="J15" s="319"/>
      <c r="K15" s="319"/>
    </row>
    <row r="16" spans="1:11" ht="13">
      <c r="A16" s="3" t="s">
        <v>273</v>
      </c>
      <c r="B16" s="200" t="s">
        <v>2265</v>
      </c>
      <c r="C16" s="247"/>
      <c r="D16" s="344" t="s">
        <v>248</v>
      </c>
      <c r="E16" s="344" t="s">
        <v>248</v>
      </c>
      <c r="F16" s="344" t="s">
        <v>248</v>
      </c>
      <c r="G16" s="344" t="s">
        <v>248</v>
      </c>
      <c r="H16" s="869"/>
      <c r="I16" s="868"/>
      <c r="J16" s="319"/>
      <c r="K16" s="319"/>
    </row>
    <row r="17" spans="1:11" ht="13">
      <c r="A17" s="2">
        <f>A8+1</f>
        <v>5</v>
      </c>
      <c r="B17" s="247"/>
      <c r="C17" s="257" t="s">
        <v>1482</v>
      </c>
      <c r="D17" s="331">
        <v>29582.6720314505</v>
      </c>
      <c r="E17" s="330"/>
      <c r="F17" s="330"/>
      <c r="G17" s="360">
        <f>SUM(D17:F17)</f>
        <v>29582.6720314505</v>
      </c>
      <c r="H17" s="869"/>
      <c r="I17" s="322"/>
      <c r="J17" s="319"/>
      <c r="K17" s="319"/>
    </row>
    <row r="18" spans="1:11" ht="13">
      <c r="A18" s="2">
        <f t="shared" si="0"/>
        <v>6</v>
      </c>
      <c r="B18" s="247"/>
      <c r="C18" s="257" t="s">
        <v>1483</v>
      </c>
      <c r="D18" s="267"/>
      <c r="E18" s="254"/>
      <c r="F18" s="254"/>
      <c r="G18" s="360">
        <f t="shared" ref="G18:G47" si="1">SUM(D18:F18)</f>
        <v>0</v>
      </c>
      <c r="I18" s="872"/>
    </row>
    <row r="19" spans="1:11" ht="13">
      <c r="A19" s="2">
        <f t="shared" si="0"/>
        <v>7</v>
      </c>
      <c r="B19" s="247"/>
      <c r="C19" s="257" t="s">
        <v>1484</v>
      </c>
      <c r="D19" s="267">
        <v>44876.241793629226</v>
      </c>
      <c r="E19" s="254"/>
      <c r="F19" s="254"/>
      <c r="G19" s="360">
        <f t="shared" si="1"/>
        <v>44876.241793629226</v>
      </c>
      <c r="I19" s="872"/>
    </row>
    <row r="20" spans="1:11" ht="13">
      <c r="A20" s="2">
        <f t="shared" si="0"/>
        <v>8</v>
      </c>
      <c r="B20" s="247"/>
      <c r="C20" s="257" t="s">
        <v>1485</v>
      </c>
      <c r="D20" s="267"/>
      <c r="E20" s="254"/>
      <c r="F20" s="254"/>
      <c r="G20" s="360">
        <f t="shared" si="1"/>
        <v>0</v>
      </c>
      <c r="I20" s="872"/>
    </row>
    <row r="21" spans="1:11" ht="13">
      <c r="A21" s="2">
        <f t="shared" si="0"/>
        <v>9</v>
      </c>
      <c r="B21" s="247"/>
      <c r="C21" s="257" t="s">
        <v>1487</v>
      </c>
      <c r="D21" s="267">
        <v>41943.197887860879</v>
      </c>
      <c r="E21" s="254"/>
      <c r="F21" s="254"/>
      <c r="G21" s="360">
        <f t="shared" si="1"/>
        <v>41943.197887860879</v>
      </c>
      <c r="I21" s="872"/>
    </row>
    <row r="22" spans="1:11" ht="13">
      <c r="A22" s="2">
        <f t="shared" si="0"/>
        <v>10</v>
      </c>
      <c r="B22" s="247"/>
      <c r="C22" s="257" t="s">
        <v>1488</v>
      </c>
      <c r="D22" s="267"/>
      <c r="E22" s="254"/>
      <c r="F22" s="254"/>
      <c r="G22" s="360">
        <f t="shared" si="1"/>
        <v>0</v>
      </c>
      <c r="I22" s="872"/>
    </row>
    <row r="23" spans="1:11" ht="13">
      <c r="A23" s="2">
        <f t="shared" si="0"/>
        <v>11</v>
      </c>
      <c r="B23" s="247"/>
      <c r="C23" s="257" t="s">
        <v>1489</v>
      </c>
      <c r="D23" s="267"/>
      <c r="E23" s="254"/>
      <c r="F23" s="254"/>
      <c r="G23" s="360">
        <f t="shared" si="1"/>
        <v>0</v>
      </c>
      <c r="I23" s="872"/>
    </row>
    <row r="24" spans="1:11" ht="13">
      <c r="A24" s="2">
        <f t="shared" si="0"/>
        <v>12</v>
      </c>
      <c r="B24" s="247"/>
      <c r="C24" s="257" t="s">
        <v>1491</v>
      </c>
      <c r="D24" s="267"/>
      <c r="E24" s="254"/>
      <c r="F24" s="254"/>
      <c r="G24" s="360">
        <f t="shared" si="1"/>
        <v>0</v>
      </c>
      <c r="I24" s="872"/>
    </row>
    <row r="25" spans="1:11" ht="13">
      <c r="A25" s="2">
        <f t="shared" si="0"/>
        <v>13</v>
      </c>
      <c r="B25" s="247"/>
      <c r="C25" s="257" t="s">
        <v>1492</v>
      </c>
      <c r="D25" s="267">
        <v>367808.32999051292</v>
      </c>
      <c r="E25" s="254"/>
      <c r="F25" s="254"/>
      <c r="G25" s="360">
        <f t="shared" si="1"/>
        <v>367808.32999051292</v>
      </c>
      <c r="I25" s="872"/>
    </row>
    <row r="26" spans="1:11" ht="13">
      <c r="A26" s="2">
        <f t="shared" si="0"/>
        <v>14</v>
      </c>
      <c r="B26" s="247"/>
      <c r="C26" s="257" t="s">
        <v>1493</v>
      </c>
      <c r="D26" s="267"/>
      <c r="E26" s="254"/>
      <c r="F26" s="254"/>
      <c r="G26" s="360">
        <f t="shared" si="1"/>
        <v>0</v>
      </c>
      <c r="I26" s="872"/>
    </row>
    <row r="27" spans="1:11" ht="13">
      <c r="A27" s="2">
        <f t="shared" si="0"/>
        <v>15</v>
      </c>
      <c r="B27" s="247"/>
      <c r="C27" s="257" t="s">
        <v>1494</v>
      </c>
      <c r="D27" s="267"/>
      <c r="E27" s="254"/>
      <c r="F27" s="254"/>
      <c r="G27" s="360">
        <f t="shared" si="1"/>
        <v>0</v>
      </c>
      <c r="I27" s="872"/>
    </row>
    <row r="28" spans="1:11" ht="13">
      <c r="A28" s="2">
        <f t="shared" si="0"/>
        <v>16</v>
      </c>
      <c r="B28" s="247"/>
      <c r="C28" s="257" t="s">
        <v>1495</v>
      </c>
      <c r="D28" s="267"/>
      <c r="E28" s="254"/>
      <c r="F28" s="254"/>
      <c r="G28" s="360">
        <f t="shared" si="1"/>
        <v>0</v>
      </c>
      <c r="I28" s="872"/>
    </row>
    <row r="29" spans="1:11" ht="13">
      <c r="A29" s="2">
        <f t="shared" si="0"/>
        <v>17</v>
      </c>
      <c r="B29" s="247"/>
      <c r="C29" s="257" t="s">
        <v>1497</v>
      </c>
      <c r="D29" s="267"/>
      <c r="E29" s="254"/>
      <c r="F29" s="254"/>
      <c r="G29" s="360">
        <f t="shared" si="1"/>
        <v>0</v>
      </c>
      <c r="I29" s="872"/>
    </row>
    <row r="30" spans="1:11" ht="13">
      <c r="A30" s="2">
        <f t="shared" si="0"/>
        <v>18</v>
      </c>
      <c r="B30" s="247"/>
      <c r="C30" s="257" t="s">
        <v>1498</v>
      </c>
      <c r="D30" s="267">
        <v>175699.35972980576</v>
      </c>
      <c r="E30" s="254"/>
      <c r="F30" s="254"/>
      <c r="G30" s="360">
        <f t="shared" si="1"/>
        <v>175699.35972980576</v>
      </c>
      <c r="I30" s="872"/>
    </row>
    <row r="31" spans="1:11" ht="13">
      <c r="A31" s="2">
        <f t="shared" si="0"/>
        <v>19</v>
      </c>
      <c r="B31" s="247"/>
      <c r="C31" s="257" t="s">
        <v>1500</v>
      </c>
      <c r="D31" s="267"/>
      <c r="E31" s="254"/>
      <c r="F31" s="254"/>
      <c r="G31" s="360">
        <f t="shared" si="1"/>
        <v>0</v>
      </c>
      <c r="I31" s="872"/>
    </row>
    <row r="32" spans="1:11" ht="13">
      <c r="A32" s="2">
        <f t="shared" si="0"/>
        <v>20</v>
      </c>
      <c r="B32" s="247"/>
      <c r="C32" s="257" t="s">
        <v>1502</v>
      </c>
      <c r="D32" s="267"/>
      <c r="E32" s="254"/>
      <c r="F32" s="254"/>
      <c r="G32" s="360">
        <f t="shared" si="1"/>
        <v>0</v>
      </c>
      <c r="I32" s="872"/>
    </row>
    <row r="33" spans="1:9" ht="13">
      <c r="A33" s="2">
        <f t="shared" si="0"/>
        <v>21</v>
      </c>
      <c r="B33" s="247"/>
      <c r="C33" s="257" t="s">
        <v>1503</v>
      </c>
      <c r="D33" s="267">
        <v>1460615.5451225876</v>
      </c>
      <c r="E33" s="254"/>
      <c r="F33" s="254"/>
      <c r="G33" s="360">
        <f t="shared" si="1"/>
        <v>1460615.5451225876</v>
      </c>
      <c r="I33" s="872"/>
    </row>
    <row r="34" spans="1:9" ht="13">
      <c r="A34" s="2">
        <f t="shared" si="0"/>
        <v>22</v>
      </c>
      <c r="B34" s="247"/>
      <c r="C34" s="257" t="s">
        <v>1504</v>
      </c>
      <c r="D34" s="267"/>
      <c r="E34" s="254"/>
      <c r="F34" s="254"/>
      <c r="G34" s="360">
        <f t="shared" si="1"/>
        <v>0</v>
      </c>
      <c r="I34" s="872"/>
    </row>
    <row r="35" spans="1:9" ht="13">
      <c r="A35" s="2">
        <f t="shared" si="0"/>
        <v>23</v>
      </c>
      <c r="B35" s="247"/>
      <c r="C35" s="257" t="s">
        <v>1505</v>
      </c>
      <c r="D35" s="267"/>
      <c r="E35" s="254"/>
      <c r="F35" s="254"/>
      <c r="G35" s="360">
        <f t="shared" si="1"/>
        <v>0</v>
      </c>
      <c r="I35" s="872"/>
    </row>
    <row r="36" spans="1:9" ht="13">
      <c r="A36" s="2">
        <f t="shared" si="0"/>
        <v>24</v>
      </c>
      <c r="B36" s="247"/>
      <c r="C36" s="257" t="s">
        <v>1506</v>
      </c>
      <c r="D36" s="267">
        <v>6115.946277135281</v>
      </c>
      <c r="E36" s="254"/>
      <c r="F36" s="254"/>
      <c r="G36" s="360">
        <f t="shared" si="1"/>
        <v>6115.946277135281</v>
      </c>
      <c r="I36" s="872"/>
    </row>
    <row r="37" spans="1:9" ht="13">
      <c r="A37" s="2">
        <f t="shared" si="0"/>
        <v>25</v>
      </c>
      <c r="B37" s="247"/>
      <c r="C37" s="257" t="s">
        <v>1507</v>
      </c>
      <c r="D37" s="267"/>
      <c r="E37" s="254"/>
      <c r="F37" s="254"/>
      <c r="G37" s="360">
        <f t="shared" si="1"/>
        <v>0</v>
      </c>
      <c r="I37" s="872"/>
    </row>
    <row r="38" spans="1:9" ht="13">
      <c r="A38" s="2">
        <f t="shared" si="0"/>
        <v>26</v>
      </c>
      <c r="B38" s="247"/>
      <c r="C38" s="257" t="s">
        <v>1508</v>
      </c>
      <c r="D38" s="267"/>
      <c r="E38" s="254"/>
      <c r="F38" s="254"/>
      <c r="G38" s="360">
        <f t="shared" si="1"/>
        <v>0</v>
      </c>
      <c r="I38" s="872"/>
    </row>
    <row r="39" spans="1:9" ht="13">
      <c r="A39" s="2">
        <f t="shared" si="0"/>
        <v>27</v>
      </c>
      <c r="B39" s="247"/>
      <c r="C39" s="257" t="s">
        <v>1510</v>
      </c>
      <c r="D39" s="267"/>
      <c r="E39" s="254"/>
      <c r="F39" s="254"/>
      <c r="G39" s="360">
        <f t="shared" si="1"/>
        <v>0</v>
      </c>
      <c r="I39" s="872"/>
    </row>
    <row r="40" spans="1:9" ht="13">
      <c r="A40" s="2">
        <f t="shared" si="0"/>
        <v>28</v>
      </c>
      <c r="B40" s="247"/>
      <c r="C40" s="257" t="s">
        <v>1511</v>
      </c>
      <c r="D40" s="267"/>
      <c r="E40" s="254"/>
      <c r="F40" s="254"/>
      <c r="G40" s="360">
        <f t="shared" si="1"/>
        <v>0</v>
      </c>
      <c r="I40" s="872"/>
    </row>
    <row r="41" spans="1:9" ht="13">
      <c r="A41" s="2">
        <f t="shared" si="0"/>
        <v>29</v>
      </c>
      <c r="B41" s="247"/>
      <c r="C41" s="257" t="s">
        <v>1512</v>
      </c>
      <c r="D41" s="267"/>
      <c r="E41" s="254"/>
      <c r="F41" s="254"/>
      <c r="G41" s="360">
        <f t="shared" si="1"/>
        <v>0</v>
      </c>
      <c r="I41" s="872"/>
    </row>
    <row r="42" spans="1:9" ht="13">
      <c r="A42" s="2">
        <f t="shared" si="0"/>
        <v>30</v>
      </c>
      <c r="B42" s="247"/>
      <c r="C42" s="257" t="s">
        <v>1513</v>
      </c>
      <c r="D42" s="267">
        <v>781859.91864650359</v>
      </c>
      <c r="E42" s="254"/>
      <c r="F42" s="254"/>
      <c r="G42" s="360">
        <f t="shared" si="1"/>
        <v>781859.91864650359</v>
      </c>
      <c r="I42" s="872"/>
    </row>
    <row r="43" spans="1:9" ht="13">
      <c r="A43" s="2">
        <f t="shared" si="0"/>
        <v>31</v>
      </c>
      <c r="B43" s="247"/>
      <c r="C43" s="257" t="s">
        <v>1514</v>
      </c>
      <c r="D43" s="267"/>
      <c r="E43" s="254"/>
      <c r="F43" s="254"/>
      <c r="G43" s="360">
        <f t="shared" si="1"/>
        <v>0</v>
      </c>
      <c r="I43" s="872"/>
    </row>
    <row r="44" spans="1:9" ht="13">
      <c r="A44" s="2">
        <f t="shared" si="0"/>
        <v>32</v>
      </c>
      <c r="B44" s="247"/>
      <c r="C44" s="257" t="s">
        <v>1515</v>
      </c>
      <c r="D44" s="267"/>
      <c r="E44" s="254"/>
      <c r="F44" s="254"/>
      <c r="G44" s="360">
        <f t="shared" si="1"/>
        <v>0</v>
      </c>
      <c r="I44" s="872"/>
    </row>
    <row r="45" spans="1:9" ht="13">
      <c r="A45" s="2">
        <f t="shared" si="0"/>
        <v>33</v>
      </c>
      <c r="B45" s="247"/>
      <c r="C45" s="257" t="s">
        <v>1516</v>
      </c>
      <c r="D45" s="267"/>
      <c r="E45" s="254"/>
      <c r="F45" s="254"/>
      <c r="G45" s="360">
        <f t="shared" si="1"/>
        <v>0</v>
      </c>
      <c r="I45" s="872"/>
    </row>
    <row r="46" spans="1:9" ht="13">
      <c r="A46" s="2">
        <f t="shared" si="0"/>
        <v>34</v>
      </c>
      <c r="B46" s="247"/>
      <c r="C46" s="257" t="s">
        <v>1517</v>
      </c>
      <c r="D46" s="267">
        <v>5373.0767881799602</v>
      </c>
      <c r="E46" s="254"/>
      <c r="F46" s="254"/>
      <c r="G46" s="360">
        <f t="shared" si="1"/>
        <v>5373.0767881799602</v>
      </c>
      <c r="I46" s="872"/>
    </row>
    <row r="47" spans="1:9" ht="13">
      <c r="A47" s="2">
        <f t="shared" si="0"/>
        <v>35</v>
      </c>
      <c r="B47" s="247"/>
      <c r="C47" s="257" t="s">
        <v>2266</v>
      </c>
      <c r="D47" s="267"/>
      <c r="E47" s="254"/>
      <c r="F47" s="254"/>
      <c r="G47" s="360">
        <f t="shared" si="1"/>
        <v>0</v>
      </c>
      <c r="I47" s="872"/>
    </row>
    <row r="48" spans="1:9" ht="13">
      <c r="A48" s="2">
        <f t="shared" si="0"/>
        <v>36</v>
      </c>
      <c r="B48" s="247"/>
      <c r="C48" s="281" t="s">
        <v>822</v>
      </c>
      <c r="D48" s="1017"/>
      <c r="E48" s="1018"/>
      <c r="F48" s="1018"/>
      <c r="G48" s="1029"/>
      <c r="I48" s="889"/>
    </row>
    <row r="49" spans="1:9" ht="13">
      <c r="A49" s="2">
        <f t="shared" si="0"/>
        <v>37</v>
      </c>
      <c r="B49" s="247"/>
      <c r="C49" s="245" t="s">
        <v>2267</v>
      </c>
      <c r="D49" s="249">
        <f>SUM(D17:D48)</f>
        <v>2913874.2882676655</v>
      </c>
      <c r="E49" s="249">
        <f t="shared" ref="E49:F49" si="2">SUM(E17:E47)</f>
        <v>0</v>
      </c>
      <c r="F49" s="249">
        <f t="shared" si="2"/>
        <v>0</v>
      </c>
      <c r="G49" s="360">
        <f>SUM(D49:F49)</f>
        <v>2913874.2882676655</v>
      </c>
    </row>
    <row r="50" spans="1:9" ht="13">
      <c r="A50" s="2"/>
      <c r="B50" s="247"/>
      <c r="C50" s="245"/>
      <c r="D50" s="249"/>
      <c r="E50" s="247"/>
      <c r="F50" s="247"/>
      <c r="G50" s="247"/>
    </row>
    <row r="51" spans="1:9" ht="13">
      <c r="A51" s="2"/>
      <c r="B51" s="247"/>
      <c r="C51" s="245"/>
      <c r="D51" s="48" t="s">
        <v>336</v>
      </c>
      <c r="E51" s="48" t="s">
        <v>337</v>
      </c>
      <c r="F51" s="48" t="s">
        <v>338</v>
      </c>
      <c r="G51" s="48" t="s">
        <v>339</v>
      </c>
    </row>
    <row r="52" spans="1:9" ht="13">
      <c r="A52" s="2"/>
      <c r="B52" s="247"/>
      <c r="C52" s="247"/>
      <c r="D52" s="326" t="s">
        <v>2261</v>
      </c>
      <c r="E52" s="326" t="s">
        <v>2262</v>
      </c>
      <c r="F52" s="326" t="s">
        <v>2263</v>
      </c>
      <c r="G52" s="326" t="s">
        <v>2264</v>
      </c>
    </row>
    <row r="53" spans="1:9" ht="13">
      <c r="A53" s="2"/>
      <c r="B53" s="247"/>
      <c r="C53" s="247"/>
      <c r="D53" s="326" t="s">
        <v>859</v>
      </c>
      <c r="E53" s="326" t="s">
        <v>859</v>
      </c>
      <c r="F53" s="326" t="s">
        <v>859</v>
      </c>
      <c r="G53" s="326" t="s">
        <v>859</v>
      </c>
    </row>
    <row r="54" spans="1:9" ht="13">
      <c r="A54" s="3" t="s">
        <v>273</v>
      </c>
      <c r="B54" s="200" t="s">
        <v>2268</v>
      </c>
      <c r="C54" s="247"/>
      <c r="D54" s="344" t="s">
        <v>248</v>
      </c>
      <c r="E54" s="344" t="s">
        <v>248</v>
      </c>
      <c r="F54" s="344" t="s">
        <v>248</v>
      </c>
      <c r="G54" s="344" t="s">
        <v>248</v>
      </c>
    </row>
    <row r="55" spans="1:9" ht="13">
      <c r="A55" s="2">
        <f>A49+1</f>
        <v>38</v>
      </c>
      <c r="B55" s="247"/>
      <c r="C55" s="247" t="s">
        <v>2269</v>
      </c>
      <c r="D55" s="267">
        <v>161890.45721713582</v>
      </c>
      <c r="E55" s="254"/>
      <c r="F55" s="254"/>
      <c r="G55" s="360">
        <f>SUM(D55:F55)</f>
        <v>161890.45721713582</v>
      </c>
      <c r="I55" s="872"/>
    </row>
    <row r="56" spans="1:9" ht="13">
      <c r="A56" s="2">
        <f t="shared" si="0"/>
        <v>39</v>
      </c>
      <c r="B56" s="247"/>
      <c r="C56" s="247" t="s">
        <v>2270</v>
      </c>
      <c r="D56" s="267">
        <v>169749.45753880357</v>
      </c>
      <c r="E56" s="254"/>
      <c r="F56" s="254"/>
      <c r="G56" s="360">
        <f t="shared" ref="G56:G70" si="3">SUM(D56:F56)</f>
        <v>169749.45753880357</v>
      </c>
      <c r="I56" s="872"/>
    </row>
    <row r="57" spans="1:9" ht="13">
      <c r="A57" s="2">
        <f t="shared" si="0"/>
        <v>40</v>
      </c>
      <c r="B57" s="247"/>
      <c r="C57" s="247" t="s">
        <v>2271</v>
      </c>
      <c r="D57" s="267">
        <v>-73973.150968079382</v>
      </c>
      <c r="E57" s="254"/>
      <c r="F57" s="254"/>
      <c r="G57" s="360">
        <f t="shared" si="3"/>
        <v>-73973.150968079382</v>
      </c>
      <c r="I57" s="872"/>
    </row>
    <row r="58" spans="1:9" ht="13">
      <c r="A58" s="2">
        <f t="shared" si="0"/>
        <v>41</v>
      </c>
      <c r="B58" s="247"/>
      <c r="C58" s="247" t="s">
        <v>2272</v>
      </c>
      <c r="D58" s="267">
        <v>27578.784226409658</v>
      </c>
      <c r="E58" s="254"/>
      <c r="F58" s="254"/>
      <c r="G58" s="360">
        <f t="shared" si="3"/>
        <v>27578.784226409658</v>
      </c>
      <c r="I58" s="872"/>
    </row>
    <row r="59" spans="1:9" ht="13">
      <c r="A59" s="2">
        <f t="shared" si="0"/>
        <v>42</v>
      </c>
      <c r="B59" s="247"/>
      <c r="C59" s="247" t="s">
        <v>2273</v>
      </c>
      <c r="D59" s="267"/>
      <c r="E59" s="254"/>
      <c r="F59" s="254"/>
      <c r="G59" s="360">
        <f t="shared" si="3"/>
        <v>0</v>
      </c>
      <c r="I59" s="872"/>
    </row>
    <row r="60" spans="1:9" ht="13">
      <c r="A60" s="2">
        <f t="shared" si="0"/>
        <v>43</v>
      </c>
      <c r="B60" s="247"/>
      <c r="C60" s="247" t="s">
        <v>2274</v>
      </c>
      <c r="D60" s="267">
        <v>379054.55140620656</v>
      </c>
      <c r="E60" s="254"/>
      <c r="F60" s="254"/>
      <c r="G60" s="360">
        <f t="shared" si="3"/>
        <v>379054.55140620656</v>
      </c>
      <c r="I60" s="872"/>
    </row>
    <row r="61" spans="1:9" ht="13">
      <c r="A61" s="2">
        <f t="shared" si="0"/>
        <v>44</v>
      </c>
      <c r="B61" s="247"/>
      <c r="C61" s="247" t="s">
        <v>2275</v>
      </c>
      <c r="D61" s="267">
        <v>45331.085022092426</v>
      </c>
      <c r="E61" s="254"/>
      <c r="F61" s="254"/>
      <c r="G61" s="360">
        <f t="shared" si="3"/>
        <v>45331.085022092426</v>
      </c>
      <c r="I61" s="872"/>
    </row>
    <row r="62" spans="1:9" ht="13">
      <c r="A62" s="2">
        <f t="shared" si="0"/>
        <v>45</v>
      </c>
      <c r="B62" s="247"/>
      <c r="C62" s="247" t="s">
        <v>2276</v>
      </c>
      <c r="D62" s="267">
        <v>34764.685480807042</v>
      </c>
      <c r="E62" s="254"/>
      <c r="F62" s="254"/>
      <c r="G62" s="360">
        <f t="shared" si="3"/>
        <v>34764.685480807042</v>
      </c>
      <c r="I62" s="900"/>
    </row>
    <row r="63" spans="1:9" ht="13">
      <c r="A63" s="2">
        <f t="shared" si="0"/>
        <v>46</v>
      </c>
      <c r="B63" s="1020"/>
      <c r="C63" s="247" t="s">
        <v>2277</v>
      </c>
      <c r="D63" s="267">
        <v>625.86599710856376</v>
      </c>
      <c r="E63" s="254"/>
      <c r="F63" s="254"/>
      <c r="G63" s="360">
        <f t="shared" si="3"/>
        <v>625.86599710856376</v>
      </c>
      <c r="I63" s="872"/>
    </row>
    <row r="64" spans="1:9" ht="13">
      <c r="A64" s="2">
        <f t="shared" si="0"/>
        <v>47</v>
      </c>
      <c r="B64" s="1021"/>
      <c r="C64" s="247" t="s">
        <v>2278</v>
      </c>
      <c r="D64" s="267"/>
      <c r="E64" s="254"/>
      <c r="F64" s="254"/>
      <c r="G64" s="360">
        <f t="shared" si="3"/>
        <v>0</v>
      </c>
      <c r="I64" s="872"/>
    </row>
    <row r="65" spans="1:9" ht="13">
      <c r="A65" s="2">
        <f t="shared" si="0"/>
        <v>48</v>
      </c>
      <c r="B65" s="319"/>
      <c r="C65" s="247" t="s">
        <v>2279</v>
      </c>
      <c r="D65" s="267">
        <v>4658.5583585868717</v>
      </c>
      <c r="E65" s="254"/>
      <c r="F65" s="254"/>
      <c r="G65" s="360">
        <f t="shared" si="3"/>
        <v>4658.5583585868717</v>
      </c>
      <c r="I65" s="872"/>
    </row>
    <row r="66" spans="1:9" ht="13">
      <c r="A66" s="2">
        <f t="shared" si="0"/>
        <v>49</v>
      </c>
      <c r="B66" s="1021"/>
      <c r="C66" s="247" t="s">
        <v>2280</v>
      </c>
      <c r="D66" s="267">
        <v>1681.7371162307861</v>
      </c>
      <c r="E66" s="254"/>
      <c r="F66" s="254"/>
      <c r="G66" s="360">
        <f t="shared" si="3"/>
        <v>1681.7371162307861</v>
      </c>
      <c r="I66" s="872"/>
    </row>
    <row r="67" spans="1:9" ht="13">
      <c r="A67" s="2">
        <f t="shared" si="0"/>
        <v>50</v>
      </c>
      <c r="B67" s="1021"/>
      <c r="C67" s="247" t="s">
        <v>2281</v>
      </c>
      <c r="D67" s="267">
        <v>6180.029105715299</v>
      </c>
      <c r="E67" s="254"/>
      <c r="F67" s="254"/>
      <c r="G67" s="360">
        <f t="shared" si="3"/>
        <v>6180.029105715299</v>
      </c>
      <c r="I67" s="872"/>
    </row>
    <row r="68" spans="1:9" ht="13">
      <c r="A68" s="2">
        <f t="shared" si="0"/>
        <v>51</v>
      </c>
      <c r="B68" s="247"/>
      <c r="C68" s="247" t="s">
        <v>2282</v>
      </c>
      <c r="D68" s="267">
        <v>14102.920005060651</v>
      </c>
      <c r="E68" s="254"/>
      <c r="F68" s="254"/>
      <c r="G68" s="360">
        <f t="shared" si="3"/>
        <v>14102.920005060651</v>
      </c>
      <c r="I68" s="889"/>
    </row>
    <row r="69" spans="1:9" ht="13">
      <c r="A69" s="2">
        <f t="shared" si="0"/>
        <v>52</v>
      </c>
      <c r="B69" s="247"/>
      <c r="C69" s="281" t="s">
        <v>822</v>
      </c>
      <c r="D69" s="1017"/>
      <c r="E69" s="1018"/>
      <c r="F69" s="1018"/>
      <c r="G69" s="1022"/>
      <c r="I69" s="889"/>
    </row>
    <row r="70" spans="1:9" ht="13">
      <c r="A70" s="2">
        <f t="shared" si="0"/>
        <v>53</v>
      </c>
      <c r="B70" s="247"/>
      <c r="C70" s="245" t="s">
        <v>2283</v>
      </c>
      <c r="D70" s="249">
        <f>SUM(D55:D68)</f>
        <v>771644.98050607787</v>
      </c>
      <c r="E70" s="249">
        <f t="shared" ref="E70:F70" si="4">SUM(E55:E68)</f>
        <v>0</v>
      </c>
      <c r="F70" s="249">
        <f t="shared" si="4"/>
        <v>0</v>
      </c>
      <c r="G70" s="360">
        <f t="shared" si="3"/>
        <v>771644.98050607787</v>
      </c>
    </row>
    <row r="71" spans="1:9" ht="13">
      <c r="A71" s="2"/>
      <c r="B71" s="247"/>
      <c r="C71" s="245"/>
      <c r="D71" s="249"/>
      <c r="E71" s="249"/>
      <c r="F71" s="249"/>
      <c r="G71" s="360"/>
    </row>
    <row r="72" spans="1:9" ht="13">
      <c r="A72" s="2"/>
      <c r="B72" s="247"/>
      <c r="C72" s="245"/>
      <c r="D72" s="48" t="s">
        <v>336</v>
      </c>
      <c r="E72" s="48" t="s">
        <v>337</v>
      </c>
      <c r="F72" s="48" t="s">
        <v>338</v>
      </c>
      <c r="G72" s="48" t="s">
        <v>339</v>
      </c>
    </row>
    <row r="73" spans="1:9" ht="13">
      <c r="A73" s="2"/>
      <c r="B73" s="247"/>
      <c r="C73" s="245"/>
      <c r="D73" s="326" t="s">
        <v>2261</v>
      </c>
      <c r="E73" s="326" t="s">
        <v>2262</v>
      </c>
      <c r="F73" s="326" t="s">
        <v>2263</v>
      </c>
      <c r="G73" s="326" t="s">
        <v>2264</v>
      </c>
    </row>
    <row r="74" spans="1:9" ht="13">
      <c r="A74" s="2"/>
      <c r="B74" s="247"/>
      <c r="C74" s="247"/>
      <c r="D74" s="326" t="s">
        <v>859</v>
      </c>
      <c r="E74" s="326" t="s">
        <v>859</v>
      </c>
      <c r="F74" s="326" t="s">
        <v>859</v>
      </c>
      <c r="G74" s="326" t="s">
        <v>859</v>
      </c>
    </row>
    <row r="75" spans="1:9" ht="13">
      <c r="A75" s="3" t="s">
        <v>273</v>
      </c>
      <c r="B75" s="200" t="s">
        <v>2284</v>
      </c>
      <c r="C75" s="247"/>
      <c r="D75" s="344" t="s">
        <v>248</v>
      </c>
      <c r="E75" s="344" t="s">
        <v>248</v>
      </c>
      <c r="F75" s="344" t="s">
        <v>248</v>
      </c>
      <c r="G75" s="344" t="s">
        <v>248</v>
      </c>
    </row>
    <row r="76" spans="1:9" ht="13">
      <c r="A76" s="2">
        <f>A70+1</f>
        <v>54</v>
      </c>
      <c r="B76" s="247"/>
      <c r="C76" s="247" t="s">
        <v>125</v>
      </c>
      <c r="D76" s="61">
        <v>8000000</v>
      </c>
      <c r="E76" s="254"/>
      <c r="F76" s="254"/>
      <c r="G76" s="1019">
        <f>SUM(D76:F76)</f>
        <v>8000000</v>
      </c>
      <c r="I76" s="889"/>
    </row>
    <row r="77" spans="1:9" ht="13">
      <c r="A77" s="2">
        <f>A76+1</f>
        <v>55</v>
      </c>
      <c r="B77" s="247"/>
      <c r="C77" s="245" t="s">
        <v>2285</v>
      </c>
      <c r="D77" s="249">
        <f>SUM(D76)</f>
        <v>8000000</v>
      </c>
      <c r="E77" s="249">
        <f>SUM(E76)</f>
        <v>0</v>
      </c>
      <c r="F77" s="249">
        <f>SUM(F76)</f>
        <v>0</v>
      </c>
      <c r="G77" s="360">
        <f t="shared" ref="G77" si="5">SUM(D77:F77)</f>
        <v>8000000</v>
      </c>
    </row>
    <row r="78" spans="1:9" ht="13">
      <c r="A78" s="2"/>
      <c r="B78" s="247"/>
      <c r="C78" s="247"/>
      <c r="D78" s="247"/>
      <c r="E78" s="247"/>
      <c r="F78" s="247"/>
      <c r="G78" s="247"/>
    </row>
    <row r="79" spans="1:9" ht="13">
      <c r="A79" s="2"/>
      <c r="B79" s="247"/>
      <c r="C79" s="247"/>
      <c r="D79" s="247"/>
      <c r="E79" s="247"/>
      <c r="F79" s="247"/>
      <c r="G79" s="247"/>
    </row>
    <row r="80" spans="1:9" ht="13">
      <c r="A80" s="2"/>
      <c r="B80" s="247"/>
      <c r="C80" s="247"/>
      <c r="D80" s="48" t="s">
        <v>336</v>
      </c>
      <c r="E80" s="48" t="s">
        <v>337</v>
      </c>
      <c r="F80" s="48" t="s">
        <v>338</v>
      </c>
      <c r="G80" s="48" t="s">
        <v>339</v>
      </c>
    </row>
    <row r="81" spans="1:11" ht="13">
      <c r="A81" s="2"/>
      <c r="B81" s="247"/>
      <c r="C81" s="247"/>
      <c r="D81" s="326" t="s">
        <v>2261</v>
      </c>
      <c r="E81" s="326" t="s">
        <v>2262</v>
      </c>
      <c r="F81" s="326" t="s">
        <v>2263</v>
      </c>
      <c r="G81" s="326" t="s">
        <v>2264</v>
      </c>
    </row>
    <row r="82" spans="1:11" ht="13">
      <c r="A82" s="247"/>
      <c r="B82" s="247"/>
      <c r="C82" s="247"/>
      <c r="D82" s="326" t="s">
        <v>859</v>
      </c>
      <c r="E82" s="326" t="s">
        <v>859</v>
      </c>
      <c r="F82" s="326" t="s">
        <v>859</v>
      </c>
      <c r="G82" s="326" t="s">
        <v>859</v>
      </c>
    </row>
    <row r="83" spans="1:11" ht="13">
      <c r="A83" s="3" t="s">
        <v>273</v>
      </c>
      <c r="B83" s="200" t="s">
        <v>2286</v>
      </c>
      <c r="C83" s="247"/>
      <c r="D83" s="344" t="s">
        <v>248</v>
      </c>
      <c r="E83" s="344" t="s">
        <v>248</v>
      </c>
      <c r="F83" s="344" t="s">
        <v>248</v>
      </c>
      <c r="G83" s="344" t="s">
        <v>248</v>
      </c>
    </row>
    <row r="84" spans="1:11" ht="13">
      <c r="A84" s="2">
        <f>A77+1</f>
        <v>56</v>
      </c>
      <c r="B84" s="247"/>
      <c r="C84" s="291" t="s">
        <v>132</v>
      </c>
      <c r="D84" s="267">
        <v>44814.009999999995</v>
      </c>
      <c r="E84" s="254"/>
      <c r="F84" s="254"/>
      <c r="G84" s="360">
        <f>SUM(D84:F84)</f>
        <v>44814.009999999995</v>
      </c>
      <c r="I84" s="872"/>
      <c r="K84" s="194"/>
    </row>
    <row r="85" spans="1:11" ht="13">
      <c r="A85" s="2">
        <f t="shared" ref="A85:A91" si="6">A84+1</f>
        <v>57</v>
      </c>
      <c r="B85" s="247"/>
      <c r="C85" s="291" t="s">
        <v>133</v>
      </c>
      <c r="D85" s="267">
        <v>-563.93000000000006</v>
      </c>
      <c r="E85" s="254"/>
      <c r="F85" s="254"/>
      <c r="G85" s="360">
        <f t="shared" ref="G85:G86" si="7">SUM(D85:F85)</f>
        <v>-563.93000000000006</v>
      </c>
      <c r="I85" s="872"/>
      <c r="K85" s="194"/>
    </row>
    <row r="86" spans="1:11" ht="13">
      <c r="A86" s="2">
        <f t="shared" si="6"/>
        <v>58</v>
      </c>
      <c r="B86" s="247"/>
      <c r="C86" s="291" t="s">
        <v>134</v>
      </c>
      <c r="D86" s="267">
        <v>124.19999999999999</v>
      </c>
      <c r="E86" s="254"/>
      <c r="F86" s="254"/>
      <c r="G86" s="360">
        <f t="shared" si="7"/>
        <v>124.19999999999999</v>
      </c>
      <c r="I86" s="872"/>
      <c r="K86" s="194"/>
    </row>
    <row r="87" spans="1:11" ht="13">
      <c r="A87" s="2">
        <f t="shared" si="6"/>
        <v>59</v>
      </c>
      <c r="B87" s="247"/>
      <c r="C87" s="291" t="s">
        <v>135</v>
      </c>
      <c r="D87" s="267">
        <v>2111.17</v>
      </c>
      <c r="E87" s="254"/>
      <c r="F87" s="254"/>
      <c r="G87" s="360">
        <f t="shared" ref="G87:G90" si="8">SUM(D87:F87)</f>
        <v>2111.17</v>
      </c>
      <c r="I87" s="872"/>
      <c r="K87" s="246"/>
    </row>
    <row r="88" spans="1:11" ht="13">
      <c r="A88" s="2">
        <f t="shared" si="6"/>
        <v>60</v>
      </c>
      <c r="B88" s="247"/>
      <c r="C88" s="291" t="s">
        <v>136</v>
      </c>
      <c r="D88" s="267">
        <v>211.6</v>
      </c>
      <c r="E88" s="254"/>
      <c r="F88" s="254"/>
      <c r="G88" s="360">
        <f t="shared" si="8"/>
        <v>211.6</v>
      </c>
      <c r="I88" s="872"/>
      <c r="K88" s="12"/>
    </row>
    <row r="89" spans="1:11" ht="13">
      <c r="A89" s="2">
        <f t="shared" si="6"/>
        <v>61</v>
      </c>
      <c r="B89" s="247"/>
      <c r="C89" s="291" t="s">
        <v>137</v>
      </c>
      <c r="D89" s="267">
        <v>718.4899999999999</v>
      </c>
      <c r="E89" s="254"/>
      <c r="F89" s="254"/>
      <c r="G89" s="360">
        <f t="shared" si="8"/>
        <v>718.4899999999999</v>
      </c>
      <c r="I89" s="872"/>
      <c r="K89" s="12"/>
    </row>
    <row r="90" spans="1:11" ht="13">
      <c r="A90" s="2">
        <f t="shared" si="6"/>
        <v>62</v>
      </c>
      <c r="B90" s="247"/>
      <c r="C90" s="291" t="s">
        <v>138</v>
      </c>
      <c r="D90" s="61">
        <v>34.67</v>
      </c>
      <c r="E90" s="254"/>
      <c r="F90" s="254"/>
      <c r="G90" s="1019">
        <f t="shared" si="8"/>
        <v>34.67</v>
      </c>
      <c r="I90" s="889"/>
      <c r="K90" s="12"/>
    </row>
    <row r="91" spans="1:11" ht="13">
      <c r="A91" s="2">
        <f t="shared" si="6"/>
        <v>63</v>
      </c>
      <c r="B91" s="247"/>
      <c r="C91" s="245" t="s">
        <v>2287</v>
      </c>
      <c r="D91" s="249">
        <f>SUM(D84:D90)</f>
        <v>47450.209999999985</v>
      </c>
      <c r="E91" s="249">
        <f t="shared" ref="E91:F91" si="9">SUM(E84:E90)</f>
        <v>0</v>
      </c>
      <c r="F91" s="249">
        <f t="shared" si="9"/>
        <v>0</v>
      </c>
      <c r="G91" s="360">
        <f>SUM(D91:F91)</f>
        <v>47450.209999999985</v>
      </c>
    </row>
    <row r="92" spans="1:11" ht="13">
      <c r="A92" s="2"/>
      <c r="B92" s="247"/>
      <c r="C92" s="245"/>
      <c r="D92" s="249"/>
      <c r="E92" s="249"/>
      <c r="F92" s="249"/>
      <c r="G92" s="360"/>
    </row>
    <row r="93" spans="1:11" ht="13">
      <c r="A93" s="2"/>
      <c r="B93" s="247"/>
      <c r="C93" s="245"/>
      <c r="D93" s="48" t="s">
        <v>336</v>
      </c>
      <c r="E93" s="48" t="s">
        <v>337</v>
      </c>
      <c r="F93" s="48" t="s">
        <v>338</v>
      </c>
      <c r="G93" s="48" t="s">
        <v>339</v>
      </c>
    </row>
    <row r="94" spans="1:11" ht="13">
      <c r="A94" s="2"/>
      <c r="B94" s="247"/>
      <c r="C94" s="1"/>
      <c r="D94" s="326" t="s">
        <v>2261</v>
      </c>
      <c r="E94" s="326" t="s">
        <v>2262</v>
      </c>
      <c r="F94" s="326" t="s">
        <v>2263</v>
      </c>
      <c r="G94" s="326" t="s">
        <v>2264</v>
      </c>
    </row>
    <row r="95" spans="1:11" ht="13">
      <c r="A95" s="2"/>
      <c r="B95" s="247"/>
      <c r="C95" s="247"/>
      <c r="D95" s="326" t="s">
        <v>859</v>
      </c>
      <c r="E95" s="326" t="s">
        <v>859</v>
      </c>
      <c r="F95" s="326" t="s">
        <v>859</v>
      </c>
      <c r="G95" s="326" t="s">
        <v>859</v>
      </c>
    </row>
    <row r="96" spans="1:11" ht="13">
      <c r="A96" s="3" t="s">
        <v>273</v>
      </c>
      <c r="B96" s="200" t="s">
        <v>2288</v>
      </c>
      <c r="C96" s="247"/>
      <c r="D96" s="344" t="s">
        <v>248</v>
      </c>
      <c r="E96" s="344" t="s">
        <v>248</v>
      </c>
      <c r="F96" s="344" t="s">
        <v>248</v>
      </c>
      <c r="G96" s="344" t="s">
        <v>248</v>
      </c>
    </row>
    <row r="97" spans="1:9" ht="13">
      <c r="A97" s="2">
        <f>A91+1</f>
        <v>64</v>
      </c>
      <c r="B97" s="247"/>
      <c r="C97" s="247" t="s">
        <v>2289</v>
      </c>
      <c r="D97" s="267">
        <v>626189.26363666565</v>
      </c>
      <c r="E97" s="254"/>
      <c r="F97" s="254"/>
      <c r="G97" s="360">
        <f>SUM(D97:F97)</f>
        <v>626189.26363666565</v>
      </c>
      <c r="H97" s="894"/>
      <c r="I97" s="872"/>
    </row>
    <row r="98" spans="1:9" ht="13">
      <c r="A98" s="2">
        <f t="shared" ref="A98:A113" si="10">A97+1</f>
        <v>65</v>
      </c>
      <c r="B98" s="247"/>
      <c r="C98" s="247" t="s">
        <v>111</v>
      </c>
      <c r="D98" s="267">
        <v>35621.309866973286</v>
      </c>
      <c r="E98" s="254"/>
      <c r="F98" s="254"/>
      <c r="G98" s="360">
        <f t="shared" ref="G98:G101" si="11">SUM(D98:F98)</f>
        <v>35621.309866973286</v>
      </c>
      <c r="H98" s="894"/>
      <c r="I98" s="872"/>
    </row>
    <row r="99" spans="1:9" ht="13">
      <c r="A99" s="2">
        <f t="shared" ref="A99:A110" si="12">A98+1</f>
        <v>66</v>
      </c>
      <c r="B99" s="247"/>
      <c r="C99" s="247" t="s">
        <v>2290</v>
      </c>
      <c r="D99" s="267"/>
      <c r="E99" s="254"/>
      <c r="F99" s="254"/>
      <c r="G99" s="360">
        <f t="shared" si="11"/>
        <v>0</v>
      </c>
      <c r="H99" s="894"/>
      <c r="I99" s="872"/>
    </row>
    <row r="100" spans="1:9" ht="13">
      <c r="A100" s="2">
        <f t="shared" si="12"/>
        <v>67</v>
      </c>
      <c r="B100" s="247"/>
      <c r="C100" s="247" t="s">
        <v>2291</v>
      </c>
      <c r="D100" s="267"/>
      <c r="E100" s="254"/>
      <c r="F100" s="254"/>
      <c r="G100" s="360">
        <f t="shared" si="11"/>
        <v>0</v>
      </c>
      <c r="H100" s="894"/>
      <c r="I100" s="872"/>
    </row>
    <row r="101" spans="1:9" ht="13">
      <c r="A101" s="2">
        <f t="shared" si="12"/>
        <v>68</v>
      </c>
      <c r="B101" s="247"/>
      <c r="C101" s="281" t="s">
        <v>822</v>
      </c>
      <c r="D101" s="934"/>
      <c r="E101" s="1018"/>
      <c r="F101" s="1018"/>
      <c r="G101" s="1019">
        <f t="shared" si="11"/>
        <v>0</v>
      </c>
      <c r="H101" s="894"/>
      <c r="I101" s="872"/>
    </row>
    <row r="102" spans="1:9" ht="13">
      <c r="A102" s="2">
        <f t="shared" si="12"/>
        <v>69</v>
      </c>
      <c r="B102" s="247"/>
      <c r="C102" s="245" t="s">
        <v>2292</v>
      </c>
      <c r="D102" s="249">
        <f>SUM(D97:D101)</f>
        <v>661810.57350363897</v>
      </c>
      <c r="E102" s="249">
        <f t="shared" ref="E102:F102" si="13">SUM(E97:E101)</f>
        <v>0</v>
      </c>
      <c r="F102" s="249">
        <f t="shared" si="13"/>
        <v>0</v>
      </c>
      <c r="G102" s="360">
        <f>SUM(D102:F102)</f>
        <v>661810.57350363897</v>
      </c>
    </row>
    <row r="103" spans="1:9" ht="13">
      <c r="A103" s="2">
        <f t="shared" si="12"/>
        <v>70</v>
      </c>
      <c r="B103" s="247"/>
      <c r="C103" s="245"/>
      <c r="D103" s="249"/>
      <c r="E103" s="249"/>
      <c r="F103" s="249"/>
      <c r="G103" s="360"/>
    </row>
    <row r="104" spans="1:9" ht="13">
      <c r="A104" s="2">
        <f t="shared" si="12"/>
        <v>71</v>
      </c>
      <c r="B104" s="247"/>
      <c r="C104" s="247"/>
      <c r="D104" s="48" t="s">
        <v>336</v>
      </c>
      <c r="E104" s="48" t="s">
        <v>337</v>
      </c>
      <c r="F104" s="48" t="s">
        <v>338</v>
      </c>
      <c r="G104" s="247"/>
    </row>
    <row r="105" spans="1:9" ht="13">
      <c r="A105" s="2">
        <f t="shared" si="12"/>
        <v>72</v>
      </c>
      <c r="B105" s="247"/>
      <c r="C105" s="247"/>
      <c r="D105" s="326" t="s">
        <v>2261</v>
      </c>
      <c r="E105" s="326" t="s">
        <v>2262</v>
      </c>
      <c r="F105" s="326" t="s">
        <v>2263</v>
      </c>
      <c r="G105" s="247"/>
    </row>
    <row r="106" spans="1:9" ht="13">
      <c r="A106" s="2">
        <f t="shared" si="12"/>
        <v>73</v>
      </c>
      <c r="B106" s="247"/>
      <c r="C106" s="247"/>
      <c r="D106" s="326" t="s">
        <v>859</v>
      </c>
      <c r="E106" s="326" t="s">
        <v>859</v>
      </c>
      <c r="F106" s="326" t="s">
        <v>859</v>
      </c>
      <c r="G106" s="247"/>
    </row>
    <row r="107" spans="1:9" ht="13">
      <c r="A107" s="2">
        <f t="shared" si="12"/>
        <v>74</v>
      </c>
      <c r="B107" s="247"/>
      <c r="C107" s="247"/>
      <c r="D107" s="344" t="s">
        <v>248</v>
      </c>
      <c r="E107" s="344" t="s">
        <v>248</v>
      </c>
      <c r="F107" s="344" t="s">
        <v>248</v>
      </c>
      <c r="G107" s="247"/>
    </row>
    <row r="108" spans="1:9" ht="13">
      <c r="A108" s="2">
        <f t="shared" si="12"/>
        <v>75</v>
      </c>
      <c r="B108" s="247"/>
      <c r="C108" s="245" t="s">
        <v>2293</v>
      </c>
      <c r="D108" s="249">
        <f>D49+D70+D77+D91+D102</f>
        <v>12394780.052277384</v>
      </c>
      <c r="E108" s="249">
        <f>E49+E70+E77+E91+E102</f>
        <v>0</v>
      </c>
      <c r="F108" s="249">
        <f>F49+F70+F77+F91+F102</f>
        <v>0</v>
      </c>
      <c r="G108" s="247"/>
    </row>
    <row r="109" spans="1:9" ht="13">
      <c r="A109" s="2">
        <f t="shared" si="12"/>
        <v>76</v>
      </c>
      <c r="B109" s="247"/>
      <c r="C109" s="247"/>
      <c r="D109" s="247"/>
      <c r="E109" s="247"/>
      <c r="F109" s="247"/>
      <c r="G109" s="247"/>
    </row>
    <row r="110" spans="1:9" ht="13">
      <c r="A110" s="2">
        <f t="shared" si="12"/>
        <v>77</v>
      </c>
      <c r="B110" s="247"/>
      <c r="C110" s="247"/>
      <c r="D110" s="247"/>
      <c r="E110" s="247"/>
      <c r="F110" s="247"/>
      <c r="G110" s="247"/>
    </row>
    <row r="111" spans="1:9" ht="13">
      <c r="A111" s="2">
        <f t="shared" si="10"/>
        <v>78</v>
      </c>
      <c r="B111" s="247"/>
      <c r="C111" s="247"/>
      <c r="D111" s="326" t="s">
        <v>859</v>
      </c>
      <c r="E111" s="247"/>
      <c r="F111" s="247"/>
      <c r="G111" s="247"/>
    </row>
    <row r="112" spans="1:9" ht="13">
      <c r="A112" s="2">
        <f t="shared" si="10"/>
        <v>79</v>
      </c>
      <c r="B112" s="247"/>
      <c r="C112" s="247"/>
      <c r="D112" s="344" t="s">
        <v>248</v>
      </c>
      <c r="E112" s="3" t="s">
        <v>251</v>
      </c>
      <c r="F112" s="247"/>
      <c r="G112" s="247"/>
    </row>
    <row r="113" spans="1:7" ht="13">
      <c r="A113" s="2">
        <f t="shared" si="10"/>
        <v>80</v>
      </c>
      <c r="B113" s="247"/>
      <c r="C113" s="245" t="s">
        <v>2294</v>
      </c>
      <c r="D113" s="249">
        <f>D108+E108+F108</f>
        <v>12394780.052277384</v>
      </c>
      <c r="E113" s="246" t="s">
        <v>2895</v>
      </c>
      <c r="F113" s="247"/>
      <c r="G113" s="247"/>
    </row>
    <row r="114" spans="1:7" ht="13">
      <c r="A114" s="2"/>
      <c r="B114" s="247"/>
      <c r="C114" s="245"/>
      <c r="D114" s="249"/>
      <c r="E114" s="246"/>
      <c r="F114" s="247"/>
      <c r="G114" s="247"/>
    </row>
    <row r="115" spans="1:7" ht="14.5">
      <c r="A115" s="2"/>
      <c r="B115" s="30" t="s">
        <v>433</v>
      </c>
      <c r="C115" s="245"/>
      <c r="D115" s="249"/>
      <c r="E115" s="1023"/>
      <c r="F115" s="1024"/>
      <c r="G115" s="1024"/>
    </row>
    <row r="116" spans="1:7" ht="14.5">
      <c r="A116" s="2"/>
      <c r="B116" s="247" t="s">
        <v>2295</v>
      </c>
      <c r="C116" s="245"/>
      <c r="D116" s="249"/>
      <c r="E116" s="1023"/>
      <c r="F116" s="1024"/>
      <c r="G116" s="1024"/>
    </row>
    <row r="117" spans="1:7" ht="14.5">
      <c r="A117" s="2"/>
      <c r="B117" s="246" t="s">
        <v>2296</v>
      </c>
      <c r="C117" s="247"/>
      <c r="D117" s="247"/>
      <c r="E117" s="1024"/>
      <c r="F117" s="1024"/>
      <c r="G117" s="1024"/>
    </row>
    <row r="118" spans="1:7" ht="13">
      <c r="A118" s="2"/>
      <c r="B118" s="30" t="s">
        <v>228</v>
      </c>
      <c r="C118" s="247"/>
      <c r="D118" s="247"/>
      <c r="E118" s="247"/>
      <c r="F118" s="247"/>
      <c r="G118" s="247"/>
    </row>
    <row r="119" spans="1:7" ht="13">
      <c r="A119" s="2"/>
      <c r="B119" s="246" t="s">
        <v>2297</v>
      </c>
      <c r="C119" s="247"/>
      <c r="D119" s="247"/>
      <c r="E119" s="247"/>
      <c r="F119" s="247"/>
      <c r="G119" s="247"/>
    </row>
    <row r="120" spans="1:7" ht="13">
      <c r="A120" s="2"/>
      <c r="B120" s="261" t="s">
        <v>2298</v>
      </c>
      <c r="C120" s="247"/>
      <c r="D120" s="247"/>
      <c r="E120" s="247"/>
      <c r="F120" s="247"/>
      <c r="G120" s="247"/>
    </row>
    <row r="121" spans="1:7" ht="13">
      <c r="A121" s="2"/>
      <c r="B121" s="246" t="s">
        <v>2299</v>
      </c>
      <c r="C121" s="247"/>
      <c r="D121" s="247"/>
      <c r="E121" s="247"/>
      <c r="F121" s="247"/>
      <c r="G121" s="247"/>
    </row>
    <row r="122" spans="1:7" ht="13">
      <c r="A122" s="2"/>
      <c r="B122" s="261" t="s">
        <v>2300</v>
      </c>
      <c r="C122" s="247"/>
      <c r="D122" s="247"/>
      <c r="E122" s="247"/>
      <c r="F122" s="247"/>
      <c r="G122" s="247"/>
    </row>
    <row r="123" spans="1:7" ht="13">
      <c r="A123" s="2"/>
      <c r="B123" s="246" t="s">
        <v>2301</v>
      </c>
      <c r="C123" s="247"/>
      <c r="D123" s="247"/>
      <c r="E123" s="247"/>
      <c r="F123" s="247"/>
      <c r="G123" s="247"/>
    </row>
    <row r="124" spans="1:7" ht="13">
      <c r="A124" s="2"/>
      <c r="B124" s="261" t="s">
        <v>2302</v>
      </c>
      <c r="C124" s="247"/>
      <c r="D124" s="247"/>
      <c r="E124" s="247"/>
      <c r="F124" s="247"/>
      <c r="G124" s="247"/>
    </row>
    <row r="125" spans="1:7" ht="13">
      <c r="A125" s="633"/>
      <c r="B125" s="880"/>
    </row>
    <row r="126" spans="1:7" ht="13">
      <c r="A126" s="633"/>
    </row>
    <row r="127" spans="1:7" ht="13">
      <c r="A127" s="633"/>
      <c r="B127" s="612"/>
      <c r="C127" s="690"/>
      <c r="D127" s="690"/>
    </row>
    <row r="128" spans="1:7">
      <c r="B128" s="881"/>
      <c r="C128" s="612"/>
      <c r="D128" s="612"/>
    </row>
    <row r="129" spans="2:4">
      <c r="B129" s="881"/>
      <c r="D129" s="612"/>
    </row>
    <row r="130" spans="2:4">
      <c r="B130" s="881"/>
      <c r="D130" s="612"/>
    </row>
    <row r="131" spans="2:4">
      <c r="B131" s="881"/>
      <c r="D131" s="612"/>
    </row>
    <row r="132" spans="2:4">
      <c r="B132" s="881"/>
      <c r="D132" s="612"/>
    </row>
  </sheetData>
  <phoneticPr fontId="23" type="noConversion"/>
  <pageMargins left="0.7" right="0.7" top="0.75" bottom="0.75" header="0.3" footer="0.3"/>
  <pageSetup scale="70" orientation="portrait" r:id="rId1"/>
  <headerFooter>
    <oddHeader>&amp;CSchedule 35
Other Formula Revenue&amp;RTO2024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268</v>
      </c>
    </row>
    <row r="2" spans="1:6" ht="13">
      <c r="A2" s="1"/>
    </row>
    <row r="3" spans="1:6">
      <c r="B3" s="247" t="s">
        <v>269</v>
      </c>
    </row>
    <row r="4" spans="1:6" ht="13">
      <c r="A4" s="1"/>
      <c r="B4" s="246" t="s">
        <v>270</v>
      </c>
    </row>
    <row r="5" spans="1:6" ht="13">
      <c r="A5" s="1"/>
      <c r="B5" s="246" t="s">
        <v>271</v>
      </c>
    </row>
    <row r="7" spans="1:6" ht="13">
      <c r="B7" s="1" t="s">
        <v>272</v>
      </c>
    </row>
    <row r="8" spans="1:6">
      <c r="E8" s="12"/>
    </row>
    <row r="9" spans="1:6" ht="13">
      <c r="A9" s="30" t="s">
        <v>273</v>
      </c>
      <c r="B9" s="40" t="s">
        <v>274</v>
      </c>
    </row>
    <row r="10" spans="1:6" ht="13">
      <c r="A10" s="2">
        <v>1</v>
      </c>
    </row>
    <row r="11" spans="1:6" ht="13">
      <c r="A11" s="2">
        <f>A10+1</f>
        <v>2</v>
      </c>
      <c r="B11" s="261" t="s">
        <v>275</v>
      </c>
    </row>
    <row r="12" spans="1:6" ht="13">
      <c r="A12" s="2">
        <f t="shared" ref="A12:A87" si="0">A11+1</f>
        <v>3</v>
      </c>
      <c r="B12" s="261" t="s">
        <v>276</v>
      </c>
    </row>
    <row r="13" spans="1:6" ht="13">
      <c r="A13" s="2">
        <f t="shared" si="0"/>
        <v>4</v>
      </c>
      <c r="B13" s="261"/>
    </row>
    <row r="14" spans="1:6" ht="13">
      <c r="A14" s="2">
        <f t="shared" si="0"/>
        <v>5</v>
      </c>
      <c r="B14" s="261" t="s">
        <v>277</v>
      </c>
    </row>
    <row r="15" spans="1:6" ht="13">
      <c r="A15" s="2">
        <f t="shared" si="0"/>
        <v>6</v>
      </c>
      <c r="B15" s="194"/>
    </row>
    <row r="16" spans="1:6" ht="13">
      <c r="A16" s="2">
        <f t="shared" si="0"/>
        <v>7</v>
      </c>
      <c r="B16" s="261" t="s">
        <v>278</v>
      </c>
      <c r="F16" s="62"/>
    </row>
    <row r="17" spans="1:7" ht="13">
      <c r="A17" s="2">
        <f t="shared" si="0"/>
        <v>8</v>
      </c>
      <c r="B17" s="497" t="s">
        <v>279</v>
      </c>
      <c r="F17" s="7"/>
    </row>
    <row r="18" spans="1:7" ht="13">
      <c r="A18" s="2">
        <f t="shared" si="0"/>
        <v>9</v>
      </c>
      <c r="B18" s="497" t="s">
        <v>280</v>
      </c>
      <c r="F18" s="7"/>
    </row>
    <row r="19" spans="1:7" ht="13">
      <c r="A19" s="2">
        <f t="shared" si="0"/>
        <v>10</v>
      </c>
      <c r="B19" s="497" t="s">
        <v>192</v>
      </c>
      <c r="E19" s="245"/>
      <c r="F19" s="6"/>
    </row>
    <row r="20" spans="1:7" ht="13">
      <c r="A20" s="2">
        <f t="shared" si="0"/>
        <v>11</v>
      </c>
      <c r="B20" s="1"/>
      <c r="D20" s="245"/>
      <c r="E20" s="3" t="s">
        <v>251</v>
      </c>
    </row>
    <row r="21" spans="1:7" ht="13">
      <c r="A21" s="2">
        <f t="shared" si="0"/>
        <v>12</v>
      </c>
      <c r="C21" s="245" t="s">
        <v>281</v>
      </c>
      <c r="D21" s="920">
        <f>'1-BaseTRR'!K90</f>
        <v>1.8604352988481822E-2</v>
      </c>
      <c r="E21" s="246" t="str">
        <f>"1-BaseTRR, Line "&amp;'1-BaseTRR'!A90&amp;""</f>
        <v>1-BaseTRR, Line 51</v>
      </c>
    </row>
    <row r="22" spans="1:7" ht="13">
      <c r="A22" s="2">
        <f t="shared" si="0"/>
        <v>13</v>
      </c>
      <c r="C22" s="245" t="s">
        <v>282</v>
      </c>
      <c r="D22" s="920">
        <f>'1-BaseTRR'!K95</f>
        <v>5.1480302527773449E-2</v>
      </c>
      <c r="E22" s="246" t="str">
        <f>"1-BaseTRR, Line "&amp;'1-BaseTRR'!A95&amp;""</f>
        <v>1-BaseTRR, Line 55</v>
      </c>
    </row>
    <row r="23" spans="1:7" ht="13">
      <c r="A23" s="2">
        <f t="shared" si="0"/>
        <v>14</v>
      </c>
      <c r="C23" s="245" t="s">
        <v>283</v>
      </c>
      <c r="D23" s="920">
        <f>'1-BaseTRR'!K104</f>
        <v>0.27983599999999997</v>
      </c>
      <c r="E23" s="246" t="str">
        <f>"1-BaseTRR, Line "&amp;'1-BaseTRR'!A104&amp;""</f>
        <v>1-BaseTRR, Line 59</v>
      </c>
    </row>
    <row r="24" spans="1:7" ht="13">
      <c r="A24" s="2">
        <f t="shared" si="0"/>
        <v>15</v>
      </c>
      <c r="B24" s="247"/>
      <c r="D24" s="920"/>
      <c r="E24" s="246"/>
    </row>
    <row r="25" spans="1:7" ht="13">
      <c r="A25" s="2">
        <f t="shared" si="0"/>
        <v>16</v>
      </c>
      <c r="C25" s="245" t="s">
        <v>284</v>
      </c>
      <c r="D25" s="920">
        <f>D21 + (D22*(1/(1-D23)))</f>
        <v>9.0088490667917964E-2</v>
      </c>
      <c r="E25" s="246" t="str">
        <f>"Line "&amp;A21&amp;" + (Line "&amp;A22&amp;" * (1/(1 - Line "&amp;A23&amp;")))"</f>
        <v>Line 12 + (Line 13 * (1/(1 - Line 14)))</v>
      </c>
      <c r="G25" s="921"/>
    </row>
    <row r="26" spans="1:7" ht="13">
      <c r="A26" s="2">
        <f t="shared" si="0"/>
        <v>17</v>
      </c>
      <c r="B26" s="247"/>
      <c r="D26" s="245"/>
      <c r="E26" s="246"/>
    </row>
    <row r="27" spans="1:7" ht="13">
      <c r="A27" s="2">
        <f t="shared" si="0"/>
        <v>18</v>
      </c>
      <c r="B27" s="40" t="s">
        <v>285</v>
      </c>
      <c r="D27" s="245"/>
      <c r="E27" s="246"/>
    </row>
    <row r="28" spans="1:7" ht="13">
      <c r="A28" s="2">
        <f t="shared" si="0"/>
        <v>19</v>
      </c>
      <c r="B28" s="247"/>
      <c r="D28" s="245"/>
      <c r="E28" s="246"/>
    </row>
    <row r="29" spans="1:7" ht="13">
      <c r="A29" s="2">
        <f t="shared" si="0"/>
        <v>20</v>
      </c>
      <c r="B29" s="261" t="s">
        <v>286</v>
      </c>
      <c r="D29" s="245"/>
      <c r="E29" s="246"/>
    </row>
    <row r="30" spans="1:7" ht="13">
      <c r="A30" s="2">
        <f t="shared" si="0"/>
        <v>21</v>
      </c>
      <c r="B30" s="261" t="s">
        <v>287</v>
      </c>
      <c r="D30" s="245"/>
      <c r="E30" s="246"/>
    </row>
    <row r="31" spans="1:7" ht="13">
      <c r="A31" s="2">
        <f t="shared" si="0"/>
        <v>22</v>
      </c>
      <c r="D31" s="245"/>
      <c r="E31" s="246"/>
    </row>
    <row r="32" spans="1:7" ht="13">
      <c r="A32" s="2">
        <f t="shared" si="0"/>
        <v>23</v>
      </c>
      <c r="B32" s="497" t="s">
        <v>288</v>
      </c>
      <c r="D32" s="245"/>
      <c r="E32" s="246"/>
    </row>
    <row r="33" spans="1:11" ht="13">
      <c r="A33" s="2">
        <f t="shared" si="0"/>
        <v>24</v>
      </c>
    </row>
    <row r="34" spans="1:11" ht="13">
      <c r="A34" s="2">
        <f t="shared" si="0"/>
        <v>25</v>
      </c>
      <c r="B34" s="40" t="s">
        <v>289</v>
      </c>
    </row>
    <row r="35" spans="1:11" ht="13">
      <c r="A35" s="2">
        <f t="shared" si="0"/>
        <v>26</v>
      </c>
      <c r="B35" s="247"/>
      <c r="E35" s="3" t="s">
        <v>251</v>
      </c>
    </row>
    <row r="36" spans="1:11" ht="13">
      <c r="A36" s="2">
        <f t="shared" si="0"/>
        <v>27</v>
      </c>
      <c r="C36" s="245" t="s">
        <v>290</v>
      </c>
      <c r="D36" s="249">
        <f>'6-PlantInService'!M24</f>
        <v>10923385779.162935</v>
      </c>
      <c r="E36" s="246" t="str">
        <f>"6-PlantInService, Line "&amp;'6-PlantInService'!A24&amp;""</f>
        <v>6-PlantInService, Line 13</v>
      </c>
    </row>
    <row r="37" spans="1:11" ht="13">
      <c r="A37" s="2">
        <f t="shared" si="0"/>
        <v>28</v>
      </c>
      <c r="C37" s="245" t="s">
        <v>291</v>
      </c>
      <c r="D37" s="249">
        <f>'6-PlantInService'!F36</f>
        <v>0</v>
      </c>
      <c r="E37" s="246" t="str">
        <f>"6-PlantInService, Line "&amp;'6-PlantInService'!A36&amp;""</f>
        <v>6-PlantInService, Line 16</v>
      </c>
    </row>
    <row r="38" spans="1:11" ht="13">
      <c r="A38" s="2">
        <f t="shared" si="0"/>
        <v>29</v>
      </c>
      <c r="C38" s="245" t="s">
        <v>292</v>
      </c>
      <c r="D38" s="249">
        <f>'8-AccDep'!N24</f>
        <v>2428578405.12362</v>
      </c>
      <c r="E38" s="246" t="str">
        <f>"8-AccDep, Line "&amp;'8-AccDep'!A24&amp;""</f>
        <v>8-AccDep, Line 13</v>
      </c>
    </row>
    <row r="39" spans="1:11" ht="13">
      <c r="A39" s="2">
        <f t="shared" si="0"/>
        <v>30</v>
      </c>
      <c r="C39" s="245" t="s">
        <v>293</v>
      </c>
      <c r="D39" s="53">
        <f>'8-AccDep'!G34</f>
        <v>0</v>
      </c>
      <c r="E39" s="246" t="str">
        <f>"8-AccDep, Line "&amp;'8-AccDep'!A34&amp;""</f>
        <v>8-AccDep, Line 16</v>
      </c>
    </row>
    <row r="40" spans="1:11" ht="13">
      <c r="A40" s="2">
        <f t="shared" si="0"/>
        <v>31</v>
      </c>
      <c r="C40" s="245" t="s">
        <v>294</v>
      </c>
      <c r="D40" s="6">
        <f>(D36+D37)-(D38+D39)</f>
        <v>8494807374.0393152</v>
      </c>
      <c r="E40" s="246" t="str">
        <f>"(L"&amp;A36&amp;" + L"&amp;A37&amp;") - (L"&amp;A38&amp;" + L"&amp;A39&amp;")"</f>
        <v>(L27 + L28) - (L29 + L30)</v>
      </c>
    </row>
    <row r="41" spans="1:11" ht="13">
      <c r="A41" s="2">
        <f t="shared" si="0"/>
        <v>32</v>
      </c>
      <c r="C41" s="245"/>
      <c r="D41" s="6"/>
      <c r="E41" s="246"/>
    </row>
    <row r="42" spans="1:11" ht="13">
      <c r="A42" s="2">
        <f t="shared" si="0"/>
        <v>33</v>
      </c>
      <c r="B42" s="40" t="s">
        <v>295</v>
      </c>
    </row>
    <row r="43" spans="1:11" ht="13">
      <c r="A43" s="2">
        <f t="shared" si="0"/>
        <v>34</v>
      </c>
      <c r="B43" s="40"/>
    </row>
    <row r="44" spans="1:11" ht="13">
      <c r="A44" s="2">
        <f t="shared" si="0"/>
        <v>35</v>
      </c>
      <c r="B44" s="40" t="s">
        <v>296</v>
      </c>
    </row>
    <row r="45" spans="1:11" ht="13">
      <c r="A45" s="2">
        <f t="shared" si="0"/>
        <v>36</v>
      </c>
      <c r="B45" s="34" t="s">
        <v>297</v>
      </c>
    </row>
    <row r="46" spans="1:11" ht="13">
      <c r="A46" s="2">
        <f t="shared" si="0"/>
        <v>37</v>
      </c>
      <c r="B46" s="40"/>
      <c r="C46" s="245" t="s">
        <v>298</v>
      </c>
      <c r="D46" s="249">
        <f>'10-CWIP'!D25</f>
        <v>285206915.12</v>
      </c>
      <c r="E46" s="246" t="str">
        <f>"10-CWIP, L "&amp;'10-CWIP'!A25&amp;" C1"</f>
        <v>10-CWIP, L 13 C1</v>
      </c>
      <c r="K46" s="6"/>
    </row>
    <row r="47" spans="1:11" ht="13">
      <c r="A47" s="2">
        <f t="shared" si="0"/>
        <v>38</v>
      </c>
      <c r="B47" s="40"/>
      <c r="C47" s="245" t="s">
        <v>299</v>
      </c>
      <c r="D47" s="922">
        <f>D25</f>
        <v>9.0088490667917964E-2</v>
      </c>
      <c r="E47" s="246" t="str">
        <f>"Line "&amp;A25&amp;""</f>
        <v>Line 16</v>
      </c>
      <c r="K47" s="6"/>
    </row>
    <row r="48" spans="1:11" ht="13">
      <c r="A48" s="2">
        <f t="shared" si="0"/>
        <v>39</v>
      </c>
      <c r="B48" s="40"/>
      <c r="C48" s="245" t="s">
        <v>300</v>
      </c>
      <c r="D48" s="249">
        <f>D46*D47</f>
        <v>25693860.511213791</v>
      </c>
      <c r="E48" s="246" t="str">
        <f>"Line "&amp;A46&amp;" * Line "&amp;A47&amp;""</f>
        <v>Line 37 * Line 38</v>
      </c>
      <c r="K48" s="6"/>
    </row>
    <row r="49" spans="1:11" ht="13">
      <c r="A49" s="2">
        <f t="shared" si="0"/>
        <v>40</v>
      </c>
      <c r="B49" s="40"/>
      <c r="C49" s="245"/>
      <c r="D49" s="249"/>
      <c r="E49" s="246"/>
      <c r="K49" s="6"/>
    </row>
    <row r="50" spans="1:11" ht="13">
      <c r="A50" s="2">
        <f t="shared" si="0"/>
        <v>41</v>
      </c>
      <c r="B50" s="34" t="s">
        <v>301</v>
      </c>
      <c r="K50" s="6"/>
    </row>
    <row r="51" spans="1:11" ht="13">
      <c r="A51" s="2">
        <f t="shared" si="0"/>
        <v>42</v>
      </c>
      <c r="B51" s="40"/>
      <c r="C51" s="245" t="s">
        <v>302</v>
      </c>
      <c r="D51" s="249">
        <f>'15-IncentiveAdder'!G17</f>
        <v>6595.7198638087975</v>
      </c>
      <c r="E51" s="12" t="str">
        <f>"15-IncentiveAdder, Line "&amp;'15-IncentiveAdder'!A17&amp;""</f>
        <v>15-IncentiveAdder, Line 3</v>
      </c>
      <c r="K51" s="6"/>
    </row>
    <row r="52" spans="1:11" ht="13">
      <c r="A52" s="2">
        <f t="shared" si="0"/>
        <v>43</v>
      </c>
      <c r="B52" s="40"/>
      <c r="C52" s="245"/>
      <c r="K52" s="6"/>
    </row>
    <row r="53" spans="1:11" ht="13">
      <c r="A53" s="2">
        <f t="shared" si="0"/>
        <v>44</v>
      </c>
      <c r="B53" s="40"/>
      <c r="C53" s="245" t="s">
        <v>303</v>
      </c>
      <c r="D53" s="6">
        <f>'10-CWIP'!E25</f>
        <v>569300.1</v>
      </c>
      <c r="E53" s="246" t="str">
        <f>"10-CWIP, Line "&amp;'10-CWIP'!A25&amp;""</f>
        <v>10-CWIP, Line 13</v>
      </c>
      <c r="F53" s="247"/>
      <c r="K53" s="6"/>
    </row>
    <row r="54" spans="1:11" ht="13">
      <c r="A54" s="2">
        <f t="shared" si="0"/>
        <v>45</v>
      </c>
      <c r="B54" s="40"/>
      <c r="C54" s="245" t="s">
        <v>304</v>
      </c>
      <c r="D54" s="26">
        <f>'15-IncentiveAdder'!E26</f>
        <v>1.2500000000000001E-2</v>
      </c>
      <c r="E54" s="12" t="str">
        <f>"15-IncentiveAdder, Line "&amp;'15-IncentiveAdder'!A26&amp;""</f>
        <v>15-IncentiveAdder, Line 5</v>
      </c>
      <c r="F54" s="247"/>
      <c r="K54" s="6"/>
    </row>
    <row r="55" spans="1:11" ht="13">
      <c r="A55" s="2">
        <f t="shared" si="0"/>
        <v>46</v>
      </c>
      <c r="B55" s="40"/>
      <c r="C55" s="245" t="s">
        <v>305</v>
      </c>
      <c r="D55" s="6">
        <f>(D53/1000000)*($D$51*(D54/0.01))</f>
        <v>4693.6799725479186</v>
      </c>
      <c r="E55" s="246" t="str">
        <f>"Formula on Line "&amp;A61&amp;""</f>
        <v>Formula on Line 52</v>
      </c>
      <c r="K55" s="6"/>
    </row>
    <row r="56" spans="1:11" ht="13">
      <c r="A56" s="2">
        <f t="shared" si="0"/>
        <v>47</v>
      </c>
      <c r="B56" s="40"/>
      <c r="C56" s="245"/>
      <c r="E56" s="6"/>
      <c r="K56" s="6"/>
    </row>
    <row r="57" spans="1:11" ht="13">
      <c r="A57" s="2">
        <f t="shared" si="0"/>
        <v>48</v>
      </c>
      <c r="C57" s="245" t="s">
        <v>306</v>
      </c>
      <c r="D57" s="6">
        <f>'10-CWIP'!F25</f>
        <v>0</v>
      </c>
      <c r="E57" s="246" t="str">
        <f>"10-CWIP, Line "&amp;'10-CWIP'!A25&amp;""</f>
        <v>10-CWIP, Line 13</v>
      </c>
      <c r="K57" s="6"/>
    </row>
    <row r="58" spans="1:11" ht="13">
      <c r="A58" s="2">
        <f t="shared" si="0"/>
        <v>49</v>
      </c>
      <c r="C58" s="245" t="s">
        <v>307</v>
      </c>
      <c r="D58" s="26">
        <f>'15-IncentiveAdder'!E27</f>
        <v>0.01</v>
      </c>
      <c r="E58" s="12" t="str">
        <f>"15-IncentiveAdder, Line "&amp;'15-IncentiveAdder'!A27&amp;""</f>
        <v>15-IncentiveAdder, Line 6</v>
      </c>
      <c r="K58" s="6"/>
    </row>
    <row r="59" spans="1:11" ht="13">
      <c r="A59" s="2">
        <f t="shared" si="0"/>
        <v>50</v>
      </c>
      <c r="C59" s="245" t="s">
        <v>308</v>
      </c>
      <c r="D59" s="6">
        <f>(D57/1000000)*($D$51*(D58/0.01))</f>
        <v>0</v>
      </c>
      <c r="E59" s="246" t="str">
        <f>"Formula on Line "&amp;A61&amp;""</f>
        <v>Formula on Line 52</v>
      </c>
      <c r="K59" s="6"/>
    </row>
    <row r="60" spans="1:11" ht="13">
      <c r="A60" s="2">
        <f t="shared" si="0"/>
        <v>51</v>
      </c>
      <c r="C60" s="245"/>
      <c r="D60" s="6"/>
      <c r="E60" s="246"/>
      <c r="K60" s="6"/>
    </row>
    <row r="61" spans="1:11" ht="13">
      <c r="A61" s="2">
        <f t="shared" si="0"/>
        <v>52</v>
      </c>
      <c r="C61" s="291" t="s">
        <v>309</v>
      </c>
      <c r="D61" s="6"/>
      <c r="E61" s="246"/>
      <c r="K61" s="6"/>
    </row>
    <row r="62" spans="1:11" ht="13">
      <c r="A62" s="2">
        <f t="shared" si="0"/>
        <v>53</v>
      </c>
      <c r="K62" s="6"/>
    </row>
    <row r="63" spans="1:11" ht="13">
      <c r="A63" s="2">
        <f t="shared" si="0"/>
        <v>54</v>
      </c>
      <c r="C63" s="245" t="s">
        <v>310</v>
      </c>
      <c r="D63" s="249">
        <f>D48+D55+D59</f>
        <v>25698554.191186339</v>
      </c>
      <c r="E63" s="246" t="str">
        <f>"Line "&amp;A48&amp;" + Line "&amp;A55&amp;" + Line "&amp;A59&amp;""</f>
        <v>Line 39 + Line 46 + Line 50</v>
      </c>
      <c r="K63" s="6"/>
    </row>
    <row r="64" spans="1:11" ht="13">
      <c r="A64" s="2">
        <f t="shared" si="0"/>
        <v>55</v>
      </c>
      <c r="C64" s="245" t="s">
        <v>311</v>
      </c>
      <c r="D64" s="53">
        <f>('28-FFU'!D22+'28-FFU'!E22)*D63</f>
        <v>460090.47583576263</v>
      </c>
      <c r="E64" s="246" t="str">
        <f>"(28-FFU, L"&amp;'28-FFU'!A22&amp;" FF Factor + U Factor) * L"&amp;A63&amp;""</f>
        <v>(28-FFU, L5 FF Factor + U Factor) * L54</v>
      </c>
      <c r="K64" s="6"/>
    </row>
    <row r="65" spans="1:11" ht="13">
      <c r="A65" s="2">
        <f t="shared" si="0"/>
        <v>56</v>
      </c>
      <c r="C65" s="245" t="s">
        <v>312</v>
      </c>
      <c r="D65" s="249">
        <f>SUM(D63:D64)</f>
        <v>26158644.667022102</v>
      </c>
      <c r="E65" s="246" t="str">
        <f>"Line "&amp;A63&amp;" + Line "&amp;A64&amp;""</f>
        <v>Line 54 + Line 55</v>
      </c>
      <c r="K65" s="6"/>
    </row>
    <row r="66" spans="1:11" ht="13">
      <c r="A66" s="2">
        <f t="shared" si="0"/>
        <v>57</v>
      </c>
      <c r="C66" s="245"/>
      <c r="D66" s="249"/>
      <c r="E66" s="246"/>
      <c r="K66" s="6"/>
    </row>
    <row r="67" spans="1:11" ht="13">
      <c r="A67" s="2">
        <f t="shared" si="0"/>
        <v>58</v>
      </c>
      <c r="B67" s="40" t="s">
        <v>313</v>
      </c>
      <c r="C67" s="245"/>
      <c r="D67" s="249"/>
      <c r="E67" s="246"/>
      <c r="K67" s="6"/>
    </row>
    <row r="68" spans="1:11" ht="13">
      <c r="A68" s="2">
        <f t="shared" si="0"/>
        <v>59</v>
      </c>
      <c r="K68" s="6"/>
    </row>
    <row r="69" spans="1:11" ht="13">
      <c r="A69" s="2">
        <f t="shared" si="0"/>
        <v>60</v>
      </c>
      <c r="C69" s="245" t="s">
        <v>310</v>
      </c>
      <c r="D69" s="249">
        <f>D63</f>
        <v>25698554.191186339</v>
      </c>
      <c r="E69" s="246" t="str">
        <f>"Line "&amp;A63&amp;""</f>
        <v>Line 54</v>
      </c>
      <c r="K69" s="6"/>
    </row>
    <row r="70" spans="1:11" ht="13">
      <c r="A70" s="2">
        <f t="shared" si="0"/>
        <v>61</v>
      </c>
      <c r="C70" s="245" t="s">
        <v>314</v>
      </c>
      <c r="D70" s="249">
        <f>'1-BaseTRR'!K139</f>
        <v>1253678108.4144018</v>
      </c>
      <c r="E70" s="246" t="str">
        <f>"1-BaseTRR, Line "&amp;'1-BaseTRR'!A139&amp;""</f>
        <v>1-BaseTRR, Line 78</v>
      </c>
      <c r="K70" s="6"/>
    </row>
    <row r="71" spans="1:11" ht="13">
      <c r="A71" s="2">
        <f t="shared" si="0"/>
        <v>62</v>
      </c>
      <c r="C71" s="245" t="s">
        <v>315</v>
      </c>
      <c r="D71" s="249">
        <f>D70-D69</f>
        <v>1227979554.2232153</v>
      </c>
      <c r="E71" s="246" t="str">
        <f>"Line "&amp;A70&amp;" - Line "&amp;A69&amp;""</f>
        <v>Line 61 - Line 60</v>
      </c>
      <c r="K71" s="6"/>
    </row>
    <row r="72" spans="1:11" ht="13">
      <c r="A72" s="2">
        <f t="shared" si="0"/>
        <v>63</v>
      </c>
      <c r="C72" s="404" t="s">
        <v>316</v>
      </c>
      <c r="D72" s="6">
        <f>('1-BaseTRR'!K126+'1-BaseTRR'!K127)*0.75</f>
        <v>187246698.78888035</v>
      </c>
      <c r="E72" s="246" t="str">
        <f>"(1-BaseTRR, Line "&amp;'1-BaseTRR'!A126&amp;" + Line "&amp;'1-BaseTRR'!A127&amp;") * .75"</f>
        <v>(1-BaseTRR, Line 66 + Line 67) * .75</v>
      </c>
      <c r="K72" s="6"/>
    </row>
    <row r="73" spans="1:11" ht="13">
      <c r="A73" s="2">
        <f t="shared" si="0"/>
        <v>64</v>
      </c>
      <c r="C73" s="245" t="s">
        <v>317</v>
      </c>
      <c r="D73" s="922">
        <f xml:space="preserve"> (D71-D72)/D40</f>
        <v>0.12251400292075867</v>
      </c>
      <c r="E73" s="246" t="str">
        <f>"(Line "&amp;A71&amp;" - Line "&amp;A72&amp;") / Line "&amp;A40&amp;""</f>
        <v>(Line 62 - Line 63) / Line 31</v>
      </c>
      <c r="K73" s="6"/>
    </row>
    <row r="74" spans="1:11" ht="13">
      <c r="A74" s="2">
        <f t="shared" si="0"/>
        <v>65</v>
      </c>
      <c r="D74" s="6"/>
      <c r="E74" s="246"/>
    </row>
    <row r="75" spans="1:11" ht="13">
      <c r="A75" s="2">
        <f t="shared" si="0"/>
        <v>66</v>
      </c>
      <c r="B75" s="1" t="s">
        <v>318</v>
      </c>
    </row>
    <row r="76" spans="1:11" ht="13">
      <c r="A76" s="2">
        <f t="shared" si="0"/>
        <v>67</v>
      </c>
    </row>
    <row r="77" spans="1:11" ht="13">
      <c r="A77" s="2">
        <f t="shared" si="0"/>
        <v>68</v>
      </c>
      <c r="E77" s="3" t="s">
        <v>251</v>
      </c>
      <c r="I77" s="1"/>
    </row>
    <row r="78" spans="1:11" ht="13">
      <c r="A78" s="2">
        <f t="shared" si="0"/>
        <v>69</v>
      </c>
      <c r="C78" s="245" t="s">
        <v>319</v>
      </c>
      <c r="D78" s="6">
        <f>'16-PlantAdditions'!N37</f>
        <v>678278004.27268493</v>
      </c>
      <c r="E78" s="246" t="str">
        <f>"16-PlantAdditions, L "&amp;'16-PlantAdditions'!A37&amp;", C10"</f>
        <v>16-PlantAdditions, L 25, C10</v>
      </c>
      <c r="K78" s="6"/>
    </row>
    <row r="79" spans="1:11" ht="13">
      <c r="A79" s="2">
        <f t="shared" si="0"/>
        <v>70</v>
      </c>
      <c r="C79" s="245" t="s">
        <v>317</v>
      </c>
      <c r="D79" s="1070">
        <f>D73</f>
        <v>0.12251400292075867</v>
      </c>
      <c r="E79" s="246" t="str">
        <f>"Line "&amp;A73&amp;""</f>
        <v>Line 64</v>
      </c>
      <c r="K79" s="382"/>
    </row>
    <row r="80" spans="1:11" ht="13">
      <c r="A80" s="2">
        <f t="shared" si="0"/>
        <v>71</v>
      </c>
      <c r="C80" s="245" t="s">
        <v>320</v>
      </c>
      <c r="D80" s="6">
        <f>D78*D79</f>
        <v>83098553.396550089</v>
      </c>
      <c r="E80" s="246" t="str">
        <f>"Line "&amp;A78&amp;" * Line "&amp;A79&amp;""</f>
        <v>Line 69 * Line 70</v>
      </c>
      <c r="K80" s="6"/>
    </row>
    <row r="81" spans="1:11" ht="13">
      <c r="A81" s="2">
        <f t="shared" si="0"/>
        <v>72</v>
      </c>
      <c r="K81" s="6"/>
    </row>
    <row r="82" spans="1:11" ht="13">
      <c r="A82" s="2">
        <f t="shared" si="0"/>
        <v>73</v>
      </c>
      <c r="C82" s="245" t="s">
        <v>321</v>
      </c>
      <c r="D82" s="6">
        <f>'10-CWIP'!K79</f>
        <v>-206740557.59515756</v>
      </c>
      <c r="E82" s="246" t="str">
        <f>"10-CWIP, L "&amp;'10-CWIP'!A79&amp;", C8"</f>
        <v>10-CWIP, L 54, C8</v>
      </c>
      <c r="K82" s="6"/>
    </row>
    <row r="83" spans="1:11" ht="13">
      <c r="A83" s="2">
        <f t="shared" si="0"/>
        <v>74</v>
      </c>
      <c r="C83" s="245" t="s">
        <v>299</v>
      </c>
      <c r="D83" s="1070">
        <f>D25</f>
        <v>9.0088490667917964E-2</v>
      </c>
      <c r="E83" s="246" t="str">
        <f>"Line "&amp;A25&amp;""</f>
        <v>Line 16</v>
      </c>
      <c r="K83" s="382"/>
    </row>
    <row r="84" spans="1:11" ht="13">
      <c r="A84" s="2">
        <f t="shared" si="0"/>
        <v>75</v>
      </c>
      <c r="C84" s="245" t="s">
        <v>322</v>
      </c>
      <c r="D84" s="6">
        <f>D82*D83</f>
        <v>-18624944.793591507</v>
      </c>
      <c r="E84" s="246" t="str">
        <f>"Line "&amp;A82&amp;" * Line "&amp;A83&amp;""</f>
        <v>Line 73 * Line 74</v>
      </c>
      <c r="K84" s="6"/>
    </row>
    <row r="85" spans="1:11" ht="13">
      <c r="A85" s="2">
        <f t="shared" si="0"/>
        <v>76</v>
      </c>
      <c r="K85" s="6"/>
    </row>
    <row r="86" spans="1:11" ht="13">
      <c r="A86" s="2">
        <f t="shared" si="0"/>
        <v>77</v>
      </c>
      <c r="C86" s="245" t="s">
        <v>323</v>
      </c>
      <c r="D86" s="6">
        <f>D80+D84</f>
        <v>64473608.602958582</v>
      </c>
      <c r="E86" s="246" t="str">
        <f>"Line "&amp;A80&amp;" + Line "&amp;A84&amp;""</f>
        <v>Line 71 + Line 75</v>
      </c>
      <c r="K86" s="6"/>
    </row>
    <row r="87" spans="1:11" ht="13">
      <c r="A87" s="2">
        <f t="shared" si="0"/>
        <v>78</v>
      </c>
      <c r="K87" s="6"/>
    </row>
    <row r="88" spans="1:11" ht="13">
      <c r="A88" s="2">
        <f t="shared" ref="A88:A91" si="1">A87+1</f>
        <v>79</v>
      </c>
      <c r="C88" s="245" t="s">
        <v>324</v>
      </c>
      <c r="D88" s="6">
        <f>'28-FFU'!D22*D86</f>
        <v>603768.37122613168</v>
      </c>
      <c r="E88" s="12" t="str">
        <f>"Line "&amp;A86&amp;" * FF (from 28-FFU, L "&amp;'28-FFU'!A22&amp;")"</f>
        <v>Line 77 * FF (from 28-FFU, L 5)</v>
      </c>
      <c r="K88" s="6"/>
    </row>
    <row r="89" spans="1:11" ht="13">
      <c r="A89" s="2">
        <f t="shared" si="1"/>
        <v>80</v>
      </c>
      <c r="C89" s="25" t="s">
        <v>325</v>
      </c>
      <c r="D89" s="6">
        <f>'28-FFU'!E22*D86</f>
        <v>550525.87584701669</v>
      </c>
      <c r="E89" s="12" t="str">
        <f>"Line "&amp;A86&amp;" * U (from 28-FFU, L "&amp;'28-FFU'!A22&amp;")"</f>
        <v>Line 77 * U (from 28-FFU, L 5)</v>
      </c>
      <c r="K89" s="6"/>
    </row>
    <row r="90" spans="1:11" ht="13">
      <c r="A90" s="2">
        <f t="shared" si="1"/>
        <v>81</v>
      </c>
      <c r="D90" s="6"/>
      <c r="K90" s="6"/>
    </row>
    <row r="91" spans="1:11" ht="13">
      <c r="A91" s="2">
        <f t="shared" si="1"/>
        <v>82</v>
      </c>
      <c r="C91" s="25" t="s">
        <v>326</v>
      </c>
      <c r="D91" s="6">
        <f>D86+D88+D89</f>
        <v>65627902.850031734</v>
      </c>
      <c r="E91" s="246" t="str">
        <f>"Line "&amp;A86&amp;" + Line "&amp;A88&amp;" + Line "&amp;A89&amp;""</f>
        <v>Line 77 + Line 79 + Line 80</v>
      </c>
      <c r="K91" s="6"/>
    </row>
  </sheetData>
  <phoneticPr fontId="23" type="noConversion"/>
  <pageMargins left="0.75" right="0.75" top="1" bottom="1" header="0.5" footer="0.5"/>
  <pageSetup scale="75" orientation="portrait" cellComments="asDisplayed" r:id="rId1"/>
  <headerFooter alignWithMargins="0">
    <oddHeader>&amp;CSchedule 2
Incremental Forecast Period TRR
&amp;RTO2024 Annual Update 
Attachment 1</oddHeader>
    <oddFooter>&amp;R&amp;A</oddFooter>
  </headerFooter>
  <rowBreaks count="1" manualBreakCount="1">
    <brk id="65"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zoomScalePageLayoutView="7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327</v>
      </c>
      <c r="B1" s="116"/>
      <c r="C1" s="116"/>
      <c r="D1" s="116"/>
      <c r="E1" s="116"/>
      <c r="F1" s="116"/>
      <c r="G1" s="116"/>
      <c r="H1" s="116"/>
      <c r="I1" s="116"/>
      <c r="J1" s="116"/>
      <c r="K1" s="116"/>
      <c r="L1" s="116"/>
    </row>
    <row r="2" spans="1:12">
      <c r="A2" s="116"/>
      <c r="B2" s="116"/>
      <c r="C2" s="116"/>
      <c r="D2" s="116"/>
      <c r="E2" s="116"/>
      <c r="F2" s="116"/>
      <c r="G2" s="116"/>
      <c r="H2" s="116"/>
      <c r="I2" s="116"/>
      <c r="J2" s="116"/>
      <c r="K2" s="116"/>
      <c r="L2" s="116"/>
    </row>
    <row r="3" spans="1:12" ht="13">
      <c r="A3" s="116"/>
      <c r="B3" s="1" t="s">
        <v>328</v>
      </c>
      <c r="C3" s="116"/>
      <c r="D3" s="116"/>
      <c r="E3" s="116"/>
      <c r="F3" s="116"/>
      <c r="G3" s="116"/>
      <c r="H3" s="116"/>
      <c r="I3" s="116"/>
      <c r="J3" s="116"/>
      <c r="K3" s="116"/>
      <c r="L3" s="116"/>
    </row>
    <row r="4" spans="1:12">
      <c r="A4" s="116"/>
      <c r="B4" s="246" t="s">
        <v>329</v>
      </c>
      <c r="C4" s="116"/>
      <c r="D4" s="116"/>
      <c r="E4" s="116"/>
      <c r="F4" s="116"/>
      <c r="G4" s="116"/>
      <c r="H4" s="116"/>
      <c r="I4" s="116"/>
      <c r="J4" s="116"/>
      <c r="K4" s="116"/>
      <c r="L4" s="116"/>
    </row>
    <row r="5" spans="1:12">
      <c r="A5" s="116"/>
      <c r="B5" s="246" t="s">
        <v>330</v>
      </c>
      <c r="C5" s="116"/>
      <c r="D5" s="116"/>
      <c r="E5" s="116"/>
      <c r="F5" s="116"/>
      <c r="G5" s="116"/>
      <c r="H5" s="116"/>
      <c r="I5" s="116"/>
      <c r="J5" s="116"/>
      <c r="K5" s="116"/>
      <c r="L5" s="116"/>
    </row>
    <row r="6" spans="1:12">
      <c r="A6" s="116"/>
      <c r="B6" s="246" t="s">
        <v>331</v>
      </c>
      <c r="C6" s="116"/>
      <c r="D6" s="116"/>
      <c r="E6" s="116"/>
      <c r="F6" s="116"/>
      <c r="G6" s="116"/>
      <c r="H6" s="116"/>
      <c r="I6" s="116"/>
      <c r="J6" s="116"/>
      <c r="K6" s="116"/>
      <c r="L6" s="116"/>
    </row>
    <row r="7" spans="1:12">
      <c r="A7" s="116"/>
      <c r="B7" s="246" t="str">
        <f>"d) Include previous Annual Update Cumulative Excess or Shortfall in Prior Year (from Previous Annual Update Line "&amp;A36&amp;")"</f>
        <v>d) Include previous Annual Update Cumulative Excess or Shortfall in Prior Year (from Previous Annual Update Line 23)</v>
      </c>
      <c r="C7" s="116"/>
      <c r="D7" s="116"/>
      <c r="E7" s="116"/>
      <c r="F7" s="116"/>
      <c r="G7" s="116"/>
      <c r="H7" s="116"/>
      <c r="I7" s="116"/>
      <c r="J7" s="116"/>
      <c r="K7" s="116"/>
      <c r="L7" s="116"/>
    </row>
    <row r="8" spans="1:12">
      <c r="A8" s="116"/>
      <c r="B8" s="496" t="str">
        <f>"and any One-Time Adjustments in Column 4 (Lines "&amp;A24&amp;" and "&amp;A25&amp;" respectively)."</f>
        <v>and any One-Time Adjustments in Column 4 (Lines 11 and 12 respectively).</v>
      </c>
      <c r="C8" s="116"/>
      <c r="D8" s="116"/>
      <c r="E8" s="116"/>
      <c r="F8" s="116"/>
      <c r="G8" s="116"/>
      <c r="H8" s="116"/>
      <c r="I8" s="116"/>
      <c r="J8" s="116"/>
      <c r="K8" s="116"/>
      <c r="L8" s="116"/>
    </row>
    <row r="9" spans="1:12">
      <c r="A9" s="116"/>
      <c r="B9" s="246"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6"/>
      <c r="D9" s="116"/>
      <c r="E9" s="116"/>
      <c r="F9" s="116"/>
      <c r="G9" s="116"/>
      <c r="H9" s="116"/>
      <c r="I9" s="116"/>
      <c r="J9" s="116"/>
      <c r="K9" s="116"/>
      <c r="L9" s="116"/>
    </row>
    <row r="10" spans="1:12">
      <c r="A10" s="116"/>
      <c r="B10" s="116"/>
      <c r="C10" s="116"/>
      <c r="D10" s="116"/>
      <c r="E10" s="116"/>
      <c r="F10" s="116"/>
      <c r="G10" s="116"/>
      <c r="H10" s="116"/>
      <c r="I10" s="116"/>
      <c r="J10" s="116"/>
      <c r="K10" s="116"/>
      <c r="L10" s="116"/>
    </row>
    <row r="11" spans="1:12" ht="13">
      <c r="A11" s="2"/>
      <c r="B11" s="47" t="s">
        <v>332</v>
      </c>
      <c r="C11" s="116"/>
      <c r="D11" s="117"/>
      <c r="E11" s="118"/>
      <c r="F11" s="116"/>
      <c r="G11" s="116"/>
      <c r="H11" s="116"/>
      <c r="I11" s="116"/>
      <c r="J11" s="116"/>
      <c r="K11" s="249"/>
      <c r="L11" s="116"/>
    </row>
    <row r="12" spans="1:12" ht="13">
      <c r="A12" s="2"/>
      <c r="B12" s="40" t="s">
        <v>333</v>
      </c>
      <c r="C12" s="116"/>
      <c r="D12" s="117"/>
      <c r="E12" s="118"/>
      <c r="F12" s="116"/>
      <c r="G12" s="116"/>
      <c r="H12" s="116"/>
      <c r="I12" s="116"/>
      <c r="J12" s="116"/>
      <c r="K12" s="116"/>
      <c r="L12" s="116"/>
    </row>
    <row r="13" spans="1:12" ht="13">
      <c r="A13" s="32" t="s">
        <v>273</v>
      </c>
      <c r="B13" s="116"/>
      <c r="C13" s="47"/>
      <c r="D13" s="117"/>
      <c r="E13" s="118"/>
      <c r="F13" s="3"/>
      <c r="G13" s="116"/>
      <c r="H13" s="116"/>
      <c r="I13" s="116"/>
      <c r="J13" s="116"/>
      <c r="K13" s="116"/>
      <c r="L13" s="116"/>
    </row>
    <row r="14" spans="1:12" ht="13">
      <c r="A14" s="2">
        <f>A7+1</f>
        <v>1</v>
      </c>
      <c r="B14" s="116"/>
      <c r="C14" s="116"/>
      <c r="D14" s="260" t="s">
        <v>334</v>
      </c>
      <c r="E14" s="118">
        <f>'4-TUTRR'!E74</f>
        <v>1254760402.2978139</v>
      </c>
      <c r="F14" s="261" t="s">
        <v>335</v>
      </c>
      <c r="G14" s="116"/>
      <c r="H14" s="116" t="str">
        <f>"Line "&amp;'4-TUTRR'!A74&amp;""</f>
        <v>Line 46</v>
      </c>
      <c r="I14" s="116"/>
      <c r="J14" s="116"/>
      <c r="K14" s="116"/>
      <c r="L14" s="116"/>
    </row>
    <row r="15" spans="1:12" ht="13">
      <c r="A15" s="2">
        <f>A14+1</f>
        <v>2</v>
      </c>
      <c r="B15" s="47"/>
      <c r="C15" s="116"/>
      <c r="D15" s="116"/>
      <c r="E15" s="116"/>
      <c r="F15" s="116"/>
      <c r="G15" s="116"/>
      <c r="H15" s="118"/>
      <c r="I15" s="116"/>
      <c r="J15" s="116"/>
      <c r="K15" s="116"/>
      <c r="L15" s="116"/>
    </row>
    <row r="16" spans="1:12" ht="13">
      <c r="A16" s="2">
        <f t="shared" ref="A16:A50" si="0">A15+1</f>
        <v>3</v>
      </c>
      <c r="B16" s="116"/>
      <c r="C16" s="116"/>
      <c r="D16" s="48" t="s">
        <v>336</v>
      </c>
      <c r="E16" s="48" t="s">
        <v>337</v>
      </c>
      <c r="F16" s="48" t="s">
        <v>338</v>
      </c>
      <c r="G16" s="48" t="s">
        <v>339</v>
      </c>
      <c r="H16" s="48" t="s">
        <v>340</v>
      </c>
      <c r="I16" s="48" t="s">
        <v>341</v>
      </c>
      <c r="J16" s="48" t="s">
        <v>342</v>
      </c>
      <c r="K16" s="48" t="s">
        <v>343</v>
      </c>
      <c r="L16" s="48" t="s">
        <v>344</v>
      </c>
    </row>
    <row r="17" spans="1:12" ht="13">
      <c r="A17" s="2">
        <f t="shared" si="0"/>
        <v>4</v>
      </c>
      <c r="B17" s="116"/>
      <c r="C17" s="117" t="s">
        <v>345</v>
      </c>
      <c r="D17" s="48"/>
      <c r="E17" s="248" t="s">
        <v>346</v>
      </c>
      <c r="F17" s="248" t="s">
        <v>347</v>
      </c>
      <c r="G17" s="248" t="s">
        <v>348</v>
      </c>
      <c r="H17" s="253" t="s">
        <v>349</v>
      </c>
      <c r="I17" s="248" t="s">
        <v>350</v>
      </c>
      <c r="J17" s="248" t="s">
        <v>351</v>
      </c>
      <c r="K17" s="248" t="s">
        <v>352</v>
      </c>
      <c r="L17" s="253" t="s">
        <v>353</v>
      </c>
    </row>
    <row r="18" spans="1:12" ht="13">
      <c r="A18" s="2">
        <f t="shared" si="0"/>
        <v>5</v>
      </c>
      <c r="B18" s="116"/>
      <c r="C18" s="116"/>
      <c r="D18" s="48"/>
      <c r="G18" s="4" t="s">
        <v>354</v>
      </c>
      <c r="I18" s="48"/>
      <c r="J18" s="2" t="s">
        <v>355</v>
      </c>
      <c r="K18" s="48"/>
      <c r="L18" s="48"/>
    </row>
    <row r="19" spans="1:12" ht="13">
      <c r="A19" s="2">
        <f t="shared" si="0"/>
        <v>6</v>
      </c>
      <c r="B19" s="116"/>
      <c r="C19" s="116"/>
      <c r="D19" s="48"/>
      <c r="G19" s="238" t="s">
        <v>356</v>
      </c>
      <c r="I19" s="116"/>
      <c r="J19" s="2" t="s">
        <v>357</v>
      </c>
      <c r="K19" s="116"/>
      <c r="L19" s="2" t="s">
        <v>355</v>
      </c>
    </row>
    <row r="20" spans="1:12" ht="13">
      <c r="A20" s="2">
        <f t="shared" si="0"/>
        <v>7</v>
      </c>
      <c r="B20" s="116"/>
      <c r="C20" s="116"/>
      <c r="D20" s="48"/>
      <c r="F20" s="2" t="s">
        <v>358</v>
      </c>
      <c r="G20" s="2" t="s">
        <v>359</v>
      </c>
      <c r="H20" s="2" t="s">
        <v>360</v>
      </c>
      <c r="I20" s="116"/>
      <c r="J20" s="2" t="s">
        <v>361</v>
      </c>
      <c r="K20" s="116"/>
      <c r="L20" s="2" t="s">
        <v>357</v>
      </c>
    </row>
    <row r="21" spans="1:12" ht="13">
      <c r="A21" s="2">
        <f t="shared" si="0"/>
        <v>8</v>
      </c>
      <c r="B21" s="116"/>
      <c r="C21" s="116"/>
      <c r="D21" s="2"/>
      <c r="E21" s="2" t="s">
        <v>360</v>
      </c>
      <c r="F21" s="2" t="s">
        <v>362</v>
      </c>
      <c r="G21" s="2" t="s">
        <v>363</v>
      </c>
      <c r="H21" s="2" t="s">
        <v>357</v>
      </c>
      <c r="I21" s="2" t="s">
        <v>360</v>
      </c>
      <c r="J21" s="2" t="s">
        <v>364</v>
      </c>
      <c r="K21" s="119" t="s">
        <v>365</v>
      </c>
      <c r="L21" s="2" t="s">
        <v>361</v>
      </c>
    </row>
    <row r="22" spans="1:12" ht="13">
      <c r="A22" s="2">
        <f t="shared" si="0"/>
        <v>9</v>
      </c>
      <c r="B22" s="116"/>
      <c r="C22" s="116"/>
      <c r="D22" s="2"/>
      <c r="E22" s="2" t="s">
        <v>366</v>
      </c>
      <c r="F22" s="2" t="s">
        <v>367</v>
      </c>
      <c r="G22" s="2" t="s">
        <v>368</v>
      </c>
      <c r="H22" s="2" t="s">
        <v>361</v>
      </c>
      <c r="I22" s="2" t="s">
        <v>365</v>
      </c>
      <c r="J22" s="2" t="s">
        <v>369</v>
      </c>
      <c r="K22" s="2" t="s">
        <v>370</v>
      </c>
      <c r="L22" s="2" t="s">
        <v>364</v>
      </c>
    </row>
    <row r="23" spans="1:12" ht="13">
      <c r="A23" s="2">
        <f t="shared" si="0"/>
        <v>10</v>
      </c>
      <c r="B23" s="116"/>
      <c r="C23" s="18" t="s">
        <v>371</v>
      </c>
      <c r="D23" s="18" t="s">
        <v>372</v>
      </c>
      <c r="E23" s="3" t="s">
        <v>373</v>
      </c>
      <c r="F23" s="3" t="s">
        <v>374</v>
      </c>
      <c r="G23" s="3" t="s">
        <v>375</v>
      </c>
      <c r="H23" s="3" t="s">
        <v>364</v>
      </c>
      <c r="I23" s="3" t="s">
        <v>376</v>
      </c>
      <c r="J23" s="3" t="s">
        <v>377</v>
      </c>
      <c r="K23" s="3" t="s">
        <v>371</v>
      </c>
      <c r="L23" s="3" t="s">
        <v>378</v>
      </c>
    </row>
    <row r="24" spans="1:12" ht="13">
      <c r="A24" s="2">
        <f>A23+1</f>
        <v>11</v>
      </c>
      <c r="B24" s="116"/>
      <c r="C24" s="266" t="s">
        <v>379</v>
      </c>
      <c r="D24" s="346">
        <v>2021</v>
      </c>
      <c r="E24" s="122" t="s">
        <v>380</v>
      </c>
      <c r="F24" s="122" t="s">
        <v>380</v>
      </c>
      <c r="G24" s="277">
        <v>155243612</v>
      </c>
      <c r="H24" s="118">
        <f>G24</f>
        <v>155243612</v>
      </c>
      <c r="I24" s="122" t="s">
        <v>380</v>
      </c>
      <c r="J24" s="121">
        <f>H24</f>
        <v>155243612</v>
      </c>
      <c r="K24" s="122" t="s">
        <v>380</v>
      </c>
      <c r="L24" s="249">
        <f>J24</f>
        <v>155243612</v>
      </c>
    </row>
    <row r="25" spans="1:12" ht="13">
      <c r="A25" s="2">
        <f t="shared" ref="A25:A36" si="1">A24+1</f>
        <v>12</v>
      </c>
      <c r="B25" s="116"/>
      <c r="C25" s="14" t="s">
        <v>381</v>
      </c>
      <c r="D25" s="346">
        <v>2022</v>
      </c>
      <c r="E25" s="118">
        <f>$E$14/12</f>
        <v>104563366.85815115</v>
      </c>
      <c r="F25" s="118">
        <f>C77</f>
        <v>122483904.98999999</v>
      </c>
      <c r="G25" s="1071">
        <v>-267141.9399175201</v>
      </c>
      <c r="H25" s="118">
        <f>E25-F25+G25</f>
        <v>-18187680.071766362</v>
      </c>
      <c r="I25" s="809">
        <v>2.7000000000000001E-3</v>
      </c>
      <c r="J25" s="121">
        <f>L24+H25</f>
        <v>137055931.92823362</v>
      </c>
      <c r="K25" s="121">
        <f>((L24+J25)/2)*I25</f>
        <v>394604.38430311542</v>
      </c>
      <c r="L25" s="121">
        <f>J25+K25</f>
        <v>137450536.31253675</v>
      </c>
    </row>
    <row r="26" spans="1:12" ht="13">
      <c r="A26" s="2">
        <f t="shared" si="1"/>
        <v>13</v>
      </c>
      <c r="B26" s="116"/>
      <c r="C26" s="14" t="s">
        <v>382</v>
      </c>
      <c r="D26" s="346">
        <v>2022</v>
      </c>
      <c r="E26" s="118">
        <f>$E$14/12</f>
        <v>104563366.85815115</v>
      </c>
      <c r="F26" s="118">
        <f t="shared" ref="F26:F36" si="2">C78</f>
        <v>94507390.75</v>
      </c>
      <c r="G26" s="277"/>
      <c r="H26" s="118">
        <f t="shared" ref="H26:H35" si="3">E26-F26+G26</f>
        <v>10055976.108151153</v>
      </c>
      <c r="I26" s="809">
        <v>2.7000000000000001E-3</v>
      </c>
      <c r="J26" s="121">
        <f>L25+H26</f>
        <v>147506512.42068791</v>
      </c>
      <c r="K26" s="121">
        <f>((L25+J26)/2)*I26</f>
        <v>384692.01578985329</v>
      </c>
      <c r="L26" s="121">
        <f t="shared" ref="L26:L35" si="4">J26+K26</f>
        <v>147891204.43647778</v>
      </c>
    </row>
    <row r="27" spans="1:12" ht="13">
      <c r="A27" s="2">
        <f t="shared" si="1"/>
        <v>14</v>
      </c>
      <c r="B27" s="116"/>
      <c r="C27" s="14" t="s">
        <v>383</v>
      </c>
      <c r="D27" s="346">
        <v>2022</v>
      </c>
      <c r="E27" s="118">
        <f t="shared" ref="E27:E36" si="5">$E$14/12</f>
        <v>104563366.85815115</v>
      </c>
      <c r="F27" s="118">
        <f t="shared" si="2"/>
        <v>117014067.94</v>
      </c>
      <c r="G27" s="277"/>
      <c r="H27" s="118">
        <f t="shared" si="3"/>
        <v>-12450701.081848845</v>
      </c>
      <c r="I27" s="809">
        <v>2.7000000000000001E-3</v>
      </c>
      <c r="J27" s="121">
        <f t="shared" ref="J27:J35" si="6">L26+H27</f>
        <v>135440503.35462892</v>
      </c>
      <c r="K27" s="121">
        <f t="shared" ref="K27:K36" si="7">((L26+J27)/2)*I27</f>
        <v>382497.80551799404</v>
      </c>
      <c r="L27" s="121">
        <f t="shared" si="4"/>
        <v>135823001.16014692</v>
      </c>
    </row>
    <row r="28" spans="1:12" ht="13">
      <c r="A28" s="2">
        <f t="shared" si="1"/>
        <v>15</v>
      </c>
      <c r="B28" s="116"/>
      <c r="C28" s="14" t="s">
        <v>384</v>
      </c>
      <c r="D28" s="346">
        <v>2022</v>
      </c>
      <c r="E28" s="118">
        <f t="shared" si="5"/>
        <v>104563366.85815115</v>
      </c>
      <c r="F28" s="118">
        <f t="shared" si="2"/>
        <v>111881558.36</v>
      </c>
      <c r="G28" s="277"/>
      <c r="H28" s="118">
        <f t="shared" si="3"/>
        <v>-7318191.5018488467</v>
      </c>
      <c r="I28" s="809">
        <v>2.7000000000000001E-3</v>
      </c>
      <c r="J28" s="121">
        <f t="shared" si="6"/>
        <v>128504809.65829808</v>
      </c>
      <c r="K28" s="121">
        <f t="shared" si="7"/>
        <v>356842.54460490076</v>
      </c>
      <c r="L28" s="121">
        <f t="shared" si="4"/>
        <v>128861652.20290297</v>
      </c>
    </row>
    <row r="29" spans="1:12" ht="13">
      <c r="A29" s="2">
        <f t="shared" si="1"/>
        <v>16</v>
      </c>
      <c r="B29" s="116"/>
      <c r="C29" s="14" t="s">
        <v>385</v>
      </c>
      <c r="D29" s="346">
        <v>2022</v>
      </c>
      <c r="E29" s="118">
        <f t="shared" si="5"/>
        <v>104563366.85815115</v>
      </c>
      <c r="F29" s="118">
        <f t="shared" si="2"/>
        <v>118791837.03</v>
      </c>
      <c r="G29" s="277"/>
      <c r="H29" s="118">
        <f t="shared" si="3"/>
        <v>-14228470.171848848</v>
      </c>
      <c r="I29" s="809">
        <v>2.7000000000000001E-3</v>
      </c>
      <c r="J29" s="121">
        <f t="shared" si="6"/>
        <v>114633182.03105412</v>
      </c>
      <c r="K29" s="121">
        <f t="shared" si="7"/>
        <v>328718.02621584211</v>
      </c>
      <c r="L29" s="121">
        <f t="shared" si="4"/>
        <v>114961900.05726996</v>
      </c>
    </row>
    <row r="30" spans="1:12" ht="13">
      <c r="A30" s="2">
        <f t="shared" si="1"/>
        <v>17</v>
      </c>
      <c r="B30" s="116"/>
      <c r="C30" s="14" t="s">
        <v>386</v>
      </c>
      <c r="D30" s="346">
        <v>2022</v>
      </c>
      <c r="E30" s="118">
        <f t="shared" si="5"/>
        <v>104563366.85815115</v>
      </c>
      <c r="F30" s="118">
        <f t="shared" si="2"/>
        <v>104286348.62</v>
      </c>
      <c r="G30" s="277"/>
      <c r="H30" s="118">
        <f t="shared" si="3"/>
        <v>277018.23815114796</v>
      </c>
      <c r="I30" s="809">
        <v>2.7000000000000001E-3</v>
      </c>
      <c r="J30" s="121">
        <f t="shared" si="6"/>
        <v>115238918.29542111</v>
      </c>
      <c r="K30" s="121">
        <f t="shared" si="7"/>
        <v>310771.10477613297</v>
      </c>
      <c r="L30" s="121">
        <f t="shared" si="4"/>
        <v>115549689.40019724</v>
      </c>
    </row>
    <row r="31" spans="1:12" ht="13">
      <c r="A31" s="2">
        <f t="shared" si="1"/>
        <v>18</v>
      </c>
      <c r="B31" s="116"/>
      <c r="C31" s="14" t="s">
        <v>387</v>
      </c>
      <c r="D31" s="346">
        <v>2022</v>
      </c>
      <c r="E31" s="118">
        <f t="shared" si="5"/>
        <v>104563366.85815115</v>
      </c>
      <c r="F31" s="118">
        <f t="shared" si="2"/>
        <v>154197927.97</v>
      </c>
      <c r="G31" s="277"/>
      <c r="H31" s="118">
        <f t="shared" si="3"/>
        <v>-49634561.111848846</v>
      </c>
      <c r="I31" s="809">
        <v>3.0000000000000001E-3</v>
      </c>
      <c r="J31" s="121">
        <f t="shared" si="6"/>
        <v>65915128.288348392</v>
      </c>
      <c r="K31" s="121">
        <f t="shared" si="7"/>
        <v>272197.22653281846</v>
      </c>
      <c r="L31" s="121">
        <f t="shared" si="4"/>
        <v>66187325.514881209</v>
      </c>
    </row>
    <row r="32" spans="1:12" ht="13">
      <c r="A32" s="2">
        <f t="shared" si="1"/>
        <v>19</v>
      </c>
      <c r="B32" s="116"/>
      <c r="C32" s="14" t="s">
        <v>388</v>
      </c>
      <c r="D32" s="346">
        <v>2022</v>
      </c>
      <c r="E32" s="118">
        <f t="shared" si="5"/>
        <v>104563366.85815115</v>
      </c>
      <c r="F32" s="118">
        <f t="shared" si="2"/>
        <v>180134145.99000001</v>
      </c>
      <c r="G32" s="277"/>
      <c r="H32" s="118">
        <f t="shared" si="3"/>
        <v>-75570779.131848857</v>
      </c>
      <c r="I32" s="809">
        <v>3.0000000000000001E-3</v>
      </c>
      <c r="J32" s="121">
        <f t="shared" si="6"/>
        <v>-9383453.6169676483</v>
      </c>
      <c r="K32" s="121">
        <f t="shared" si="7"/>
        <v>85205.807846870346</v>
      </c>
      <c r="L32" s="121">
        <f t="shared" si="4"/>
        <v>-9298247.809120778</v>
      </c>
    </row>
    <row r="33" spans="1:12" ht="13">
      <c r="A33" s="2">
        <f t="shared" si="1"/>
        <v>20</v>
      </c>
      <c r="B33" s="116"/>
      <c r="C33" s="14" t="s">
        <v>389</v>
      </c>
      <c r="D33" s="346">
        <v>2022</v>
      </c>
      <c r="E33" s="118">
        <f t="shared" si="5"/>
        <v>104563366.85815115</v>
      </c>
      <c r="F33" s="118">
        <f t="shared" si="2"/>
        <v>144760258.91999999</v>
      </c>
      <c r="G33" s="277"/>
      <c r="H33" s="118">
        <f t="shared" si="3"/>
        <v>-40196892.061848834</v>
      </c>
      <c r="I33" s="809">
        <v>3.0000000000000001E-3</v>
      </c>
      <c r="J33" s="121">
        <f t="shared" si="6"/>
        <v>-49495139.870969608</v>
      </c>
      <c r="K33" s="121">
        <f t="shared" si="7"/>
        <v>-88190.081520135573</v>
      </c>
      <c r="L33" s="121">
        <f t="shared" si="4"/>
        <v>-49583329.952489741</v>
      </c>
    </row>
    <row r="34" spans="1:12" ht="13">
      <c r="A34" s="2">
        <f t="shared" si="1"/>
        <v>21</v>
      </c>
      <c r="B34" s="116"/>
      <c r="C34" s="14" t="s">
        <v>390</v>
      </c>
      <c r="D34" s="346">
        <v>2022</v>
      </c>
      <c r="E34" s="118">
        <f t="shared" si="5"/>
        <v>104563366.85815115</v>
      </c>
      <c r="F34" s="118">
        <f t="shared" si="2"/>
        <v>116037605.16</v>
      </c>
      <c r="G34" s="277"/>
      <c r="H34" s="118">
        <f t="shared" si="3"/>
        <v>-11474238.301848844</v>
      </c>
      <c r="I34" s="809">
        <v>4.1000000000000003E-3</v>
      </c>
      <c r="J34" s="121">
        <f t="shared" si="6"/>
        <v>-61057568.254338585</v>
      </c>
      <c r="K34" s="121">
        <f t="shared" si="7"/>
        <v>-226813.84132399809</v>
      </c>
      <c r="L34" s="121">
        <f t="shared" si="4"/>
        <v>-61284382.095662586</v>
      </c>
    </row>
    <row r="35" spans="1:12" ht="13">
      <c r="A35" s="2">
        <f t="shared" si="1"/>
        <v>22</v>
      </c>
      <c r="B35" s="116"/>
      <c r="C35" s="14" t="s">
        <v>391</v>
      </c>
      <c r="D35" s="346">
        <v>2022</v>
      </c>
      <c r="E35" s="118">
        <f t="shared" si="5"/>
        <v>104563366.85815115</v>
      </c>
      <c r="F35" s="118">
        <f t="shared" si="2"/>
        <v>110371916.63</v>
      </c>
      <c r="G35" s="277"/>
      <c r="H35" s="118">
        <f t="shared" si="3"/>
        <v>-5808549.7718488425</v>
      </c>
      <c r="I35" s="809">
        <v>4.1000000000000003E-3</v>
      </c>
      <c r="J35" s="121">
        <f t="shared" si="6"/>
        <v>-67092931.867511429</v>
      </c>
      <c r="K35" s="121">
        <f t="shared" si="7"/>
        <v>-263173.49362450675</v>
      </c>
      <c r="L35" s="121">
        <f t="shared" si="4"/>
        <v>-67356105.36113593</v>
      </c>
    </row>
    <row r="36" spans="1:12" ht="13">
      <c r="A36" s="2">
        <f t="shared" si="1"/>
        <v>23</v>
      </c>
      <c r="B36" s="116"/>
      <c r="C36" s="14" t="s">
        <v>379</v>
      </c>
      <c r="D36" s="346">
        <v>2022</v>
      </c>
      <c r="E36" s="118">
        <f t="shared" si="5"/>
        <v>104563366.85815115</v>
      </c>
      <c r="F36" s="118">
        <f t="shared" si="2"/>
        <v>97351104.150000006</v>
      </c>
      <c r="G36" s="839"/>
      <c r="H36" s="118">
        <f>E36-F36+G36</f>
        <v>7212262.7081511468</v>
      </c>
      <c r="I36" s="809">
        <v>4.1000000000000003E-3</v>
      </c>
      <c r="J36" s="121">
        <f>L35+H36</f>
        <v>-60143842.652984783</v>
      </c>
      <c r="K36" s="121">
        <f t="shared" si="7"/>
        <v>-261374.89342894749</v>
      </c>
      <c r="L36" s="121">
        <f>J36+K36</f>
        <v>-60405217.546413727</v>
      </c>
    </row>
    <row r="37" spans="1:12" ht="13">
      <c r="A37" s="2"/>
      <c r="B37" s="116"/>
      <c r="C37" s="14"/>
      <c r="D37" s="17"/>
      <c r="E37" s="116"/>
      <c r="F37" s="126"/>
      <c r="G37" s="118"/>
      <c r="H37" s="195"/>
      <c r="I37" s="116"/>
      <c r="J37" s="116"/>
      <c r="K37" s="116"/>
      <c r="L37" s="116"/>
    </row>
    <row r="38" spans="1:12" ht="13">
      <c r="A38" s="2">
        <f>A36+1</f>
        <v>24</v>
      </c>
      <c r="B38" s="1" t="s">
        <v>392</v>
      </c>
      <c r="C38" s="14"/>
      <c r="D38" s="17"/>
      <c r="E38" s="116"/>
      <c r="F38" s="246"/>
      <c r="G38" s="118"/>
      <c r="H38" s="126"/>
      <c r="I38" s="116"/>
      <c r="J38" s="116"/>
      <c r="K38" s="116"/>
      <c r="L38" s="116"/>
    </row>
    <row r="39" spans="1:12" ht="13">
      <c r="A39" s="2">
        <f t="shared" si="0"/>
        <v>25</v>
      </c>
      <c r="B39" s="1"/>
      <c r="C39" s="14"/>
      <c r="D39" s="17"/>
      <c r="E39" s="116"/>
      <c r="F39" s="265" t="s">
        <v>228</v>
      </c>
      <c r="G39" s="118"/>
      <c r="H39" s="126"/>
      <c r="I39" s="116"/>
      <c r="J39" s="116"/>
      <c r="K39" s="116"/>
      <c r="L39" s="116"/>
    </row>
    <row r="40" spans="1:12" ht="13">
      <c r="A40" s="2">
        <f t="shared" si="0"/>
        <v>26</v>
      </c>
      <c r="B40" s="116"/>
      <c r="C40" s="14"/>
      <c r="D40" s="117" t="s">
        <v>393</v>
      </c>
      <c r="E40" s="118">
        <f>L36</f>
        <v>-60405217.546413727</v>
      </c>
      <c r="F40" s="246" t="str">
        <f>"Line "&amp;A36&amp;", Column 9"</f>
        <v>Line 23, Column 9</v>
      </c>
      <c r="G40" s="123"/>
      <c r="H40" s="126"/>
      <c r="I40" s="116"/>
      <c r="J40" s="116"/>
      <c r="K40" s="116"/>
      <c r="L40" s="116"/>
    </row>
    <row r="41" spans="1:12" ht="13">
      <c r="A41" s="2">
        <f t="shared" si="0"/>
        <v>27</v>
      </c>
      <c r="B41" s="116"/>
      <c r="C41" s="14"/>
      <c r="D41" s="245" t="s">
        <v>394</v>
      </c>
      <c r="E41" s="552">
        <v>63839016.75947465</v>
      </c>
      <c r="F41" s="246" t="str">
        <f>"Previous Annual Update Schedule 3, Line "&amp;A44&amp;""</f>
        <v>Previous Annual Update Schedule 3, Line 30</v>
      </c>
      <c r="G41" s="123"/>
      <c r="H41" s="126"/>
      <c r="J41" s="117" t="s">
        <v>395</v>
      </c>
      <c r="K41" s="207" t="s">
        <v>2993</v>
      </c>
      <c r="L41" s="207"/>
    </row>
    <row r="42" spans="1:12" ht="13">
      <c r="A42" s="2">
        <f t="shared" si="0"/>
        <v>28</v>
      </c>
      <c r="B42" s="116"/>
      <c r="C42" s="14"/>
      <c r="D42" s="245" t="s">
        <v>396</v>
      </c>
      <c r="E42" s="837">
        <f>E40-E41</f>
        <v>-124244234.30588838</v>
      </c>
      <c r="F42" s="246" t="str">
        <f>"Line "&amp;A40&amp;" - Line "&amp;A41&amp;""</f>
        <v>Line 26 - Line 27</v>
      </c>
      <c r="G42" s="123"/>
      <c r="H42" s="126"/>
      <c r="J42" s="246"/>
      <c r="K42" s="207"/>
      <c r="L42" s="207"/>
    </row>
    <row r="43" spans="1:12" ht="14">
      <c r="A43" s="2">
        <f t="shared" si="0"/>
        <v>29</v>
      </c>
      <c r="B43" s="116"/>
      <c r="C43" s="14"/>
      <c r="D43" s="245" t="s">
        <v>397</v>
      </c>
      <c r="E43" s="1072">
        <f>E42*I36*18</f>
        <v>-9169224.4917745627</v>
      </c>
      <c r="F43" s="246" t="str">
        <f>"Line "&amp;A42&amp;" * (Line "&amp;A36&amp;", Column 6) * 18 months"</f>
        <v>Line 28 * (Line 23, Column 6) * 18 months</v>
      </c>
      <c r="G43" s="123"/>
      <c r="H43" s="126"/>
      <c r="I43" s="246"/>
      <c r="J43" s="116"/>
      <c r="K43" s="116"/>
      <c r="L43" s="116"/>
    </row>
    <row r="44" spans="1:12" ht="13">
      <c r="A44" s="2">
        <f t="shared" si="0"/>
        <v>30</v>
      </c>
      <c r="B44" s="116"/>
      <c r="C44" s="14"/>
      <c r="D44" s="49" t="s">
        <v>398</v>
      </c>
      <c r="E44" s="118">
        <f>E42+E43</f>
        <v>-133413458.79766294</v>
      </c>
      <c r="F44" s="264" t="str">
        <f>"Line "&amp;A42&amp;" + Line "&amp;A43&amp;".  Positive amount is to be collected by SCE (included in Base TRR as a positive amount)."</f>
        <v>Line 28 + Line 29.  Positive amount is to be collected by SCE (included in Base TRR as a positive amount).</v>
      </c>
      <c r="G44" s="123"/>
      <c r="H44" s="126"/>
      <c r="I44" s="116"/>
      <c r="J44" s="116"/>
      <c r="K44" s="116"/>
      <c r="L44" s="116"/>
    </row>
    <row r="45" spans="1:12" ht="13">
      <c r="A45" s="2">
        <f t="shared" si="0"/>
        <v>31</v>
      </c>
      <c r="B45" s="116"/>
      <c r="C45" s="116"/>
      <c r="D45" s="116"/>
      <c r="E45" s="116"/>
      <c r="F45" s="264" t="s">
        <v>399</v>
      </c>
      <c r="G45" s="116"/>
      <c r="H45" s="116"/>
      <c r="I45" s="116"/>
      <c r="J45" s="116"/>
      <c r="K45" s="116"/>
      <c r="L45" s="116"/>
    </row>
    <row r="46" spans="1:12" ht="13">
      <c r="A46" s="2">
        <f t="shared" si="0"/>
        <v>32</v>
      </c>
      <c r="B46" s="1" t="s">
        <v>400</v>
      </c>
      <c r="C46" s="116"/>
      <c r="D46" s="116"/>
      <c r="E46" s="116"/>
      <c r="F46" s="127"/>
      <c r="G46" s="116"/>
      <c r="H46" s="116"/>
      <c r="I46" s="116"/>
      <c r="J46" s="116"/>
      <c r="K46" s="116"/>
      <c r="L46" s="116"/>
    </row>
    <row r="47" spans="1:12" ht="13">
      <c r="A47" s="2">
        <f t="shared" si="0"/>
        <v>33</v>
      </c>
      <c r="B47" s="246" t="s">
        <v>401</v>
      </c>
      <c r="C47" s="116"/>
      <c r="D47" s="116"/>
      <c r="E47" s="116"/>
      <c r="F47" s="116"/>
      <c r="G47" s="116"/>
      <c r="H47" s="116"/>
      <c r="I47" s="116"/>
      <c r="J47" s="116"/>
      <c r="K47" s="116"/>
      <c r="L47" s="116"/>
    </row>
    <row r="48" spans="1:12" ht="13">
      <c r="A48" s="2">
        <f t="shared" si="0"/>
        <v>34</v>
      </c>
      <c r="B48" s="246" t="s">
        <v>402</v>
      </c>
      <c r="C48" s="116"/>
      <c r="D48" s="116"/>
      <c r="E48" s="116"/>
      <c r="F48" s="116"/>
      <c r="G48" s="116"/>
      <c r="H48" s="116"/>
      <c r="I48" s="116"/>
      <c r="J48" s="116"/>
      <c r="K48" s="116"/>
      <c r="L48" s="116"/>
    </row>
    <row r="49" spans="1:12" ht="13">
      <c r="A49" s="2">
        <f t="shared" si="0"/>
        <v>35</v>
      </c>
      <c r="B49" s="246" t="s">
        <v>403</v>
      </c>
      <c r="C49" s="116"/>
      <c r="D49" s="116"/>
      <c r="E49" s="116"/>
      <c r="F49" s="116"/>
      <c r="G49" s="116"/>
      <c r="H49" s="116"/>
      <c r="I49" s="116"/>
      <c r="J49" s="116"/>
      <c r="K49" s="116"/>
      <c r="L49" s="116"/>
    </row>
    <row r="50" spans="1:12" ht="13">
      <c r="A50" s="2">
        <f t="shared" si="0"/>
        <v>36</v>
      </c>
      <c r="B50" s="116"/>
      <c r="C50" s="116"/>
      <c r="D50" s="116"/>
      <c r="E50" s="116"/>
      <c r="F50" s="116"/>
      <c r="G50" s="116"/>
      <c r="H50" s="116"/>
      <c r="I50" s="116"/>
      <c r="J50" s="116"/>
      <c r="K50" s="116"/>
      <c r="L50" s="116"/>
    </row>
    <row r="51" spans="1:12" ht="13">
      <c r="A51" s="2">
        <f t="shared" ref="A51:A91" si="8">A50+1</f>
        <v>37</v>
      </c>
      <c r="B51" s="1" t="s">
        <v>404</v>
      </c>
      <c r="C51" s="116"/>
      <c r="D51" s="116"/>
      <c r="E51" s="116"/>
      <c r="F51" s="116"/>
      <c r="G51" s="116"/>
      <c r="H51" s="116"/>
      <c r="I51" s="116"/>
      <c r="J51" s="116"/>
      <c r="K51" s="116"/>
      <c r="L51" s="116"/>
    </row>
    <row r="52" spans="1:12" ht="13">
      <c r="A52" s="2">
        <f t="shared" si="8"/>
        <v>38</v>
      </c>
      <c r="B52" s="116"/>
      <c r="C52" s="116"/>
      <c r="D52" s="119" t="s">
        <v>405</v>
      </c>
      <c r="E52" s="116"/>
      <c r="G52" s="116"/>
      <c r="H52" s="116"/>
      <c r="I52" s="116"/>
      <c r="J52" s="116"/>
      <c r="K52" s="116"/>
      <c r="L52" s="116"/>
    </row>
    <row r="53" spans="1:12" ht="13">
      <c r="A53" s="2">
        <f t="shared" si="8"/>
        <v>39</v>
      </c>
      <c r="B53" s="116"/>
      <c r="C53" s="18" t="s">
        <v>371</v>
      </c>
      <c r="D53" s="3" t="s">
        <v>406</v>
      </c>
      <c r="E53" s="3" t="s">
        <v>407</v>
      </c>
      <c r="G53" s="116"/>
      <c r="H53" s="116"/>
      <c r="I53" s="116"/>
      <c r="J53" s="116"/>
      <c r="K53" s="116"/>
      <c r="L53" s="116"/>
    </row>
    <row r="54" spans="1:12" ht="13">
      <c r="A54" s="2">
        <f t="shared" si="8"/>
        <v>40</v>
      </c>
      <c r="B54" s="116"/>
      <c r="C54" s="14" t="s">
        <v>381</v>
      </c>
      <c r="D54" s="922">
        <v>6.3763211440757639E-2</v>
      </c>
      <c r="E54" s="246" t="s">
        <v>408</v>
      </c>
      <c r="G54" s="116"/>
      <c r="H54" s="116"/>
      <c r="I54" s="116"/>
      <c r="J54" s="116"/>
      <c r="K54" s="116"/>
      <c r="L54" s="116"/>
    </row>
    <row r="55" spans="1:12" ht="13">
      <c r="A55" s="2">
        <f t="shared" si="8"/>
        <v>41</v>
      </c>
      <c r="B55" s="116"/>
      <c r="C55" s="14" t="s">
        <v>382</v>
      </c>
      <c r="D55" s="922">
        <v>5.6553289888256801E-2</v>
      </c>
      <c r="G55" s="116"/>
      <c r="H55" s="116"/>
      <c r="I55" s="116"/>
      <c r="J55" s="116"/>
      <c r="K55" s="116"/>
      <c r="L55" s="116"/>
    </row>
    <row r="56" spans="1:12" ht="13">
      <c r="A56" s="2">
        <f t="shared" si="8"/>
        <v>42</v>
      </c>
      <c r="B56" s="116"/>
      <c r="C56" s="14" t="s">
        <v>383</v>
      </c>
      <c r="D56" s="922">
        <v>7.1828142218240867E-2</v>
      </c>
      <c r="E56" s="246"/>
      <c r="G56" s="116"/>
      <c r="H56" s="116"/>
      <c r="I56" s="116"/>
      <c r="J56" s="116"/>
      <c r="K56" s="116"/>
      <c r="L56" s="116"/>
    </row>
    <row r="57" spans="1:12" ht="13">
      <c r="A57" s="2">
        <f t="shared" si="8"/>
        <v>43</v>
      </c>
      <c r="B57" s="116"/>
      <c r="C57" s="14" t="s">
        <v>384</v>
      </c>
      <c r="D57" s="922">
        <v>8.2236801934806855E-2</v>
      </c>
      <c r="E57" s="923"/>
      <c r="G57" s="116"/>
      <c r="H57" s="116"/>
      <c r="I57" s="116"/>
      <c r="J57" s="116"/>
      <c r="K57" s="116"/>
      <c r="L57" s="116"/>
    </row>
    <row r="58" spans="1:12" ht="13">
      <c r="A58" s="2">
        <f t="shared" si="8"/>
        <v>44</v>
      </c>
      <c r="B58" s="116"/>
      <c r="C58" s="14" t="s">
        <v>385</v>
      </c>
      <c r="D58" s="922">
        <v>8.01837425905748E-2</v>
      </c>
      <c r="E58" s="128"/>
      <c r="G58" s="116"/>
      <c r="H58" s="116"/>
      <c r="I58" s="116"/>
      <c r="J58" s="116"/>
      <c r="K58" s="116"/>
      <c r="L58" s="116"/>
    </row>
    <row r="59" spans="1:12" ht="13">
      <c r="A59" s="2">
        <f t="shared" si="8"/>
        <v>45</v>
      </c>
      <c r="B59" s="116"/>
      <c r="C59" s="14" t="s">
        <v>386</v>
      </c>
      <c r="D59" s="922">
        <v>8.9450501877561497E-2</v>
      </c>
      <c r="E59" s="128"/>
      <c r="G59" s="116"/>
      <c r="H59" s="116"/>
      <c r="I59" s="116"/>
      <c r="J59" s="116"/>
      <c r="K59" s="116"/>
      <c r="L59" s="116"/>
    </row>
    <row r="60" spans="1:12" ht="13">
      <c r="A60" s="2">
        <f t="shared" si="8"/>
        <v>46</v>
      </c>
      <c r="B60" s="116"/>
      <c r="C60" s="14" t="s">
        <v>387</v>
      </c>
      <c r="D60" s="922">
        <v>9.8908415854749826E-2</v>
      </c>
      <c r="E60" s="128"/>
      <c r="G60" s="116"/>
      <c r="H60" s="116"/>
      <c r="I60" s="116"/>
      <c r="J60" s="116"/>
      <c r="K60" s="116"/>
      <c r="L60" s="116"/>
    </row>
    <row r="61" spans="1:12" ht="13">
      <c r="A61" s="2">
        <f t="shared" si="8"/>
        <v>47</v>
      </c>
      <c r="B61" s="116"/>
      <c r="C61" s="14" t="s">
        <v>388</v>
      </c>
      <c r="D61" s="922">
        <v>0.10141004323318151</v>
      </c>
      <c r="E61" s="128"/>
      <c r="G61" s="116"/>
      <c r="H61" s="116"/>
      <c r="I61" s="116"/>
      <c r="J61" s="116"/>
      <c r="K61" s="116"/>
      <c r="L61" s="116"/>
    </row>
    <row r="62" spans="1:12" ht="13">
      <c r="A62" s="2">
        <f t="shared" si="8"/>
        <v>48</v>
      </c>
      <c r="B62" s="116"/>
      <c r="C62" s="14" t="s">
        <v>389</v>
      </c>
      <c r="D62" s="922">
        <v>0.10217900008822713</v>
      </c>
      <c r="E62" s="128"/>
      <c r="G62" s="116"/>
      <c r="H62" s="116"/>
      <c r="I62" s="116"/>
      <c r="J62" s="116"/>
      <c r="K62" s="116"/>
      <c r="L62" s="116"/>
    </row>
    <row r="63" spans="1:12" ht="13">
      <c r="A63" s="2">
        <f t="shared" si="8"/>
        <v>49</v>
      </c>
      <c r="B63" s="116"/>
      <c r="C63" s="14" t="s">
        <v>390</v>
      </c>
      <c r="D63" s="922">
        <v>9.1787269171678454E-2</v>
      </c>
      <c r="E63" s="128"/>
      <c r="G63" s="116"/>
      <c r="H63" s="116"/>
      <c r="I63" s="116"/>
      <c r="J63" s="116"/>
      <c r="K63" s="116"/>
      <c r="L63" s="116"/>
    </row>
    <row r="64" spans="1:12" ht="13">
      <c r="A64" s="2">
        <f t="shared" si="8"/>
        <v>50</v>
      </c>
      <c r="B64" s="116"/>
      <c r="C64" s="14" t="s">
        <v>391</v>
      </c>
      <c r="D64" s="922">
        <v>7.5296938318149625E-2</v>
      </c>
      <c r="E64" s="128"/>
      <c r="G64" s="116"/>
      <c r="H64" s="116"/>
      <c r="I64" s="116"/>
      <c r="J64" s="116"/>
      <c r="K64" s="116"/>
      <c r="L64" s="116"/>
    </row>
    <row r="65" spans="1:16" ht="13">
      <c r="A65" s="2">
        <f t="shared" si="8"/>
        <v>51</v>
      </c>
      <c r="B65" s="116"/>
      <c r="C65" s="14" t="s">
        <v>379</v>
      </c>
      <c r="D65" s="196">
        <v>8.640264338381512E-2</v>
      </c>
      <c r="E65" s="29"/>
      <c r="G65" s="116"/>
      <c r="H65" s="116"/>
      <c r="I65" s="116"/>
      <c r="J65" s="116"/>
      <c r="K65" s="116"/>
      <c r="L65" s="116"/>
    </row>
    <row r="66" spans="1:16" ht="13">
      <c r="A66" s="2">
        <f t="shared" si="8"/>
        <v>52</v>
      </c>
      <c r="B66" s="116"/>
      <c r="C66" s="22" t="s">
        <v>409</v>
      </c>
      <c r="D66" s="204">
        <f>SUM(D54:D65)</f>
        <v>1.0000000000000002</v>
      </c>
      <c r="E66" s="116"/>
      <c r="G66" s="116"/>
      <c r="H66" s="116"/>
      <c r="I66" s="116"/>
      <c r="J66" s="116"/>
      <c r="K66" s="116"/>
      <c r="L66" s="116"/>
    </row>
    <row r="67" spans="1:16" ht="13">
      <c r="A67" s="2">
        <f t="shared" si="8"/>
        <v>53</v>
      </c>
      <c r="B67" s="116"/>
      <c r="C67" s="116"/>
      <c r="D67" s="116"/>
      <c r="E67" s="116"/>
      <c r="F67" s="2"/>
      <c r="G67" s="116"/>
      <c r="H67" s="116"/>
      <c r="I67" s="116"/>
      <c r="J67" s="116"/>
      <c r="K67" s="116"/>
      <c r="L67" s="116"/>
    </row>
    <row r="68" spans="1:16" ht="13">
      <c r="A68" s="2">
        <f t="shared" si="8"/>
        <v>54</v>
      </c>
      <c r="B68" s="1" t="s">
        <v>410</v>
      </c>
      <c r="C68" s="116"/>
      <c r="D68" s="116"/>
      <c r="E68" s="116"/>
      <c r="F68" s="2"/>
      <c r="G68" s="116"/>
      <c r="H68" s="116"/>
      <c r="I68" s="116"/>
      <c r="J68" s="116"/>
      <c r="K68" s="116"/>
      <c r="L68" s="116"/>
    </row>
    <row r="69" spans="1:16" ht="13">
      <c r="A69" s="2">
        <f t="shared" si="8"/>
        <v>55</v>
      </c>
      <c r="B69" s="116"/>
      <c r="C69" s="116"/>
      <c r="D69" s="116"/>
      <c r="E69" s="116"/>
      <c r="F69" s="2"/>
      <c r="G69" s="116"/>
      <c r="H69" s="116"/>
      <c r="I69" s="116"/>
      <c r="J69" s="116"/>
      <c r="K69" s="116"/>
      <c r="L69" s="116"/>
    </row>
    <row r="70" spans="1:16" ht="13">
      <c r="A70" s="2">
        <f t="shared" si="8"/>
        <v>56</v>
      </c>
      <c r="B70" s="116"/>
      <c r="C70" s="48" t="s">
        <v>336</v>
      </c>
      <c r="D70" s="48" t="s">
        <v>337</v>
      </c>
      <c r="E70" s="48" t="s">
        <v>338</v>
      </c>
      <c r="F70" s="48" t="s">
        <v>339</v>
      </c>
      <c r="G70" s="48" t="s">
        <v>340</v>
      </c>
      <c r="H70" s="48" t="s">
        <v>341</v>
      </c>
      <c r="I70" s="48" t="s">
        <v>342</v>
      </c>
      <c r="J70" s="116"/>
    </row>
    <row r="71" spans="1:16" ht="13">
      <c r="A71" s="2">
        <f t="shared" si="8"/>
        <v>57</v>
      </c>
      <c r="B71" s="116"/>
      <c r="C71" s="248" t="s">
        <v>411</v>
      </c>
      <c r="D71" s="248" t="s">
        <v>412</v>
      </c>
      <c r="E71" s="48"/>
      <c r="F71" s="48"/>
      <c r="G71" s="48"/>
      <c r="H71" s="48"/>
      <c r="I71" s="248" t="s">
        <v>413</v>
      </c>
      <c r="J71" s="116"/>
      <c r="K71" s="116"/>
      <c r="L71" s="116"/>
    </row>
    <row r="72" spans="1:16" ht="13">
      <c r="A72" s="2">
        <f t="shared" si="8"/>
        <v>58</v>
      </c>
      <c r="B72" s="116"/>
      <c r="C72" s="116"/>
      <c r="D72" s="116"/>
      <c r="E72" s="116"/>
      <c r="F72" s="2"/>
      <c r="G72" s="116"/>
      <c r="H72" s="116"/>
      <c r="I72" s="116"/>
      <c r="J72" s="116"/>
      <c r="K72" s="206"/>
      <c r="L72" s="116"/>
    </row>
    <row r="73" spans="1:16" ht="13">
      <c r="A73" s="2">
        <f t="shared" si="8"/>
        <v>59</v>
      </c>
      <c r="B73" s="116"/>
      <c r="C73" s="2" t="s">
        <v>358</v>
      </c>
      <c r="D73" s="116"/>
      <c r="E73" s="116"/>
      <c r="F73" s="2"/>
      <c r="G73" s="116"/>
      <c r="H73" s="116"/>
      <c r="I73" s="2" t="s">
        <v>360</v>
      </c>
      <c r="J73" s="116"/>
      <c r="K73" s="257"/>
      <c r="L73" s="116"/>
    </row>
    <row r="74" spans="1:16" ht="13">
      <c r="A74" s="2">
        <f t="shared" si="8"/>
        <v>60</v>
      </c>
      <c r="B74" s="119" t="s">
        <v>414</v>
      </c>
      <c r="C74" s="2" t="s">
        <v>362</v>
      </c>
      <c r="D74" s="116"/>
      <c r="E74" s="116"/>
      <c r="F74" s="48"/>
      <c r="G74" s="116"/>
      <c r="H74" s="116"/>
      <c r="I74" s="2" t="s">
        <v>249</v>
      </c>
      <c r="J74" s="116"/>
    </row>
    <row r="75" spans="1:16" ht="14.5">
      <c r="A75" s="2">
        <f t="shared" si="8"/>
        <v>61</v>
      </c>
      <c r="B75" s="119" t="s">
        <v>372</v>
      </c>
      <c r="C75" s="2" t="s">
        <v>367</v>
      </c>
      <c r="D75" s="2" t="s">
        <v>415</v>
      </c>
      <c r="E75" s="2"/>
      <c r="F75" s="2"/>
      <c r="G75" s="2" t="s">
        <v>416</v>
      </c>
      <c r="H75" s="2"/>
      <c r="I75" s="2" t="s">
        <v>417</v>
      </c>
      <c r="J75" s="116"/>
      <c r="P75" s="124"/>
    </row>
    <row r="76" spans="1:16" ht="14.5">
      <c r="A76" s="2">
        <f t="shared" si="8"/>
        <v>62</v>
      </c>
      <c r="B76" s="3" t="s">
        <v>371</v>
      </c>
      <c r="C76" s="3" t="s">
        <v>374</v>
      </c>
      <c r="D76" s="3" t="s">
        <v>367</v>
      </c>
      <c r="E76" s="3" t="s">
        <v>418</v>
      </c>
      <c r="F76" s="3" t="s">
        <v>419</v>
      </c>
      <c r="G76" s="3" t="s">
        <v>4</v>
      </c>
      <c r="H76" s="3" t="s">
        <v>415</v>
      </c>
      <c r="I76" s="3" t="s">
        <v>248</v>
      </c>
      <c r="J76" s="116"/>
      <c r="K76" s="125"/>
      <c r="L76" s="125"/>
      <c r="M76" s="125"/>
      <c r="N76" s="125"/>
      <c r="O76" s="125"/>
      <c r="P76" s="125"/>
    </row>
    <row r="77" spans="1:16" ht="13">
      <c r="A77" s="2">
        <f t="shared" si="8"/>
        <v>63</v>
      </c>
      <c r="B77" s="129" t="s">
        <v>420</v>
      </c>
      <c r="C77" s="552">
        <v>122483904.98999999</v>
      </c>
      <c r="D77" s="552">
        <v>9512335.4800000004</v>
      </c>
      <c r="E77" s="552">
        <v>612397919.02999997</v>
      </c>
      <c r="F77" s="552">
        <v>388307798.63999999</v>
      </c>
      <c r="G77" s="552">
        <v>66445545.490000002</v>
      </c>
      <c r="H77" s="267">
        <v>70650995.039999992</v>
      </c>
      <c r="I77" s="118">
        <f t="shared" ref="I77:I82" si="9">SUM(C77:H77)</f>
        <v>1269798498.6699998</v>
      </c>
      <c r="J77" s="116"/>
      <c r="K77" s="31"/>
      <c r="M77" s="6"/>
      <c r="N77" s="6"/>
      <c r="O77" s="6"/>
      <c r="P77" s="6"/>
    </row>
    <row r="78" spans="1:16" ht="13">
      <c r="A78" s="2">
        <f t="shared" si="8"/>
        <v>64</v>
      </c>
      <c r="B78" s="129" t="s">
        <v>421</v>
      </c>
      <c r="C78" s="552">
        <v>94507390.75</v>
      </c>
      <c r="D78" s="552">
        <v>1366580.2099999981</v>
      </c>
      <c r="E78" s="552">
        <v>393728062.86000001</v>
      </c>
      <c r="F78" s="552">
        <v>249619988.86000001</v>
      </c>
      <c r="G78" s="552">
        <v>39538309.460000001</v>
      </c>
      <c r="H78" s="552">
        <v>47054524.300000004</v>
      </c>
      <c r="I78" s="118">
        <f t="shared" si="9"/>
        <v>825814856.44000006</v>
      </c>
      <c r="J78" s="116"/>
      <c r="K78" s="31"/>
      <c r="M78" s="6"/>
      <c r="N78" s="6"/>
      <c r="O78" s="6"/>
      <c r="P78" s="6"/>
    </row>
    <row r="79" spans="1:16" ht="13">
      <c r="A79" s="2">
        <f t="shared" si="8"/>
        <v>65</v>
      </c>
      <c r="B79" s="129" t="s">
        <v>422</v>
      </c>
      <c r="C79" s="552">
        <v>117014067.94</v>
      </c>
      <c r="D79" s="552">
        <v>7504732.790000001</v>
      </c>
      <c r="E79" s="552">
        <v>531903250.92000002</v>
      </c>
      <c r="F79" s="552">
        <v>344290866.55000001</v>
      </c>
      <c r="G79" s="552">
        <v>62721220.49000001</v>
      </c>
      <c r="H79" s="552">
        <v>66948352.500000007</v>
      </c>
      <c r="I79" s="118">
        <f t="shared" si="9"/>
        <v>1130382491.1900001</v>
      </c>
      <c r="J79" s="116"/>
      <c r="K79" s="31"/>
      <c r="M79" s="6"/>
      <c r="N79" s="6"/>
      <c r="O79" s="6"/>
      <c r="P79" s="6"/>
    </row>
    <row r="80" spans="1:16" ht="13">
      <c r="A80" s="2">
        <f t="shared" si="8"/>
        <v>66</v>
      </c>
      <c r="B80" s="129" t="s">
        <v>423</v>
      </c>
      <c r="C80" s="552">
        <v>111881558.36</v>
      </c>
      <c r="D80" s="552">
        <v>5411345.8999999985</v>
      </c>
      <c r="E80" s="552">
        <v>207530867.82999998</v>
      </c>
      <c r="F80" s="552">
        <v>343879898.83999991</v>
      </c>
      <c r="G80" s="552">
        <v>58212145.880000003</v>
      </c>
      <c r="H80" s="552">
        <v>48858990.449999996</v>
      </c>
      <c r="I80" s="118">
        <f t="shared" si="9"/>
        <v>775774807.25999987</v>
      </c>
      <c r="J80" s="116"/>
      <c r="K80" s="31"/>
      <c r="M80" s="6"/>
      <c r="N80" s="6"/>
      <c r="O80" s="6"/>
      <c r="P80" s="6"/>
    </row>
    <row r="81" spans="1:16" ht="13">
      <c r="A81" s="2">
        <f t="shared" si="8"/>
        <v>67</v>
      </c>
      <c r="B81" s="248" t="s">
        <v>385</v>
      </c>
      <c r="C81" s="552">
        <v>118791837.03</v>
      </c>
      <c r="D81" s="552">
        <v>6373828.4899999984</v>
      </c>
      <c r="E81" s="552">
        <v>546314653.02999997</v>
      </c>
      <c r="F81" s="552">
        <v>369031540.13999999</v>
      </c>
      <c r="G81" s="552">
        <v>67667919.949999988</v>
      </c>
      <c r="H81" s="552">
        <v>64967251.140000008</v>
      </c>
      <c r="I81" s="118">
        <f t="shared" si="9"/>
        <v>1173147029.78</v>
      </c>
      <c r="J81" s="116"/>
      <c r="K81" s="31"/>
      <c r="M81" s="6"/>
      <c r="N81" s="6"/>
      <c r="O81" s="6"/>
      <c r="P81" s="6"/>
    </row>
    <row r="82" spans="1:16" ht="13">
      <c r="A82" s="2">
        <f t="shared" si="8"/>
        <v>68</v>
      </c>
      <c r="B82" s="129" t="s">
        <v>424</v>
      </c>
      <c r="C82" s="552">
        <v>104286348.62</v>
      </c>
      <c r="D82" s="552">
        <v>-975313.42000000062</v>
      </c>
      <c r="E82" s="552">
        <v>771342998.40999997</v>
      </c>
      <c r="F82" s="552">
        <v>517487641.19999999</v>
      </c>
      <c r="G82" s="552">
        <v>75175835.200000003</v>
      </c>
      <c r="H82" s="552">
        <v>79227624.789999992</v>
      </c>
      <c r="I82" s="118">
        <f t="shared" si="9"/>
        <v>1546545134.8</v>
      </c>
      <c r="J82" s="116"/>
      <c r="K82" s="31"/>
      <c r="M82" s="6"/>
      <c r="N82" s="6"/>
      <c r="O82" s="6"/>
      <c r="P82" s="6"/>
    </row>
    <row r="83" spans="1:16" ht="13">
      <c r="A83" s="2">
        <f t="shared" si="8"/>
        <v>69</v>
      </c>
      <c r="B83" s="129" t="s">
        <v>425</v>
      </c>
      <c r="C83" s="552">
        <v>154197927.97</v>
      </c>
      <c r="D83" s="552">
        <v>-4643173.4700000007</v>
      </c>
      <c r="E83" s="552">
        <v>822498447.55000007</v>
      </c>
      <c r="F83" s="552">
        <v>640980130.3499999</v>
      </c>
      <c r="G83" s="552">
        <v>85897220.720000014</v>
      </c>
      <c r="H83" s="552">
        <v>74686005.680000007</v>
      </c>
      <c r="I83" s="118">
        <f t="shared" ref="I83:I87" si="10">SUM(C83:H83)</f>
        <v>1773616558.8000002</v>
      </c>
      <c r="J83" s="116"/>
      <c r="K83" s="31"/>
      <c r="M83" s="6"/>
      <c r="N83" s="6"/>
      <c r="O83" s="6"/>
      <c r="P83" s="6"/>
    </row>
    <row r="84" spans="1:16" ht="13">
      <c r="A84" s="2">
        <f t="shared" si="8"/>
        <v>70</v>
      </c>
      <c r="B84" s="129" t="s">
        <v>426</v>
      </c>
      <c r="C84" s="552">
        <v>180134145.99000001</v>
      </c>
      <c r="D84" s="552">
        <v>-3561746.1799999997</v>
      </c>
      <c r="E84" s="552">
        <v>1053308201.7299999</v>
      </c>
      <c r="F84" s="552">
        <v>794690797.5999999</v>
      </c>
      <c r="G84" s="552">
        <v>109291267.77999999</v>
      </c>
      <c r="H84" s="552">
        <v>96422943.11999999</v>
      </c>
      <c r="I84" s="118">
        <f t="shared" si="10"/>
        <v>2230285610.04</v>
      </c>
      <c r="J84" s="116"/>
      <c r="K84" s="31"/>
      <c r="M84" s="6"/>
      <c r="N84" s="6"/>
      <c r="O84" s="6"/>
      <c r="P84" s="6"/>
    </row>
    <row r="85" spans="1:16" ht="13">
      <c r="A85" s="2">
        <f t="shared" si="8"/>
        <v>71</v>
      </c>
      <c r="B85" s="129" t="s">
        <v>427</v>
      </c>
      <c r="C85" s="552">
        <v>144760258.91999999</v>
      </c>
      <c r="D85" s="552">
        <v>-3230575.9799999977</v>
      </c>
      <c r="E85" s="552">
        <v>854914914.25</v>
      </c>
      <c r="F85" s="552">
        <v>627801900.1099999</v>
      </c>
      <c r="G85" s="552">
        <v>81800160.359999999</v>
      </c>
      <c r="H85" s="552">
        <v>80876855.269999981</v>
      </c>
      <c r="I85" s="118">
        <f t="shared" si="10"/>
        <v>1786923512.9299998</v>
      </c>
      <c r="J85" s="116"/>
      <c r="K85" s="31"/>
      <c r="M85" s="6"/>
      <c r="N85" s="6"/>
      <c r="O85" s="6"/>
      <c r="P85" s="6"/>
    </row>
    <row r="86" spans="1:16" ht="13">
      <c r="A86" s="2">
        <f t="shared" si="8"/>
        <v>72</v>
      </c>
      <c r="B86" s="129" t="s">
        <v>428</v>
      </c>
      <c r="C86" s="552">
        <v>116037605.16</v>
      </c>
      <c r="D86" s="552">
        <v>-1887795.7399999995</v>
      </c>
      <c r="E86" s="552">
        <v>316503979.89999998</v>
      </c>
      <c r="F86" s="552">
        <v>414237802.45999998</v>
      </c>
      <c r="G86" s="552">
        <v>61521624.090000004</v>
      </c>
      <c r="H86" s="552">
        <v>58368550.460000001</v>
      </c>
      <c r="I86" s="118">
        <f t="shared" si="10"/>
        <v>964781766.33000004</v>
      </c>
      <c r="J86" s="116"/>
      <c r="K86" s="31"/>
      <c r="M86" s="6"/>
      <c r="N86" s="6"/>
      <c r="O86" s="6"/>
      <c r="P86" s="6"/>
    </row>
    <row r="87" spans="1:16" ht="13">
      <c r="A87" s="2">
        <f t="shared" si="8"/>
        <v>73</v>
      </c>
      <c r="B87" s="129" t="s">
        <v>429</v>
      </c>
      <c r="C87" s="552">
        <v>110371916.63</v>
      </c>
      <c r="D87" s="552">
        <v>-1946086.3699999999</v>
      </c>
      <c r="E87" s="552">
        <v>457413511.17000002</v>
      </c>
      <c r="F87" s="552">
        <v>275870530.06</v>
      </c>
      <c r="G87" s="552">
        <v>74446530.739999995</v>
      </c>
      <c r="H87" s="552">
        <v>58323031.70000001</v>
      </c>
      <c r="I87" s="118">
        <f t="shared" si="10"/>
        <v>974479433.93000007</v>
      </c>
      <c r="J87" s="116"/>
      <c r="K87" s="31"/>
      <c r="M87" s="6"/>
      <c r="N87" s="6"/>
      <c r="O87" s="6"/>
      <c r="P87" s="6"/>
    </row>
    <row r="88" spans="1:16" ht="13">
      <c r="A88" s="2">
        <f t="shared" si="8"/>
        <v>74</v>
      </c>
      <c r="B88" s="129" t="s">
        <v>430</v>
      </c>
      <c r="C88" s="60">
        <v>97351104.150000006</v>
      </c>
      <c r="D88" s="60">
        <v>-1727434.3399999989</v>
      </c>
      <c r="E88" s="60">
        <v>382893080.06999999</v>
      </c>
      <c r="F88" s="60">
        <v>316879207.68000001</v>
      </c>
      <c r="G88" s="60">
        <v>61740788.169999994</v>
      </c>
      <c r="H88" s="60">
        <v>53338612.959999993</v>
      </c>
      <c r="I88" s="53">
        <f>SUM(C88:H88)</f>
        <v>910475358.68999994</v>
      </c>
      <c r="J88" s="116"/>
      <c r="K88" s="31"/>
      <c r="M88" s="6"/>
      <c r="N88" s="6"/>
      <c r="O88" s="6"/>
      <c r="P88" s="53"/>
    </row>
    <row r="89" spans="1:16" ht="13">
      <c r="A89" s="2">
        <f t="shared" si="8"/>
        <v>75</v>
      </c>
      <c r="B89" s="248" t="s">
        <v>431</v>
      </c>
      <c r="C89" s="118">
        <f t="shared" ref="C89:H89" si="11">SUM(C77:C88)</f>
        <v>1471818066.5100002</v>
      </c>
      <c r="D89" s="118">
        <f t="shared" si="11"/>
        <v>12196697.369999994</v>
      </c>
      <c r="E89" s="118">
        <f t="shared" si="11"/>
        <v>6950749886.749999</v>
      </c>
      <c r="F89" s="118">
        <f t="shared" si="11"/>
        <v>5283078102.4899998</v>
      </c>
      <c r="G89" s="118">
        <f t="shared" si="11"/>
        <v>844458568.33000004</v>
      </c>
      <c r="H89" s="118">
        <f t="shared" si="11"/>
        <v>799723737.41000009</v>
      </c>
      <c r="I89" s="118">
        <f>SUM(I77:I88)</f>
        <v>15362025058.860001</v>
      </c>
      <c r="J89" s="116"/>
      <c r="P89" s="6"/>
    </row>
    <row r="90" spans="1:16" ht="13">
      <c r="A90" s="2">
        <f t="shared" si="8"/>
        <v>76</v>
      </c>
      <c r="B90" s="116"/>
      <c r="C90" s="116"/>
      <c r="D90" s="116"/>
      <c r="E90" s="116"/>
      <c r="F90" s="116"/>
      <c r="G90" s="116"/>
      <c r="H90" s="245"/>
      <c r="I90" s="116"/>
      <c r="J90" s="116"/>
      <c r="K90" s="116"/>
      <c r="L90" s="116"/>
    </row>
    <row r="91" spans="1:16" ht="13">
      <c r="A91" s="2">
        <f t="shared" si="8"/>
        <v>77</v>
      </c>
      <c r="B91" s="116"/>
      <c r="C91" s="116"/>
      <c r="D91" s="116"/>
      <c r="E91" s="116"/>
      <c r="F91" s="116"/>
      <c r="G91" s="116"/>
      <c r="H91" s="245" t="s">
        <v>432</v>
      </c>
      <c r="I91" s="120">
        <v>15362025059</v>
      </c>
      <c r="J91" s="116"/>
      <c r="K91" s="116"/>
      <c r="L91" s="116"/>
    </row>
    <row r="92" spans="1:16">
      <c r="A92" s="116"/>
      <c r="B92" s="116"/>
      <c r="C92" s="116"/>
      <c r="D92" s="116"/>
      <c r="E92" s="116"/>
      <c r="F92" s="116"/>
      <c r="G92" s="116"/>
      <c r="H92" s="116"/>
      <c r="I92" s="116"/>
      <c r="J92" s="116"/>
      <c r="K92" s="116"/>
      <c r="L92" s="116"/>
    </row>
    <row r="93" spans="1:16" ht="13">
      <c r="A93" s="2"/>
      <c r="B93" s="1" t="s">
        <v>433</v>
      </c>
      <c r="C93" s="116"/>
      <c r="D93" s="116"/>
      <c r="E93" s="116"/>
      <c r="F93" s="116"/>
      <c r="G93" s="116"/>
      <c r="H93" s="116"/>
      <c r="I93" s="118"/>
      <c r="J93" s="116"/>
      <c r="K93" s="116"/>
      <c r="L93" s="116"/>
    </row>
    <row r="94" spans="1:16" ht="13">
      <c r="A94" s="2"/>
      <c r="B94" s="246" t="str">
        <f>"1) Enter applicable years on Column 1, Lines "&amp;A24&amp;"-"&amp;A36&amp;" (Prior Year and December of the year previous to the Prior Year)."</f>
        <v>1) Enter applicable years on Column 1, Lines 11-23 (Prior Year and December of the year previous to the Prior Year).</v>
      </c>
      <c r="C94" s="116"/>
      <c r="D94" s="116"/>
      <c r="E94" s="116"/>
      <c r="F94" s="116"/>
      <c r="G94" s="116"/>
      <c r="H94" s="116"/>
      <c r="I94" s="116"/>
      <c r="J94" s="116"/>
      <c r="K94" s="116"/>
      <c r="L94" s="116"/>
    </row>
    <row r="95" spans="1:16" ht="13">
      <c r="A95" s="2"/>
      <c r="B95" s="246" t="str">
        <f>"2) Enter Previous Annual Update True Up Adjustment (if any) on Line "&amp;A41&amp;"."</f>
        <v>2) Enter Previous Annual Update True Up Adjustment (if any) on Line 27.</v>
      </c>
      <c r="C95" s="116"/>
      <c r="D95" s="116"/>
      <c r="E95" s="116"/>
      <c r="F95" s="116"/>
      <c r="G95" s="116"/>
      <c r="H95" s="116"/>
      <c r="I95" s="116"/>
      <c r="J95" s="116"/>
      <c r="K95" s="116"/>
      <c r="L95" s="116"/>
    </row>
    <row r="96" spans="1:16" ht="13">
      <c r="A96" s="2"/>
      <c r="B96" s="572" t="s">
        <v>434</v>
      </c>
      <c r="C96" s="116"/>
      <c r="D96" s="116"/>
      <c r="E96" s="116"/>
      <c r="F96" s="116"/>
      <c r="G96" s="116"/>
      <c r="H96" s="116"/>
      <c r="I96" s="116"/>
      <c r="J96" s="116"/>
      <c r="K96" s="116"/>
      <c r="L96" s="116"/>
    </row>
    <row r="97" spans="1:12" ht="13">
      <c r="A97" s="2"/>
      <c r="B97" s="246" t="s">
        <v>435</v>
      </c>
      <c r="C97" s="116"/>
      <c r="D97" s="116"/>
      <c r="E97" s="116"/>
      <c r="F97" s="116"/>
      <c r="G97" s="116"/>
      <c r="H97" s="116"/>
      <c r="I97" s="116"/>
      <c r="J97" s="116"/>
      <c r="K97" s="116"/>
      <c r="L97" s="116"/>
    </row>
    <row r="98" spans="1:12" ht="13">
      <c r="A98" s="2"/>
      <c r="B98" s="261" t="str">
        <f>"18 C.F.R. §35.19a on lines "&amp;A25&amp;" to "&amp;A36&amp;", Column 6."</f>
        <v>18 C.F.R. §35.19a on lines 12 to 23, Column 6.</v>
      </c>
      <c r="C98" s="116"/>
      <c r="D98" s="116"/>
      <c r="E98" s="116"/>
      <c r="F98" s="116"/>
      <c r="G98" s="116"/>
      <c r="H98" s="116"/>
      <c r="I98" s="116"/>
      <c r="J98" s="116"/>
      <c r="K98" s="116"/>
      <c r="L98" s="116"/>
    </row>
    <row r="99" spans="1:12" ht="13">
      <c r="A99" s="2"/>
      <c r="B99" s="246" t="s">
        <v>436</v>
      </c>
      <c r="C99" s="116"/>
      <c r="D99" s="116"/>
      <c r="E99" s="116"/>
      <c r="F99" s="116"/>
      <c r="G99" s="116"/>
      <c r="H99" s="116"/>
      <c r="I99" s="116"/>
      <c r="J99" s="116"/>
      <c r="K99" s="116"/>
      <c r="L99" s="116"/>
    </row>
    <row r="100" spans="1:12" ht="13">
      <c r="A100" s="2"/>
      <c r="B100" s="236" t="s">
        <v>437</v>
      </c>
      <c r="C100" s="116"/>
      <c r="D100" s="116"/>
      <c r="E100" s="116"/>
      <c r="F100" s="116"/>
      <c r="G100" s="116"/>
      <c r="H100" s="116"/>
      <c r="I100" s="116"/>
      <c r="J100" s="116"/>
      <c r="K100" s="116"/>
      <c r="L100" s="116"/>
    </row>
    <row r="101" spans="1:12" ht="13">
      <c r="A101" s="2"/>
      <c r="B101" s="497" t="s">
        <v>438</v>
      </c>
      <c r="C101" s="116"/>
      <c r="D101" s="116"/>
      <c r="E101" s="116"/>
      <c r="F101" s="116"/>
      <c r="G101" s="116"/>
      <c r="H101" s="116"/>
      <c r="I101" s="116"/>
      <c r="J101" s="116"/>
      <c r="K101" s="116"/>
    </row>
    <row r="102" spans="1:12" ht="13">
      <c r="A102" s="2"/>
      <c r="B102" s="573" t="s">
        <v>439</v>
      </c>
      <c r="C102" s="116"/>
      <c r="D102" s="116"/>
      <c r="E102" s="116"/>
      <c r="F102" s="116"/>
      <c r="G102" s="116"/>
      <c r="H102" s="116"/>
      <c r="I102" s="116"/>
      <c r="J102" s="116"/>
      <c r="K102" s="116"/>
      <c r="L102" s="116"/>
    </row>
    <row r="103" spans="1:12" ht="13">
      <c r="A103" s="2"/>
      <c r="B103" s="573" t="str">
        <f>"Entering on Line "&amp;A25&amp;" (or other appropriate) ensures these One Time Adjustments are recovered from or returned to customers."</f>
        <v>Entering on Line 12 (or other appropriate) ensures these One Time Adjustments are recovered from or returned to customers.</v>
      </c>
      <c r="D103" s="116"/>
      <c r="E103" s="116"/>
      <c r="F103" s="116"/>
      <c r="G103" s="116"/>
      <c r="H103" s="116"/>
      <c r="I103" s="116"/>
      <c r="J103" s="116"/>
      <c r="K103" s="116"/>
      <c r="L103" s="116"/>
    </row>
    <row r="104" spans="1:12" ht="13">
      <c r="A104" s="2"/>
      <c r="B104" s="497" t="s">
        <v>440</v>
      </c>
      <c r="C104" s="116"/>
      <c r="D104" s="116"/>
      <c r="E104" s="116"/>
      <c r="F104" s="116"/>
      <c r="G104" s="116"/>
      <c r="H104" s="116"/>
      <c r="I104" s="116"/>
      <c r="J104" s="116"/>
      <c r="K104" s="116"/>
      <c r="L104" s="116"/>
    </row>
    <row r="105" spans="1:12" ht="13">
      <c r="A105" s="2"/>
      <c r="B105" s="497" t="s">
        <v>441</v>
      </c>
      <c r="C105" s="116"/>
      <c r="D105" s="116"/>
      <c r="E105" s="116"/>
      <c r="F105" s="116"/>
      <c r="G105" s="116"/>
      <c r="H105" s="116"/>
      <c r="I105" s="116"/>
      <c r="J105" s="116"/>
      <c r="K105" s="116"/>
      <c r="L105" s="116"/>
    </row>
    <row r="106" spans="1:12" ht="13">
      <c r="A106" s="2"/>
      <c r="B106" s="497"/>
      <c r="C106" s="247" t="s">
        <v>442</v>
      </c>
      <c r="D106" s="642"/>
      <c r="E106" s="254" t="s">
        <v>443</v>
      </c>
      <c r="F106" s="207"/>
      <c r="G106" s="207"/>
      <c r="H106" s="116"/>
      <c r="I106" s="116"/>
      <c r="J106" s="116"/>
      <c r="K106" s="116"/>
      <c r="L106" s="116"/>
    </row>
    <row r="107" spans="1:12" ht="13">
      <c r="A107" s="2"/>
      <c r="B107" s="497"/>
      <c r="C107" s="247" t="s">
        <v>444</v>
      </c>
      <c r="D107" s="642"/>
      <c r="E107" s="254" t="s">
        <v>445</v>
      </c>
      <c r="F107" s="207"/>
      <c r="G107" s="207"/>
      <c r="H107" s="116"/>
      <c r="I107" s="116"/>
      <c r="J107" s="116"/>
      <c r="K107" s="116"/>
      <c r="L107" s="116"/>
    </row>
    <row r="108" spans="1:12" ht="13">
      <c r="A108" s="2"/>
      <c r="B108" s="246" t="str">
        <f>"5) Fill in matrix of all retail revenues from Prior Year in table on lines "&amp;A77&amp;" to "&amp;A88&amp;"."</f>
        <v>5) Fill in matrix of all retail revenues from Prior Year in table on lines 63 to 74.</v>
      </c>
      <c r="C108" s="116"/>
      <c r="D108" s="116"/>
      <c r="E108" s="116"/>
      <c r="F108" s="116"/>
      <c r="G108" s="116"/>
      <c r="H108" s="116"/>
      <c r="I108" s="116"/>
      <c r="J108" s="116"/>
      <c r="K108" s="116"/>
      <c r="L108" s="116"/>
    </row>
    <row r="109" spans="1:12" ht="13">
      <c r="A109" s="2"/>
      <c r="B109" s="246" t="str">
        <f>"6) Enter Total Sales to Ultimate Consumers on line "&amp;A91&amp;" and verify that it equals the total on line "&amp;A89&amp;"."</f>
        <v>6) Enter Total Sales to Ultimate Consumers on line 77 and verify that it equals the total on line 75.</v>
      </c>
      <c r="C109" s="116"/>
      <c r="D109" s="116"/>
      <c r="E109" s="116"/>
      <c r="F109" s="116"/>
      <c r="G109" s="116"/>
      <c r="H109" s="116"/>
      <c r="I109" s="116"/>
      <c r="J109" s="116"/>
      <c r="K109" s="116"/>
      <c r="L109" s="116"/>
    </row>
    <row r="110" spans="1:12" ht="13">
      <c r="A110" s="2"/>
      <c r="B110" s="246" t="s">
        <v>446</v>
      </c>
      <c r="C110" s="116"/>
      <c r="D110" s="116"/>
      <c r="E110" s="116"/>
      <c r="F110" s="116"/>
      <c r="G110" s="116"/>
      <c r="H110" s="116"/>
      <c r="I110" s="116"/>
      <c r="J110" s="116"/>
      <c r="K110" s="116"/>
      <c r="L110" s="116"/>
    </row>
    <row r="111" spans="1:12" ht="13">
      <c r="A111" s="2"/>
      <c r="B111" s="261" t="s">
        <v>447</v>
      </c>
      <c r="C111" s="116"/>
      <c r="D111" s="116"/>
      <c r="E111" s="116"/>
      <c r="F111" s="116"/>
      <c r="G111" s="116"/>
      <c r="H111" s="116"/>
      <c r="I111" s="116"/>
      <c r="J111" s="116"/>
      <c r="K111" s="116"/>
      <c r="L111" s="116"/>
    </row>
    <row r="112" spans="1:12" ht="13">
      <c r="A112" s="2"/>
      <c r="B112" s="30" t="s">
        <v>228</v>
      </c>
      <c r="C112" s="116"/>
      <c r="D112" s="116"/>
      <c r="E112" s="116"/>
      <c r="F112" s="116"/>
      <c r="G112" s="116"/>
      <c r="H112" s="116"/>
      <c r="I112" s="116"/>
      <c r="J112" s="116"/>
      <c r="K112" s="116"/>
      <c r="L112" s="116"/>
    </row>
    <row r="113" spans="1:12" ht="13">
      <c r="A113" s="2"/>
      <c r="B113" s="246" t="s">
        <v>448</v>
      </c>
      <c r="C113" s="116"/>
      <c r="D113" s="116"/>
      <c r="E113" s="116"/>
      <c r="F113" s="116"/>
      <c r="G113" s="116"/>
      <c r="H113" s="116"/>
      <c r="I113" s="116"/>
      <c r="J113" s="116"/>
      <c r="K113" s="116"/>
      <c r="L113" s="116"/>
    </row>
    <row r="114" spans="1:12" ht="13">
      <c r="A114" s="2"/>
      <c r="B114" s="320" t="s">
        <v>449</v>
      </c>
      <c r="C114" s="116"/>
      <c r="D114" s="116"/>
      <c r="E114" s="116"/>
      <c r="F114" s="116"/>
      <c r="G114" s="116"/>
      <c r="H114" s="116"/>
      <c r="I114" s="116"/>
      <c r="J114" s="116"/>
      <c r="K114" s="116"/>
      <c r="L114" s="116"/>
    </row>
    <row r="115" spans="1:12" ht="13">
      <c r="A115" s="2"/>
      <c r="B115" s="572"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6"/>
      <c r="D115" s="116"/>
      <c r="E115" s="116"/>
      <c r="F115" s="116"/>
      <c r="G115" s="116"/>
      <c r="H115" s="116"/>
      <c r="I115" s="116"/>
      <c r="J115" s="116"/>
      <c r="K115" s="116"/>
      <c r="L115" s="116"/>
    </row>
    <row r="116" spans="1:12" ht="13">
      <c r="A116" s="2"/>
      <c r="B116" s="572" t="str">
        <f>"Only enter in the Prior Year, Lines "&amp;A25&amp;" to "&amp;A36&amp;", or portion of year formula was in effect in case of Partial Year True Up."</f>
        <v>Only enter in the Prior Year, Lines 12 to 23, or portion of year formula was in effect in case of Partial Year True Up.</v>
      </c>
      <c r="C116" s="116"/>
      <c r="D116" s="116"/>
      <c r="E116" s="116"/>
      <c r="F116" s="116"/>
      <c r="G116" s="116"/>
      <c r="H116" s="116"/>
      <c r="I116" s="116"/>
      <c r="J116" s="116"/>
      <c r="K116" s="116"/>
      <c r="L116" s="116"/>
    </row>
    <row r="117" spans="1:12" ht="13">
      <c r="A117" s="2"/>
      <c r="B117" s="572" t="s">
        <v>450</v>
      </c>
      <c r="C117" s="116"/>
      <c r="D117" s="116"/>
      <c r="E117" s="116"/>
      <c r="F117" s="116"/>
      <c r="G117" s="116"/>
      <c r="H117" s="116"/>
      <c r="I117" s="116"/>
      <c r="J117" s="116"/>
      <c r="K117" s="116"/>
      <c r="L117" s="116"/>
    </row>
    <row r="118" spans="1:12" ht="13">
      <c r="A118" s="2"/>
      <c r="B118" s="320" t="s">
        <v>451</v>
      </c>
      <c r="C118" s="116"/>
      <c r="D118" s="116"/>
      <c r="E118" s="116"/>
      <c r="F118" s="116"/>
      <c r="G118" s="116"/>
      <c r="H118" s="116"/>
      <c r="I118" s="116"/>
      <c r="J118" s="116"/>
      <c r="K118" s="116"/>
      <c r="L118" s="116"/>
    </row>
    <row r="119" spans="1:12" ht="13">
      <c r="A119" s="2"/>
      <c r="B119" s="572" t="str">
        <f>"as shown on Lines "&amp;A77&amp;" to "&amp;A88&amp;", Column 1."</f>
        <v>as shown on Lines 63 to 74, Column 1.</v>
      </c>
      <c r="C119" s="116"/>
      <c r="D119" s="116"/>
      <c r="E119" s="116"/>
      <c r="F119" s="116"/>
      <c r="G119" s="116"/>
      <c r="H119" s="116"/>
      <c r="I119" s="116"/>
      <c r="J119" s="116"/>
      <c r="K119" s="116"/>
      <c r="L119" s="116"/>
    </row>
    <row r="120" spans="1:12" ht="13">
      <c r="A120" s="2"/>
      <c r="B120" s="320" t="s">
        <v>452</v>
      </c>
      <c r="C120" s="116"/>
      <c r="D120" s="116"/>
      <c r="E120" s="116"/>
      <c r="F120" s="116"/>
      <c r="G120" s="116"/>
      <c r="H120" s="116"/>
      <c r="I120" s="116"/>
      <c r="J120" s="116"/>
      <c r="K120" s="116"/>
      <c r="L120" s="116"/>
    </row>
    <row r="121" spans="1:12" ht="13">
      <c r="A121" s="2"/>
      <c r="B121" s="320" t="s">
        <v>453</v>
      </c>
      <c r="C121" s="116"/>
      <c r="D121" s="116"/>
      <c r="E121" s="116"/>
      <c r="F121" s="116"/>
      <c r="G121" s="116"/>
      <c r="H121" s="116"/>
      <c r="I121" s="116"/>
      <c r="J121" s="116"/>
      <c r="K121" s="116"/>
      <c r="L121" s="116"/>
    </row>
    <row r="122" spans="1:12" ht="13">
      <c r="A122" s="2"/>
      <c r="B122" s="246" t="s">
        <v>454</v>
      </c>
      <c r="C122" s="116"/>
      <c r="D122" s="116"/>
      <c r="E122" s="116"/>
      <c r="F122" s="116"/>
      <c r="G122" s="116"/>
      <c r="H122" s="116"/>
      <c r="I122" s="116"/>
      <c r="J122" s="116"/>
      <c r="K122" s="116"/>
      <c r="L122" s="116"/>
    </row>
    <row r="123" spans="1:12" ht="13">
      <c r="A123" s="2"/>
      <c r="B123" s="261" t="s">
        <v>455</v>
      </c>
      <c r="C123" s="116"/>
      <c r="D123" s="116"/>
      <c r="E123" s="116"/>
      <c r="F123" s="116"/>
      <c r="G123" s="116"/>
      <c r="H123" s="116"/>
      <c r="I123" s="116"/>
      <c r="J123" s="116"/>
      <c r="K123" s="116"/>
      <c r="L123" s="116"/>
    </row>
    <row r="124" spans="1:12" ht="13">
      <c r="A124" s="2"/>
      <c r="B124" s="246" t="s">
        <v>456</v>
      </c>
      <c r="C124" s="116"/>
      <c r="D124" s="116"/>
      <c r="E124" s="116"/>
      <c r="F124" s="116"/>
      <c r="G124" s="116"/>
      <c r="H124" s="116"/>
      <c r="I124" s="116"/>
      <c r="J124" s="116"/>
      <c r="K124" s="116"/>
      <c r="L124" s="116"/>
    </row>
    <row r="125" spans="1:12" ht="13">
      <c r="A125" s="2"/>
      <c r="B125" s="496" t="s">
        <v>457</v>
      </c>
      <c r="C125" s="116"/>
      <c r="D125" s="116"/>
      <c r="E125" s="116"/>
      <c r="F125" s="116"/>
      <c r="G125" s="116"/>
      <c r="H125" s="116"/>
      <c r="I125" s="116"/>
      <c r="J125" s="116"/>
      <c r="K125" s="116"/>
      <c r="L125" s="116"/>
    </row>
    <row r="126" spans="1:12" ht="13">
      <c r="A126" s="2"/>
      <c r="B126" s="246" t="s">
        <v>458</v>
      </c>
      <c r="C126" s="116"/>
      <c r="D126" s="116"/>
      <c r="E126" s="116"/>
      <c r="F126" s="116"/>
      <c r="G126" s="116"/>
      <c r="H126" s="116"/>
      <c r="I126" s="116"/>
      <c r="J126" s="116"/>
      <c r="K126" s="116"/>
      <c r="L126" s="116"/>
    </row>
    <row r="127" spans="1:12" ht="13">
      <c r="A127" s="2"/>
      <c r="B127" s="246" t="s">
        <v>459</v>
      </c>
      <c r="C127" s="116"/>
      <c r="D127" s="116"/>
      <c r="E127" s="116"/>
      <c r="F127" s="116"/>
      <c r="G127" s="116"/>
      <c r="H127" s="116"/>
      <c r="I127" s="116"/>
      <c r="J127" s="116"/>
      <c r="K127" s="116"/>
      <c r="L127" s="116"/>
    </row>
    <row r="128" spans="1:12" ht="13">
      <c r="A128" s="2"/>
      <c r="B128" s="261" t="s">
        <v>460</v>
      </c>
      <c r="C128" s="116"/>
      <c r="D128" s="116"/>
      <c r="E128" s="116"/>
      <c r="F128" s="116"/>
      <c r="G128" s="116"/>
      <c r="H128" s="116"/>
      <c r="I128" s="116"/>
      <c r="J128" s="116"/>
      <c r="K128" s="116"/>
      <c r="L128" s="116"/>
    </row>
    <row r="129" spans="1:12" ht="13">
      <c r="A129" s="2"/>
      <c r="B129" s="261" t="s">
        <v>461</v>
      </c>
      <c r="C129" s="116"/>
      <c r="D129" s="116"/>
      <c r="E129" s="116"/>
      <c r="F129" s="116"/>
      <c r="G129" s="116"/>
      <c r="H129" s="116"/>
      <c r="I129" s="116"/>
      <c r="J129" s="116"/>
      <c r="K129" s="116"/>
      <c r="L129" s="116"/>
    </row>
    <row r="130" spans="1:12" ht="13">
      <c r="A130" s="2"/>
      <c r="B130" s="261" t="s">
        <v>462</v>
      </c>
      <c r="C130" s="116"/>
      <c r="D130" s="116"/>
      <c r="E130" s="116"/>
      <c r="F130" s="116"/>
      <c r="G130" s="116"/>
      <c r="H130" s="116"/>
      <c r="I130" s="116"/>
      <c r="J130" s="116"/>
      <c r="K130" s="116"/>
      <c r="L130" s="116"/>
    </row>
    <row r="131" spans="1:12" ht="13">
      <c r="A131" s="2"/>
      <c r="B131" s="246" t="s">
        <v>463</v>
      </c>
      <c r="C131" s="116"/>
      <c r="D131" s="116"/>
      <c r="E131" s="116"/>
      <c r="F131" s="116"/>
      <c r="G131" s="116"/>
      <c r="H131" s="116"/>
      <c r="I131" s="116"/>
      <c r="J131" s="116"/>
      <c r="K131" s="116"/>
      <c r="L131" s="116"/>
    </row>
    <row r="132" spans="1:12" ht="13">
      <c r="A132" s="2"/>
      <c r="B132" s="261" t="s">
        <v>464</v>
      </c>
      <c r="C132" s="116"/>
      <c r="D132" s="116"/>
      <c r="E132" s="116"/>
      <c r="F132" s="116"/>
      <c r="G132" s="116"/>
      <c r="H132" s="116"/>
      <c r="I132" s="116"/>
      <c r="J132" s="116"/>
      <c r="K132" s="116"/>
      <c r="L132" s="116"/>
    </row>
    <row r="133" spans="1:12" ht="13">
      <c r="A133" s="2"/>
      <c r="B133" s="261" t="s">
        <v>465</v>
      </c>
      <c r="C133" s="116"/>
      <c r="D133" s="116"/>
      <c r="E133" s="116"/>
      <c r="F133" s="116"/>
      <c r="G133" s="116"/>
      <c r="H133" s="116"/>
      <c r="I133" s="116"/>
      <c r="J133" s="116"/>
      <c r="K133" s="116"/>
      <c r="L133" s="116"/>
    </row>
    <row r="134" spans="1:12">
      <c r="A134" s="116"/>
      <c r="B134" s="261" t="s">
        <v>466</v>
      </c>
      <c r="C134" s="116"/>
      <c r="D134" s="116"/>
      <c r="E134" s="116"/>
      <c r="F134" s="116"/>
      <c r="G134" s="116"/>
      <c r="H134" s="116"/>
      <c r="I134" s="116"/>
      <c r="J134" s="116"/>
      <c r="K134" s="116"/>
      <c r="L134" s="116"/>
    </row>
    <row r="135" spans="1:12">
      <c r="A135" s="116"/>
      <c r="B135" s="261" t="s">
        <v>467</v>
      </c>
      <c r="C135" s="116"/>
      <c r="D135" s="116"/>
      <c r="E135" s="116"/>
      <c r="F135" s="116"/>
      <c r="G135" s="116"/>
      <c r="H135" s="116"/>
      <c r="I135" s="116"/>
      <c r="J135" s="116"/>
      <c r="K135" s="116"/>
      <c r="L135" s="116"/>
    </row>
    <row r="136" spans="1:12">
      <c r="A136" s="116"/>
      <c r="B136" s="246"/>
      <c r="C136" s="116"/>
      <c r="D136" s="116"/>
      <c r="E136" s="116"/>
      <c r="F136" s="116"/>
      <c r="G136" s="116"/>
      <c r="H136" s="116"/>
      <c r="I136" s="116"/>
      <c r="J136" s="116"/>
      <c r="K136" s="116"/>
      <c r="L136" s="116"/>
    </row>
    <row r="137" spans="1:12">
      <c r="A137" s="116"/>
      <c r="B137" s="261"/>
      <c r="C137" s="116"/>
      <c r="D137" s="116"/>
      <c r="E137" s="116"/>
      <c r="F137" s="116"/>
      <c r="G137" s="116"/>
      <c r="H137" s="116"/>
      <c r="I137" s="116"/>
      <c r="J137" s="116"/>
      <c r="K137" s="116"/>
      <c r="L137" s="116"/>
    </row>
    <row r="138" spans="1:12">
      <c r="A138" s="116"/>
      <c r="B138" s="261"/>
      <c r="C138" s="116"/>
      <c r="D138" s="116"/>
      <c r="E138" s="116"/>
      <c r="F138" s="116"/>
      <c r="G138" s="116"/>
      <c r="H138" s="116"/>
      <c r="I138" s="116"/>
      <c r="J138" s="116"/>
      <c r="K138" s="116"/>
      <c r="L138" s="116"/>
    </row>
    <row r="139" spans="1:12">
      <c r="A139" s="116"/>
      <c r="B139" s="261"/>
      <c r="C139" s="116"/>
      <c r="D139" s="116"/>
      <c r="E139" s="116"/>
      <c r="F139" s="116"/>
      <c r="G139" s="116"/>
      <c r="H139" s="116"/>
      <c r="I139" s="116"/>
      <c r="J139" s="116"/>
      <c r="K139" s="116"/>
      <c r="L139" s="116"/>
    </row>
    <row r="140" spans="1:12">
      <c r="A140" s="116"/>
      <c r="B140" s="246"/>
      <c r="C140" s="116"/>
      <c r="D140" s="116"/>
      <c r="E140" s="116"/>
      <c r="F140" s="116"/>
      <c r="G140" s="116"/>
      <c r="H140" s="116"/>
      <c r="I140" s="116"/>
      <c r="J140" s="116"/>
      <c r="K140" s="116"/>
      <c r="L140" s="116"/>
    </row>
    <row r="141" spans="1:12">
      <c r="A141" s="116"/>
      <c r="B141" s="261"/>
      <c r="C141" s="116"/>
      <c r="D141" s="116"/>
      <c r="E141" s="116"/>
      <c r="F141" s="116"/>
      <c r="G141" s="116"/>
      <c r="H141" s="116"/>
      <c r="I141" s="116"/>
      <c r="J141" s="116"/>
      <c r="K141" s="116"/>
      <c r="L141" s="116"/>
    </row>
    <row r="142" spans="1:12">
      <c r="A142" s="116"/>
      <c r="B142" s="261"/>
      <c r="C142" s="116"/>
      <c r="D142" s="116"/>
      <c r="E142" s="116"/>
      <c r="F142" s="116"/>
      <c r="G142" s="116"/>
      <c r="H142" s="116"/>
      <c r="I142" s="116"/>
      <c r="J142" s="116"/>
      <c r="K142" s="116"/>
      <c r="L142" s="116"/>
    </row>
    <row r="143" spans="1:12">
      <c r="A143" s="116"/>
      <c r="B143" s="261"/>
      <c r="C143" s="116"/>
      <c r="D143" s="116"/>
      <c r="E143" s="116"/>
      <c r="F143" s="116"/>
      <c r="G143" s="116"/>
      <c r="H143" s="116"/>
      <c r="I143" s="116"/>
      <c r="J143" s="116"/>
      <c r="K143" s="116"/>
      <c r="L143" s="116"/>
    </row>
    <row r="144" spans="1:12">
      <c r="A144" s="116"/>
      <c r="B144" s="261"/>
      <c r="C144" s="116"/>
      <c r="D144" s="116"/>
      <c r="E144" s="116"/>
      <c r="F144" s="116"/>
      <c r="G144" s="116"/>
      <c r="H144" s="116"/>
      <c r="I144" s="116"/>
      <c r="J144" s="116"/>
      <c r="K144" s="116"/>
      <c r="L144" s="116"/>
    </row>
    <row r="145" spans="1:12">
      <c r="A145" s="116"/>
      <c r="C145" s="116"/>
      <c r="D145" s="116"/>
      <c r="E145" s="116"/>
      <c r="F145" s="116"/>
      <c r="G145" s="116"/>
      <c r="H145" s="116"/>
      <c r="I145" s="116"/>
      <c r="J145" s="116"/>
      <c r="K145" s="116"/>
      <c r="L145" s="116"/>
    </row>
    <row r="146" spans="1:12">
      <c r="A146" s="116"/>
      <c r="B146" s="116"/>
      <c r="C146" s="116"/>
      <c r="D146" s="116"/>
      <c r="E146" s="116"/>
      <c r="F146" s="116"/>
      <c r="G146" s="116"/>
      <c r="H146" s="116"/>
      <c r="I146" s="116"/>
      <c r="J146" s="116"/>
      <c r="K146" s="116"/>
      <c r="L146" s="116"/>
    </row>
    <row r="147" spans="1:12">
      <c r="A147" s="116"/>
      <c r="B147" s="116"/>
      <c r="C147" s="116"/>
      <c r="D147" s="116"/>
      <c r="E147" s="116"/>
      <c r="F147" s="116"/>
      <c r="G147" s="116"/>
      <c r="H147" s="116"/>
      <c r="I147" s="116"/>
      <c r="J147" s="116"/>
      <c r="K147" s="116"/>
      <c r="L147" s="116"/>
    </row>
    <row r="148" spans="1:12">
      <c r="A148" s="116"/>
      <c r="B148" s="116"/>
      <c r="C148" s="116"/>
      <c r="D148" s="116"/>
      <c r="E148" s="116"/>
      <c r="F148" s="116"/>
      <c r="G148" s="116"/>
      <c r="H148" s="116"/>
      <c r="I148" s="116"/>
      <c r="J148" s="116"/>
      <c r="K148" s="116"/>
      <c r="L148" s="116"/>
    </row>
    <row r="149" spans="1:12">
      <c r="A149" s="116"/>
      <c r="B149" s="116"/>
      <c r="C149" s="116"/>
      <c r="D149" s="116"/>
      <c r="E149" s="116"/>
      <c r="F149" s="116"/>
      <c r="G149" s="116"/>
      <c r="H149" s="116"/>
      <c r="I149" s="116"/>
      <c r="J149" s="116"/>
      <c r="K149" s="116"/>
      <c r="L149" s="116"/>
    </row>
    <row r="150" spans="1:12">
      <c r="A150" s="116"/>
      <c r="B150" s="116"/>
      <c r="C150" s="116"/>
      <c r="D150" s="116"/>
      <c r="E150" s="116"/>
      <c r="F150" s="116"/>
      <c r="G150" s="116"/>
      <c r="H150" s="116"/>
      <c r="I150" s="116"/>
      <c r="J150" s="116"/>
      <c r="K150" s="116"/>
      <c r="L150" s="116"/>
    </row>
    <row r="151" spans="1:12">
      <c r="A151" s="116"/>
      <c r="B151" s="116"/>
      <c r="C151" s="116"/>
      <c r="D151" s="116"/>
      <c r="E151" s="116"/>
      <c r="F151" s="116"/>
      <c r="G151" s="116"/>
      <c r="H151" s="116"/>
      <c r="I151" s="116"/>
      <c r="J151" s="116"/>
      <c r="K151" s="116"/>
      <c r="L151" s="116"/>
    </row>
    <row r="152" spans="1:12">
      <c r="A152" s="116"/>
      <c r="B152" s="116"/>
      <c r="C152" s="116"/>
      <c r="D152" s="116"/>
      <c r="E152" s="116"/>
      <c r="F152" s="116"/>
      <c r="G152" s="116"/>
      <c r="H152" s="116"/>
      <c r="I152" s="116"/>
      <c r="J152" s="116"/>
      <c r="K152" s="116"/>
      <c r="L152" s="116"/>
    </row>
    <row r="153" spans="1:12">
      <c r="A153" s="116"/>
      <c r="B153" s="116"/>
      <c r="C153" s="116"/>
      <c r="D153" s="116"/>
      <c r="E153" s="116"/>
      <c r="F153" s="116"/>
      <c r="G153" s="116"/>
      <c r="H153" s="116"/>
      <c r="I153" s="116"/>
      <c r="J153" s="116"/>
      <c r="K153" s="116"/>
      <c r="L153" s="116"/>
    </row>
    <row r="154" spans="1:12">
      <c r="A154" s="116"/>
      <c r="B154" s="116"/>
      <c r="C154" s="116"/>
      <c r="D154" s="116"/>
      <c r="E154" s="116"/>
      <c r="F154" s="116"/>
      <c r="G154" s="116"/>
      <c r="H154" s="116"/>
      <c r="I154" s="116"/>
      <c r="J154" s="116"/>
      <c r="K154" s="116"/>
      <c r="L154" s="116"/>
    </row>
    <row r="155" spans="1:12">
      <c r="A155" s="116"/>
      <c r="B155" s="116"/>
      <c r="C155" s="116"/>
      <c r="D155" s="116"/>
      <c r="E155" s="116"/>
      <c r="F155" s="116"/>
      <c r="G155" s="116"/>
      <c r="H155" s="116"/>
      <c r="I155" s="116"/>
      <c r="J155" s="116"/>
      <c r="K155" s="116"/>
      <c r="L155" s="116"/>
    </row>
    <row r="156" spans="1:12">
      <c r="A156" s="116"/>
      <c r="B156" s="116"/>
      <c r="C156" s="116"/>
      <c r="D156" s="116"/>
      <c r="E156" s="116"/>
      <c r="F156" s="116"/>
      <c r="G156" s="116"/>
      <c r="H156" s="116"/>
      <c r="I156" s="116"/>
      <c r="J156" s="116"/>
      <c r="K156" s="116"/>
      <c r="L156" s="116"/>
    </row>
    <row r="157" spans="1:12">
      <c r="A157" s="116"/>
      <c r="B157" s="116"/>
      <c r="C157" s="116"/>
      <c r="D157" s="116"/>
      <c r="E157" s="116"/>
      <c r="F157" s="116"/>
      <c r="G157" s="116"/>
      <c r="H157" s="116"/>
      <c r="I157" s="116"/>
      <c r="J157" s="116"/>
      <c r="K157" s="116"/>
      <c r="L157" s="116"/>
    </row>
    <row r="158" spans="1:12">
      <c r="A158" s="116"/>
      <c r="B158" s="116"/>
      <c r="C158" s="116"/>
      <c r="D158" s="116"/>
      <c r="E158" s="116"/>
      <c r="F158" s="116"/>
      <c r="G158" s="116"/>
      <c r="H158" s="116"/>
      <c r="I158" s="116"/>
      <c r="J158" s="116"/>
      <c r="K158" s="116"/>
      <c r="L158" s="116"/>
    </row>
    <row r="159" spans="1:12">
      <c r="A159" s="116"/>
      <c r="B159" s="116"/>
      <c r="C159" s="116"/>
      <c r="D159" s="116"/>
      <c r="E159" s="116"/>
      <c r="F159" s="116"/>
      <c r="G159" s="116"/>
      <c r="H159" s="116"/>
      <c r="I159" s="116"/>
      <c r="J159" s="116"/>
      <c r="K159" s="116"/>
      <c r="L159" s="116"/>
    </row>
    <row r="160" spans="1:12">
      <c r="A160" s="116"/>
      <c r="B160" s="116"/>
      <c r="C160" s="116"/>
      <c r="D160" s="116"/>
      <c r="E160" s="116"/>
      <c r="F160" s="116"/>
      <c r="G160" s="116"/>
      <c r="H160" s="116"/>
      <c r="I160" s="116"/>
      <c r="J160" s="116"/>
      <c r="K160" s="116"/>
      <c r="L160" s="116"/>
    </row>
    <row r="161" spans="1:12">
      <c r="A161" s="116"/>
      <c r="B161" s="116"/>
      <c r="C161" s="116"/>
      <c r="D161" s="116"/>
      <c r="E161" s="116"/>
      <c r="F161" s="116"/>
      <c r="G161" s="116"/>
      <c r="H161" s="116"/>
      <c r="I161" s="116"/>
      <c r="J161" s="116"/>
      <c r="K161" s="116"/>
      <c r="L161" s="116"/>
    </row>
    <row r="162" spans="1:12">
      <c r="A162" s="116"/>
      <c r="B162" s="116"/>
      <c r="C162" s="116"/>
      <c r="D162" s="116"/>
      <c r="E162" s="116"/>
      <c r="F162" s="116"/>
      <c r="G162" s="116"/>
      <c r="H162" s="116"/>
      <c r="I162" s="116"/>
      <c r="J162" s="116"/>
      <c r="K162" s="116"/>
      <c r="L162" s="116"/>
    </row>
    <row r="163" spans="1:12">
      <c r="A163" s="116"/>
      <c r="B163" s="116"/>
      <c r="C163" s="116"/>
      <c r="D163" s="116"/>
      <c r="E163" s="116"/>
      <c r="F163" s="116"/>
      <c r="G163" s="116"/>
      <c r="H163" s="116"/>
      <c r="I163" s="116"/>
      <c r="J163" s="116"/>
      <c r="K163" s="116"/>
      <c r="L163" s="116"/>
    </row>
    <row r="164" spans="1:12">
      <c r="A164" s="116"/>
      <c r="B164" s="116"/>
      <c r="C164" s="116"/>
      <c r="D164" s="116"/>
      <c r="E164" s="116"/>
      <c r="F164" s="116"/>
      <c r="G164" s="116"/>
      <c r="H164" s="116"/>
      <c r="I164" s="116"/>
      <c r="J164" s="116"/>
      <c r="K164" s="116"/>
      <c r="L164" s="116"/>
    </row>
    <row r="165" spans="1:12">
      <c r="A165" s="116"/>
      <c r="B165" s="116"/>
      <c r="C165" s="116"/>
      <c r="D165" s="116"/>
      <c r="E165" s="116"/>
      <c r="F165" s="116"/>
      <c r="G165" s="116"/>
      <c r="H165" s="116"/>
      <c r="I165" s="116"/>
      <c r="J165" s="116"/>
      <c r="K165" s="116"/>
      <c r="L165" s="116"/>
    </row>
    <row r="166" spans="1:12">
      <c r="A166" s="116"/>
      <c r="B166" s="116"/>
      <c r="C166" s="116"/>
      <c r="D166" s="116"/>
      <c r="E166" s="116"/>
      <c r="F166" s="116"/>
      <c r="G166" s="116"/>
      <c r="H166" s="116"/>
      <c r="I166" s="116"/>
      <c r="J166" s="116"/>
      <c r="K166" s="116"/>
      <c r="L166" s="116"/>
    </row>
    <row r="167" spans="1:12">
      <c r="A167" s="116"/>
      <c r="B167" s="116"/>
      <c r="C167" s="116"/>
      <c r="D167" s="116"/>
      <c r="E167" s="116"/>
      <c r="F167" s="116"/>
      <c r="G167" s="116"/>
      <c r="H167" s="116"/>
      <c r="I167" s="116"/>
      <c r="J167" s="116"/>
      <c r="K167" s="116"/>
      <c r="L167" s="116"/>
    </row>
    <row r="168" spans="1:12">
      <c r="A168" s="116"/>
      <c r="B168" s="116"/>
      <c r="C168" s="116"/>
      <c r="D168" s="116"/>
      <c r="E168" s="116"/>
      <c r="F168" s="116"/>
      <c r="G168" s="116"/>
      <c r="H168" s="116"/>
      <c r="I168" s="116"/>
      <c r="J168" s="116"/>
      <c r="K168" s="116"/>
      <c r="L168" s="116"/>
    </row>
    <row r="169" spans="1:12">
      <c r="A169" s="116"/>
      <c r="B169" s="116"/>
      <c r="C169" s="116"/>
      <c r="D169" s="116"/>
      <c r="E169" s="116"/>
      <c r="F169" s="116"/>
      <c r="G169" s="116"/>
      <c r="H169" s="116"/>
      <c r="I169" s="116"/>
      <c r="J169" s="116"/>
      <c r="K169" s="116"/>
      <c r="L169" s="116"/>
    </row>
  </sheetData>
  <pageMargins left="0.7" right="0.7" top="0.75" bottom="0.75" header="0.3" footer="0.3"/>
  <pageSetup scale="72" orientation="landscape" cellComments="asDisplayed" r:id="rId1"/>
  <headerFooter>
    <oddHeader>&amp;CSchedule 3
True Up Adjustment
&amp;RTO2024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3"/>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6.453125" customWidth="1"/>
    <col min="11" max="11" width="2.54296875" customWidth="1"/>
    <col min="12" max="12" width="31.1796875" customWidth="1"/>
    <col min="13" max="13" width="10.54296875" customWidth="1"/>
    <col min="14" max="14" width="15.453125" customWidth="1"/>
    <col min="15" max="15" width="18.1796875" customWidth="1"/>
    <col min="16" max="16" width="3.453125" customWidth="1"/>
    <col min="17" max="17" width="14.81640625" customWidth="1"/>
  </cols>
  <sheetData>
    <row r="1" spans="1:14" ht="13">
      <c r="A1" s="1" t="s">
        <v>468</v>
      </c>
    </row>
    <row r="3" spans="1:14" ht="13">
      <c r="B3" s="47" t="s">
        <v>469</v>
      </c>
      <c r="L3" s="2"/>
    </row>
    <row r="4" spans="1:14" ht="13">
      <c r="B4" s="40"/>
      <c r="F4" s="2" t="s">
        <v>470</v>
      </c>
      <c r="G4" s="2"/>
      <c r="H4" s="2" t="s">
        <v>98</v>
      </c>
      <c r="L4" s="2"/>
      <c r="N4" s="2"/>
    </row>
    <row r="5" spans="1:14" ht="13">
      <c r="A5" s="32" t="s">
        <v>99</v>
      </c>
      <c r="B5" s="12"/>
      <c r="C5" s="30" t="s">
        <v>471</v>
      </c>
      <c r="F5" s="3" t="s">
        <v>472</v>
      </c>
      <c r="G5" s="3" t="s">
        <v>100</v>
      </c>
      <c r="H5" s="3" t="s">
        <v>101</v>
      </c>
      <c r="J5" s="3" t="s">
        <v>79</v>
      </c>
      <c r="L5" s="3"/>
      <c r="N5" s="3"/>
    </row>
    <row r="6" spans="1:14" ht="13">
      <c r="A6" s="2">
        <v>1</v>
      </c>
      <c r="C6" s="291" t="s">
        <v>104</v>
      </c>
      <c r="F6" t="s">
        <v>473</v>
      </c>
      <c r="H6" s="291" t="str">
        <f>"6-PlantInService, Line "&amp;'6-PlantInService'!A43&amp;""</f>
        <v>6-PlantInService, Line 18</v>
      </c>
      <c r="J6" s="6">
        <f>'6-PlantInService'!D43</f>
        <v>10684096594.126232</v>
      </c>
      <c r="L6" s="6"/>
      <c r="N6" s="6"/>
    </row>
    <row r="7" spans="1:14" ht="13">
      <c r="A7" s="2">
        <f>A6+1</f>
        <v>2</v>
      </c>
      <c r="C7" s="291" t="s">
        <v>474</v>
      </c>
      <c r="F7" t="s">
        <v>475</v>
      </c>
      <c r="H7" s="291" t="str">
        <f>"6-PlantInService, Line "&amp;'6-PlantInService'!A59&amp;""</f>
        <v>6-PlantInService, Line 24</v>
      </c>
      <c r="J7" s="6">
        <f>'6-PlantInService'!F59</f>
        <v>362785593.14109528</v>
      </c>
      <c r="L7" s="6"/>
      <c r="N7" s="6"/>
    </row>
    <row r="8" spans="1:14" ht="13">
      <c r="A8" s="2">
        <f>A7+1</f>
        <v>3</v>
      </c>
      <c r="C8" s="291" t="s">
        <v>106</v>
      </c>
      <c r="F8" t="s">
        <v>475</v>
      </c>
      <c r="H8" t="str">
        <f>"11-PHFU, Line "&amp;'11-PHFU'!A42&amp;""</f>
        <v>11-PHFU, Line 9</v>
      </c>
      <c r="J8" s="6">
        <f>'11-PHFU'!D42</f>
        <v>7762115</v>
      </c>
      <c r="L8" s="6"/>
      <c r="N8" s="6"/>
    </row>
    <row r="9" spans="1:14" ht="13">
      <c r="A9" s="2">
        <f>A8+1</f>
        <v>4</v>
      </c>
      <c r="C9" s="291" t="s">
        <v>107</v>
      </c>
      <c r="F9" t="s">
        <v>475</v>
      </c>
      <c r="H9" s="247" t="str">
        <f>"12-AbandonedPlant Line "&amp;'12-AbandonedPlant'!A21&amp;""</f>
        <v>12-AbandonedPlant Line 4</v>
      </c>
      <c r="J9" s="6">
        <f>'12-AbandonedPlant'!G21</f>
        <v>0</v>
      </c>
      <c r="L9" s="6"/>
      <c r="N9" s="6"/>
    </row>
    <row r="10" spans="1:14" ht="13">
      <c r="A10" s="2"/>
      <c r="C10" s="291"/>
      <c r="J10" s="6"/>
      <c r="L10" s="6"/>
      <c r="N10" s="6"/>
    </row>
    <row r="11" spans="1:14" ht="13">
      <c r="A11" s="2"/>
      <c r="C11" s="28" t="s">
        <v>476</v>
      </c>
      <c r="J11" s="6"/>
      <c r="L11" s="6"/>
      <c r="N11" s="6"/>
    </row>
    <row r="12" spans="1:14" ht="13">
      <c r="A12" s="2">
        <f>A9+1</f>
        <v>5</v>
      </c>
      <c r="C12" s="246" t="s">
        <v>109</v>
      </c>
      <c r="F12" t="s">
        <v>473</v>
      </c>
      <c r="H12" s="291" t="str">
        <f>"13-WorkCap, Line "&amp;'13-WorkCap'!A27&amp;""</f>
        <v>13-WorkCap, Line 17</v>
      </c>
      <c r="J12" s="6">
        <f>'13-WorkCap'!F27</f>
        <v>25676658.345826861</v>
      </c>
      <c r="L12" s="6"/>
      <c r="N12" s="6"/>
    </row>
    <row r="13" spans="1:14" ht="13">
      <c r="A13" s="2">
        <f>A12+1</f>
        <v>6</v>
      </c>
      <c r="C13" s="12" t="s">
        <v>110</v>
      </c>
      <c r="F13" t="s">
        <v>473</v>
      </c>
      <c r="H13" s="291" t="str">
        <f>"13-WorkCap, Line "&amp;'13-WorkCap'!A51&amp;""</f>
        <v>13-WorkCap, Line 33</v>
      </c>
      <c r="J13" s="6">
        <f>'13-WorkCap'!F51</f>
        <v>15223769.288200548</v>
      </c>
      <c r="L13" s="6"/>
      <c r="N13" s="6"/>
    </row>
    <row r="14" spans="1:14" ht="13">
      <c r="A14" s="2">
        <f>A13+1</f>
        <v>7</v>
      </c>
      <c r="C14" s="246" t="s">
        <v>111</v>
      </c>
      <c r="F14" s="247" t="s">
        <v>477</v>
      </c>
      <c r="H14" t="str">
        <f>"1-Base TRR Line "&amp;'1-BaseTRR'!A17&amp;""</f>
        <v>1-Base TRR Line 7</v>
      </c>
      <c r="J14" s="53">
        <f>'1-BaseTRR'!K17</f>
        <v>31207783.131480061</v>
      </c>
      <c r="L14" s="53"/>
      <c r="N14" s="6"/>
    </row>
    <row r="15" spans="1:14" ht="13">
      <c r="A15" s="2">
        <f>A14+1</f>
        <v>8</v>
      </c>
      <c r="C15" s="246" t="s">
        <v>112</v>
      </c>
      <c r="H15" t="str">
        <f>"Line "&amp;A12&amp;" + Line "&amp;A13&amp;" + Line "&amp;A14&amp;""</f>
        <v>Line 5 + Line 6 + Line 7</v>
      </c>
      <c r="J15" s="6">
        <f>SUM(J12:J14)</f>
        <v>72108210.76550746</v>
      </c>
      <c r="L15" s="6"/>
      <c r="N15" s="6"/>
    </row>
    <row r="16" spans="1:14" ht="13">
      <c r="A16" s="2"/>
      <c r="C16" s="246"/>
      <c r="J16" s="6"/>
      <c r="L16" s="6"/>
      <c r="N16" s="6"/>
    </row>
    <row r="17" spans="1:14" ht="13">
      <c r="A17" s="2"/>
      <c r="C17" s="44" t="s">
        <v>478</v>
      </c>
      <c r="J17" s="6"/>
      <c r="L17" s="6"/>
      <c r="N17" s="6"/>
    </row>
    <row r="18" spans="1:14" ht="13">
      <c r="A18" s="2">
        <f>A15+1</f>
        <v>9</v>
      </c>
      <c r="C18" s="246" t="s">
        <v>479</v>
      </c>
      <c r="F18" t="s">
        <v>473</v>
      </c>
      <c r="G18" t="s">
        <v>115</v>
      </c>
      <c r="H18" s="291" t="str">
        <f>"8-AccDep, Line "&amp;'8-AccDep'!A25&amp;", Col. 12"</f>
        <v>8-AccDep, Line 14, Col. 12</v>
      </c>
      <c r="J18" s="6">
        <f>-'8-AccDep'!N25</f>
        <v>-2326263471.2220597</v>
      </c>
      <c r="L18" s="6"/>
      <c r="N18" s="6"/>
    </row>
    <row r="19" spans="1:14" ht="13">
      <c r="A19" s="2">
        <f>A18+1</f>
        <v>10</v>
      </c>
      <c r="C19" s="246" t="s">
        <v>480</v>
      </c>
      <c r="F19" t="s">
        <v>475</v>
      </c>
      <c r="G19" t="s">
        <v>115</v>
      </c>
      <c r="H19" s="291" t="str">
        <f>"8-AccDep, Line "&amp;'8-AccDep'!A35&amp;", Col. 5"</f>
        <v>8-AccDep, Line 17, Col. 5</v>
      </c>
      <c r="J19" s="6">
        <f>-'8-AccDep'!G35</f>
        <v>0</v>
      </c>
      <c r="L19" s="6"/>
      <c r="N19" s="6"/>
    </row>
    <row r="20" spans="1:14" ht="13">
      <c r="A20" s="2">
        <f>A19+1</f>
        <v>11</v>
      </c>
      <c r="C20" s="246" t="s">
        <v>481</v>
      </c>
      <c r="D20" s="15"/>
      <c r="F20" t="s">
        <v>475</v>
      </c>
      <c r="G20" t="s">
        <v>115</v>
      </c>
      <c r="H20" s="291" t="str">
        <f>"8-AccDep, Line "&amp;'8-AccDep'!A53&amp;""</f>
        <v>8-AccDep, Line 23</v>
      </c>
      <c r="J20" s="53">
        <f>-'8-AccDep'!F53</f>
        <v>-125276685.69452225</v>
      </c>
      <c r="L20" s="6"/>
      <c r="N20" s="6"/>
    </row>
    <row r="21" spans="1:14" ht="13">
      <c r="A21" s="2">
        <f>A20+1</f>
        <v>12</v>
      </c>
      <c r="C21" s="45" t="s">
        <v>118</v>
      </c>
      <c r="D21" s="15"/>
      <c r="H21" t="str">
        <f>"Line "&amp;A18&amp;" + Line "&amp;A19&amp;" + Line "&amp;A20&amp;""</f>
        <v>Line 9 + Line 10 + Line 11</v>
      </c>
      <c r="J21" s="6">
        <f>SUM(J18:J20)</f>
        <v>-2451540156.9165821</v>
      </c>
      <c r="L21" s="6"/>
      <c r="N21" s="6"/>
    </row>
    <row r="22" spans="1:14" ht="13">
      <c r="A22" s="2"/>
      <c r="C22" s="247"/>
      <c r="J22" s="6"/>
      <c r="L22" s="6"/>
      <c r="N22" s="6"/>
    </row>
    <row r="23" spans="1:14" ht="13">
      <c r="A23" s="2">
        <f>A21+1</f>
        <v>13</v>
      </c>
      <c r="C23" s="38" t="s">
        <v>482</v>
      </c>
      <c r="F23" s="291" t="s">
        <v>475</v>
      </c>
      <c r="H23" s="291" t="str">
        <f>"9-ADIT-1, Line "&amp;'9-ADIT-1'!A24&amp;""</f>
        <v>9-ADIT-1, Line 15</v>
      </c>
      <c r="J23" s="6">
        <f>'9-ADIT-1'!D24</f>
        <v>-1441567474.3169794</v>
      </c>
      <c r="L23" s="6"/>
      <c r="N23" s="6"/>
    </row>
    <row r="24" spans="1:14" ht="13">
      <c r="A24" s="2">
        <f>A23+1</f>
        <v>14</v>
      </c>
      <c r="C24" s="291" t="s">
        <v>120</v>
      </c>
      <c r="F24" t="s">
        <v>473</v>
      </c>
      <c r="H24" s="291" t="str">
        <f>"14-IncentivePlant, L "&amp;'14-IncentivePlant'!A38&amp;", C2"</f>
        <v>14-IncentivePlant, L 13, C2</v>
      </c>
      <c r="J24" s="6">
        <f>'14-IncentivePlant'!F38</f>
        <v>346163360.99307692</v>
      </c>
      <c r="L24" s="6"/>
      <c r="N24" s="6"/>
    </row>
    <row r="25" spans="1:14" ht="13">
      <c r="A25" s="2">
        <f>A24+1</f>
        <v>15</v>
      </c>
      <c r="C25" s="38" t="s">
        <v>122</v>
      </c>
      <c r="F25" t="s">
        <v>475</v>
      </c>
      <c r="G25" t="s">
        <v>115</v>
      </c>
      <c r="H25" s="291" t="str">
        <f>"22-NUCs, Line "&amp;'22-NUCs'!A15&amp;""</f>
        <v>22-NUCs, Line 7</v>
      </c>
      <c r="J25" s="6">
        <f>-'22-NUCs'!E15</f>
        <v>-35731272.543426588</v>
      </c>
      <c r="L25" s="6"/>
      <c r="N25" s="6"/>
    </row>
    <row r="26" spans="1:14" ht="13">
      <c r="A26" s="2">
        <f t="shared" ref="A26:A27" si="0">A25+1</f>
        <v>16</v>
      </c>
      <c r="C26" s="291" t="s">
        <v>72</v>
      </c>
      <c r="H26" s="247" t="str">
        <f>"34-UnfundedReserves, Line "&amp;'34-UnfundedReserves'!A10&amp;""</f>
        <v>34-UnfundedReserves, Line 7</v>
      </c>
      <c r="J26" s="6">
        <f>'34-UnfundedReserves'!K10</f>
        <v>-89403362.556410819</v>
      </c>
      <c r="L26" s="6"/>
      <c r="N26" s="6"/>
    </row>
    <row r="27" spans="1:14" ht="13">
      <c r="A27" s="2">
        <f t="shared" si="0"/>
        <v>17</v>
      </c>
      <c r="C27" s="38" t="s">
        <v>121</v>
      </c>
      <c r="F27" t="s">
        <v>475</v>
      </c>
      <c r="H27" s="291" t="str">
        <f>"23-RegAssets, Line "&amp;'23-RegAssets'!A18&amp;""</f>
        <v>23-RegAssets, Line 15</v>
      </c>
      <c r="J27" s="6">
        <f>'23-RegAssets'!E18</f>
        <v>0</v>
      </c>
      <c r="L27" s="6"/>
      <c r="N27" s="6"/>
    </row>
    <row r="28" spans="1:14" ht="13">
      <c r="A28" s="2"/>
      <c r="C28" s="38"/>
      <c r="L28" s="6"/>
      <c r="N28" s="6"/>
    </row>
    <row r="29" spans="1:14" ht="13">
      <c r="A29" s="2">
        <f>A27+1</f>
        <v>18</v>
      </c>
      <c r="C29" t="s">
        <v>123</v>
      </c>
      <c r="H29" t="str">
        <f>"L"&amp;A6&amp;"+L"&amp;A7&amp;"+L"&amp;A8&amp;"+L"&amp;A9&amp;"+L"&amp;A15&amp;"+L"&amp;A21&amp;"+"</f>
        <v>L1+L2+L3+L4+L8+L12+</v>
      </c>
      <c r="J29" s="6">
        <f>J6+ J7+J8+J9+J15+J21+J23+J24+J25+J26+J27</f>
        <v>7454673607.6925135</v>
      </c>
      <c r="L29" s="6"/>
      <c r="N29" s="6"/>
    </row>
    <row r="30" spans="1:14" ht="13">
      <c r="A30" s="2"/>
      <c r="H30" t="str">
        <f>"L"&amp;A23&amp;"+L"&amp;A24&amp;"+L"&amp;A25&amp;"+L"&amp;A26&amp;"+L"&amp;A27&amp;""</f>
        <v>L13+L14+L15+L16+L17</v>
      </c>
      <c r="J30" s="6"/>
      <c r="L30" s="6"/>
      <c r="N30" s="6"/>
    </row>
    <row r="31" spans="1:14" ht="13">
      <c r="A31" s="2"/>
      <c r="B31" s="1" t="s">
        <v>483</v>
      </c>
      <c r="J31" s="6"/>
      <c r="L31" s="6"/>
      <c r="N31" s="6"/>
    </row>
    <row r="32" spans="1:14" ht="13">
      <c r="A32" s="32" t="s">
        <v>99</v>
      </c>
      <c r="C32" s="1"/>
      <c r="J32" s="6"/>
      <c r="L32" s="6"/>
      <c r="N32" s="6"/>
    </row>
    <row r="33" spans="1:17" ht="13">
      <c r="A33" s="2">
        <f>A29+1</f>
        <v>19</v>
      </c>
      <c r="B33" s="247"/>
      <c r="C33" s="247" t="s">
        <v>171</v>
      </c>
      <c r="D33" s="247"/>
      <c r="E33" s="247"/>
      <c r="F33" s="247"/>
      <c r="G33" s="247" t="s">
        <v>484</v>
      </c>
      <c r="H33" s="247" t="str">
        <f>"Instruction 1, Line "&amp;B99&amp;""</f>
        <v>Instruction 1, Line j</v>
      </c>
      <c r="I33" s="247"/>
      <c r="J33" s="212">
        <f>E99</f>
        <v>7.008465551625527E-2</v>
      </c>
      <c r="L33" s="7"/>
      <c r="M33" s="7"/>
      <c r="N33" s="7"/>
    </row>
    <row r="34" spans="1:17" ht="13">
      <c r="A34" s="2">
        <f>A33+1</f>
        <v>20</v>
      </c>
      <c r="C34" s="247" t="s">
        <v>174</v>
      </c>
      <c r="D34" s="247"/>
      <c r="E34" s="247"/>
      <c r="F34" s="247"/>
      <c r="G34" s="247"/>
      <c r="H34" t="str">
        <f>"Line "&amp;A29&amp;" * Line "&amp;A33&amp;""</f>
        <v>Line 18 * Line 19</v>
      </c>
      <c r="J34" s="249">
        <f>J29*J33</f>
        <v>522458231.7812497</v>
      </c>
      <c r="L34" s="6"/>
      <c r="N34" s="6"/>
    </row>
    <row r="35" spans="1:17" ht="13">
      <c r="A35" s="2"/>
      <c r="B35" s="12"/>
      <c r="L35" s="6"/>
      <c r="N35" s="6"/>
    </row>
    <row r="36" spans="1:17" ht="13">
      <c r="A36" s="2"/>
      <c r="B36" s="1" t="s">
        <v>485</v>
      </c>
      <c r="L36" s="6"/>
      <c r="N36" s="6"/>
    </row>
    <row r="37" spans="1:17" ht="13">
      <c r="A37" s="2"/>
      <c r="B37" s="12"/>
      <c r="L37" s="6"/>
      <c r="N37" s="6"/>
    </row>
    <row r="38" spans="1:17" ht="13">
      <c r="A38" s="2">
        <f>A34+1</f>
        <v>21</v>
      </c>
      <c r="C38" s="247" t="s">
        <v>188</v>
      </c>
      <c r="J38" s="6">
        <f>(((J29*J42) + J45) *(J43/(1-J43)))+(J44/(1-J43))</f>
        <v>137406038.60144055</v>
      </c>
      <c r="L38" s="6"/>
      <c r="N38" s="6"/>
    </row>
    <row r="39" spans="1:17" ht="13">
      <c r="A39" s="2"/>
      <c r="J39" s="247"/>
      <c r="L39" s="6"/>
      <c r="N39" s="6"/>
    </row>
    <row r="40" spans="1:17" ht="13">
      <c r="A40" s="2"/>
      <c r="D40" t="s">
        <v>189</v>
      </c>
      <c r="L40" s="6"/>
      <c r="N40" s="6"/>
    </row>
    <row r="41" spans="1:17" ht="13">
      <c r="A41" s="2">
        <f>A38+1</f>
        <v>22</v>
      </c>
      <c r="D41" s="12" t="s">
        <v>190</v>
      </c>
      <c r="H41" t="str">
        <f>"Line "&amp;A29&amp;""</f>
        <v>Line 18</v>
      </c>
      <c r="J41" s="6">
        <f>J29</f>
        <v>7454673607.6925135</v>
      </c>
      <c r="L41" s="6"/>
      <c r="N41" s="6"/>
    </row>
    <row r="42" spans="1:17" ht="13">
      <c r="A42" s="2">
        <f>A41+1</f>
        <v>23</v>
      </c>
      <c r="D42" s="246" t="s">
        <v>486</v>
      </c>
      <c r="G42" s="247" t="s">
        <v>487</v>
      </c>
      <c r="H42" s="247" t="str">
        <f>"Instruction 1, Line "&amp;B104&amp;""</f>
        <v>Instruction 1, Line k</v>
      </c>
      <c r="J42" s="212">
        <f>E104</f>
        <v>5.1480302527773449E-2</v>
      </c>
      <c r="L42" s="7"/>
      <c r="M42" s="7"/>
      <c r="N42" s="7"/>
    </row>
    <row r="43" spans="1:17" ht="13">
      <c r="A43" s="2">
        <f>A42+1</f>
        <v>24</v>
      </c>
      <c r="D43" s="12" t="s">
        <v>192</v>
      </c>
      <c r="H43" t="str">
        <f>"1-Base TRR L "&amp;'1-BaseTRR'!A104&amp;""</f>
        <v>1-Base TRR L 59</v>
      </c>
      <c r="J43" s="7">
        <f>'1-BaseTRR'!K104</f>
        <v>0.27983599999999997</v>
      </c>
      <c r="L43" s="7"/>
      <c r="M43" s="7"/>
      <c r="N43" s="7"/>
    </row>
    <row r="44" spans="1:17" ht="13">
      <c r="A44" s="2">
        <f>A43+1</f>
        <v>25</v>
      </c>
      <c r="D44" s="12" t="s">
        <v>193</v>
      </c>
      <c r="H44" t="str">
        <f>"1-Base TRR L "&amp;'1-BaseTRR'!A110&amp;""</f>
        <v>1-Base TRR L 63</v>
      </c>
      <c r="J44" s="6">
        <f>'1-BaseTRR'!K110</f>
        <v>-8591785</v>
      </c>
      <c r="L44" s="6"/>
      <c r="N44" s="6"/>
    </row>
    <row r="45" spans="1:17" ht="13">
      <c r="A45" s="2">
        <f>A44+1</f>
        <v>26</v>
      </c>
      <c r="D45" s="12" t="s">
        <v>194</v>
      </c>
      <c r="H45" t="str">
        <f>"1-Base TRR L "&amp;'1-BaseTRR'!A114&amp;""</f>
        <v>1-Base TRR L 65</v>
      </c>
      <c r="J45" s="249">
        <f>'1-BaseTRR'!K121</f>
        <v>551490</v>
      </c>
      <c r="L45" s="6"/>
      <c r="N45" s="6"/>
    </row>
    <row r="46" spans="1:17" ht="13">
      <c r="A46" s="2"/>
      <c r="B46" s="12"/>
      <c r="L46" s="6"/>
      <c r="N46" s="2"/>
      <c r="O46" s="2"/>
    </row>
    <row r="47" spans="1:17" ht="13">
      <c r="A47" s="2"/>
      <c r="B47" s="1" t="s">
        <v>488</v>
      </c>
      <c r="L47" s="6"/>
      <c r="N47" s="48"/>
      <c r="O47" s="48"/>
      <c r="Q47" s="30"/>
    </row>
    <row r="48" spans="1:17" ht="13">
      <c r="A48" s="2">
        <f>A45+1</f>
        <v>27</v>
      </c>
      <c r="B48" s="12"/>
      <c r="C48" t="s">
        <v>199</v>
      </c>
      <c r="H48" t="str">
        <f>"1-Base TRR L "&amp;'1-BaseTRR'!A126&amp;""</f>
        <v>1-Base TRR L 66</v>
      </c>
      <c r="J48" s="6">
        <f>'1-BaseTRR'!K126</f>
        <v>100214566.80676542</v>
      </c>
      <c r="L48" s="6"/>
      <c r="N48" s="6"/>
      <c r="O48" s="6"/>
      <c r="Q48" s="247"/>
    </row>
    <row r="49" spans="1:17" ht="13">
      <c r="A49" s="2">
        <f t="shared" ref="A49:A59" si="1">A48+1</f>
        <v>28</v>
      </c>
      <c r="B49" s="12"/>
      <c r="C49" s="247" t="s">
        <v>200</v>
      </c>
      <c r="H49" t="str">
        <f>"1-Base TRR L "&amp;'1-BaseTRR'!A127&amp;""</f>
        <v>1-Base TRR L 67</v>
      </c>
      <c r="J49" s="6">
        <f>'1-BaseTRR'!K127</f>
        <v>149447698.24507508</v>
      </c>
      <c r="L49" s="6"/>
      <c r="N49" s="6"/>
      <c r="O49" s="6"/>
      <c r="Q49" s="247"/>
    </row>
    <row r="50" spans="1:17" ht="13">
      <c r="A50" s="2">
        <f>A49+1</f>
        <v>29</v>
      </c>
      <c r="B50" s="12"/>
      <c r="C50" t="s">
        <v>201</v>
      </c>
      <c r="H50" t="str">
        <f>"1-Base TRR L "&amp;'1-BaseTRR'!A128&amp;""</f>
        <v>1-Base TRR L 68</v>
      </c>
      <c r="J50" s="6">
        <f>'1-BaseTRR'!K128</f>
        <v>2083731.03</v>
      </c>
      <c r="L50" s="6"/>
      <c r="N50" s="6"/>
      <c r="O50" s="6"/>
    </row>
    <row r="51" spans="1:17" ht="13">
      <c r="A51" s="2">
        <f t="shared" si="1"/>
        <v>30</v>
      </c>
      <c r="B51" s="12"/>
      <c r="C51" s="247" t="s">
        <v>202</v>
      </c>
      <c r="H51" t="str">
        <f>"1-Base TRR L "&amp;'1-BaseTRR'!A129&amp;""</f>
        <v>1-Base TRR L 69</v>
      </c>
      <c r="J51" s="6">
        <f>'1-BaseTRR'!K129</f>
        <v>315994726.65759426</v>
      </c>
      <c r="L51" s="6"/>
      <c r="N51" s="6"/>
      <c r="O51" s="6"/>
    </row>
    <row r="52" spans="1:17" ht="13">
      <c r="A52" s="2">
        <f t="shared" si="1"/>
        <v>31</v>
      </c>
      <c r="B52" s="12"/>
      <c r="C52" s="247" t="s">
        <v>203</v>
      </c>
      <c r="H52" t="str">
        <f>"1-Base TRR L "&amp;'1-BaseTRR'!A130&amp;""</f>
        <v>1-Base TRR L 70</v>
      </c>
      <c r="J52" s="6">
        <f>'1-BaseTRR'!K130</f>
        <v>0</v>
      </c>
      <c r="L52" s="6"/>
      <c r="N52" s="6"/>
      <c r="O52" s="6"/>
    </row>
    <row r="53" spans="1:17" ht="13">
      <c r="A53" s="2">
        <f t="shared" si="1"/>
        <v>32</v>
      </c>
      <c r="B53" s="12"/>
      <c r="C53" s="247" t="s">
        <v>143</v>
      </c>
      <c r="H53" t="str">
        <f>"1-Base TRR L "&amp;'1-BaseTRR'!A131&amp;""</f>
        <v>1-Base TRR L 71</v>
      </c>
      <c r="J53" s="6">
        <f>'1-BaseTRR'!K131</f>
        <v>83397399.162477285</v>
      </c>
      <c r="L53" s="6"/>
      <c r="N53" s="6"/>
      <c r="O53" s="6"/>
    </row>
    <row r="54" spans="1:17" ht="13">
      <c r="A54" s="2">
        <f t="shared" si="1"/>
        <v>33</v>
      </c>
      <c r="B54" s="12"/>
      <c r="C54" t="s">
        <v>204</v>
      </c>
      <c r="G54" s="247"/>
      <c r="H54" t="str">
        <f>"1-Base TRR L "&amp;'1-BaseTRR'!A132&amp;""</f>
        <v>1-Base TRR L 72</v>
      </c>
      <c r="J54" s="6">
        <f>'1-BaseTRR'!K132</f>
        <v>-66134527.883372493</v>
      </c>
      <c r="L54" s="6"/>
      <c r="N54" s="6"/>
      <c r="O54" s="6"/>
    </row>
    <row r="55" spans="1:17" ht="13">
      <c r="A55" s="2">
        <f t="shared" si="1"/>
        <v>34</v>
      </c>
      <c r="B55" s="12"/>
      <c r="C55" t="s">
        <v>205</v>
      </c>
      <c r="H55" t="str">
        <f>"Line "&amp;A34&amp;""</f>
        <v>Line 20</v>
      </c>
      <c r="J55" s="6">
        <f>J34</f>
        <v>522458231.7812497</v>
      </c>
      <c r="L55" s="6"/>
      <c r="N55" s="6"/>
      <c r="O55" s="6"/>
    </row>
    <row r="56" spans="1:17" ht="13">
      <c r="A56" s="2">
        <f t="shared" si="1"/>
        <v>35</v>
      </c>
      <c r="B56" s="12"/>
      <c r="C56" t="s">
        <v>206</v>
      </c>
      <c r="H56" t="str">
        <f>"Line "&amp;A38&amp;""</f>
        <v>Line 21</v>
      </c>
      <c r="J56" s="249">
        <f>J38</f>
        <v>137406038.60144055</v>
      </c>
      <c r="L56" s="6"/>
      <c r="N56" s="6"/>
      <c r="O56" s="6"/>
    </row>
    <row r="57" spans="1:17" ht="13">
      <c r="A57" s="2">
        <f t="shared" si="1"/>
        <v>36</v>
      </c>
      <c r="B57" s="12"/>
      <c r="C57" s="247" t="s">
        <v>489</v>
      </c>
      <c r="H57" t="str">
        <f>"1-Base TRR L "&amp;'1-BaseTRR'!A135&amp;""</f>
        <v>1-Base TRR L 75</v>
      </c>
      <c r="J57" s="249">
        <f>'1-BaseTRR'!K135</f>
        <v>0</v>
      </c>
      <c r="L57" s="6"/>
      <c r="N57" s="6"/>
      <c r="O57" s="6"/>
    </row>
    <row r="58" spans="1:17" ht="13">
      <c r="A58" s="2">
        <f t="shared" si="1"/>
        <v>37</v>
      </c>
      <c r="B58" s="12"/>
      <c r="C58" s="304" t="s">
        <v>209</v>
      </c>
      <c r="D58" s="304"/>
      <c r="H58" t="str">
        <f>"1-Base TRR L "&amp;'1-BaseTRR'!A136&amp;""</f>
        <v>1-Base TRR L 76</v>
      </c>
      <c r="J58" s="53">
        <f>'1-BaseTRR'!K136</f>
        <v>0</v>
      </c>
      <c r="L58" s="6"/>
      <c r="N58" s="6"/>
      <c r="O58" s="6"/>
    </row>
    <row r="59" spans="1:17" ht="13">
      <c r="A59" s="2">
        <f t="shared" si="1"/>
        <v>38</v>
      </c>
      <c r="B59" s="12"/>
      <c r="C59" s="247" t="s">
        <v>490</v>
      </c>
      <c r="H59" t="str">
        <f>"Sum Line "&amp;A48&amp;" to Line "&amp;A58&amp;""</f>
        <v>Sum Line 27 to Line 37</v>
      </c>
      <c r="J59" s="6">
        <f>SUM(J48:J58)</f>
        <v>1244867864.4012299</v>
      </c>
      <c r="L59" s="6"/>
      <c r="N59" s="6"/>
      <c r="O59" s="6"/>
    </row>
    <row r="60" spans="1:17" ht="13">
      <c r="A60" s="2"/>
      <c r="B60" s="12"/>
      <c r="J60" s="6"/>
      <c r="L60" s="6"/>
      <c r="N60" s="6"/>
      <c r="O60" s="6"/>
    </row>
    <row r="61" spans="1:17" ht="12.75" customHeight="1">
      <c r="A61" s="2">
        <f>A59+1</f>
        <v>39</v>
      </c>
      <c r="B61" s="12"/>
      <c r="C61" s="247" t="s">
        <v>491</v>
      </c>
      <c r="H61" t="str">
        <f>"15-IncentiveAdder L "&amp;'15-IncentiveAdder'!A59&amp;""</f>
        <v>15-IncentiveAdder L 20</v>
      </c>
      <c r="J61" s="6">
        <f>'15-IncentiveAdder'!G59</f>
        <v>24404721.323274449</v>
      </c>
      <c r="L61" s="6"/>
      <c r="N61" s="6"/>
      <c r="O61" s="6"/>
    </row>
    <row r="62" spans="1:17" ht="12.75" customHeight="1">
      <c r="A62" s="2" t="s">
        <v>492</v>
      </c>
      <c r="B62" s="12"/>
      <c r="C62" s="247" t="s">
        <v>493</v>
      </c>
      <c r="H62" s="247" t="s">
        <v>494</v>
      </c>
      <c r="J62" s="6">
        <f>-J61</f>
        <v>-24404721.323274449</v>
      </c>
      <c r="L62" s="6"/>
      <c r="N62" s="6"/>
      <c r="O62" s="6"/>
    </row>
    <row r="63" spans="1:17" ht="13">
      <c r="A63" s="2"/>
      <c r="B63" s="12"/>
      <c r="C63" s="247"/>
      <c r="J63" s="6"/>
      <c r="L63" s="6"/>
      <c r="N63" s="6"/>
      <c r="O63" s="6"/>
    </row>
    <row r="64" spans="1:17" ht="13">
      <c r="A64" s="2">
        <f>A61+1</f>
        <v>40</v>
      </c>
      <c r="B64" s="12"/>
      <c r="C64" s="247" t="s">
        <v>495</v>
      </c>
      <c r="H64" t="str">
        <f>"Sum of Lines "&amp;A59&amp;" to "&amp;A62&amp;""</f>
        <v>Sum of Lines 38 to 39a</v>
      </c>
      <c r="J64" s="6">
        <f>J59+J61+J62</f>
        <v>1244867864.4012299</v>
      </c>
      <c r="L64" s="6"/>
      <c r="N64" s="6"/>
      <c r="O64" s="6"/>
    </row>
    <row r="65" spans="1:19" ht="13">
      <c r="A65" s="2"/>
      <c r="B65" s="12"/>
      <c r="C65" s="247"/>
      <c r="J65" s="6"/>
      <c r="M65" s="6"/>
    </row>
    <row r="66" spans="1:19" ht="13">
      <c r="A66" s="2"/>
      <c r="B66" s="47" t="s">
        <v>496</v>
      </c>
      <c r="C66" s="247"/>
      <c r="J66" s="6"/>
      <c r="N66" s="2"/>
      <c r="O66" s="2"/>
    </row>
    <row r="67" spans="1:19" ht="13">
      <c r="A67" s="32" t="s">
        <v>99</v>
      </c>
      <c r="B67" s="38"/>
      <c r="G67" s="30" t="s">
        <v>497</v>
      </c>
      <c r="N67" s="48"/>
      <c r="O67" s="48"/>
      <c r="Q67" s="30"/>
    </row>
    <row r="68" spans="1:19" ht="13">
      <c r="A68" s="2">
        <f>A64+1</f>
        <v>41</v>
      </c>
      <c r="B68" s="38"/>
      <c r="D68" s="245" t="s">
        <v>498</v>
      </c>
      <c r="E68" s="6">
        <f>J64</f>
        <v>1244867864.4012299</v>
      </c>
      <c r="G68" t="str">
        <f>"Line "&amp;A64&amp;""</f>
        <v>Line 40</v>
      </c>
      <c r="J68" s="1073"/>
      <c r="L68" s="6"/>
      <c r="N68" s="6"/>
      <c r="O68" s="6"/>
      <c r="Q68" s="247"/>
    </row>
    <row r="69" spans="1:19" ht="13">
      <c r="A69" s="2">
        <f>A68+1</f>
        <v>42</v>
      </c>
      <c r="B69" s="38"/>
      <c r="D69" s="245" t="s">
        <v>499</v>
      </c>
      <c r="E69" s="1070">
        <f>'28-FFU'!D22</f>
        <v>9.3645816374923023E-3</v>
      </c>
      <c r="G69" t="str">
        <f>"28-FFU, L "&amp;'28-FFU'!A22&amp;""</f>
        <v>28-FFU, L 5</v>
      </c>
      <c r="J69" s="1073"/>
      <c r="L69" s="7"/>
      <c r="N69" s="7"/>
      <c r="O69" s="7"/>
      <c r="Q69" s="247"/>
    </row>
    <row r="70" spans="1:19" ht="13">
      <c r="A70" s="2">
        <f>A69+1</f>
        <v>43</v>
      </c>
      <c r="B70" s="38"/>
      <c r="D70" s="25" t="s">
        <v>500</v>
      </c>
      <c r="E70" s="6">
        <f>E68*E69</f>
        <v>11657666.744076014</v>
      </c>
      <c r="G70" t="str">
        <f>"Line "&amp;A68&amp;" * Line "&amp;A69&amp;""</f>
        <v>Line 41 * Line 42</v>
      </c>
      <c r="J70" s="1074"/>
      <c r="L70" s="6"/>
      <c r="N70" s="6"/>
      <c r="O70" s="6"/>
      <c r="Q70" s="247"/>
    </row>
    <row r="71" spans="1:19" ht="13">
      <c r="A71" s="2">
        <f>A70+1</f>
        <v>44</v>
      </c>
      <c r="B71" s="38"/>
      <c r="D71" s="245" t="s">
        <v>501</v>
      </c>
      <c r="E71" s="1070">
        <f>'28-FFU'!E22</f>
        <v>8.5387786999369854E-3</v>
      </c>
      <c r="G71" t="str">
        <f>"28-FFU, L "&amp;'28-FFU'!A22&amp;""</f>
        <v>28-FFU, L 5</v>
      </c>
      <c r="J71" s="1075"/>
      <c r="L71" s="212"/>
      <c r="N71" s="7"/>
      <c r="O71" s="7"/>
      <c r="Q71" s="247"/>
    </row>
    <row r="72" spans="1:19" ht="13">
      <c r="A72" s="2">
        <f>A71+1</f>
        <v>45</v>
      </c>
      <c r="B72" s="38"/>
      <c r="D72" s="245" t="s">
        <v>325</v>
      </c>
      <c r="E72" s="6">
        <f>E68*E71</f>
        <v>10629651.204785265</v>
      </c>
      <c r="G72" t="str">
        <f>"Line "&amp;A68&amp;" * Line "&amp;A71&amp;""</f>
        <v>Line 41 * Line 44</v>
      </c>
      <c r="J72" s="1065"/>
      <c r="L72" s="6"/>
      <c r="N72" s="6"/>
      <c r="O72" s="6"/>
      <c r="Q72" s="247"/>
    </row>
    <row r="73" spans="1:19" ht="13">
      <c r="A73" s="2" t="s">
        <v>502</v>
      </c>
      <c r="B73" s="291"/>
      <c r="C73" s="247"/>
      <c r="D73" s="245" t="s">
        <v>503</v>
      </c>
      <c r="E73" s="53">
        <f>-'35-Other Formula Revenue'!D113</f>
        <v>-12394780.052277384</v>
      </c>
      <c r="F73" s="247"/>
      <c r="G73" s="247" t="str">
        <f>"Negative of 35-Other Formula Revenue, L "&amp;'35-Other Formula Revenue'!A113&amp;""</f>
        <v>Negative of 35-Other Formula Revenue, L 80</v>
      </c>
      <c r="H73" s="247"/>
      <c r="I73" s="612"/>
      <c r="J73" s="872"/>
      <c r="L73" s="6"/>
      <c r="O73" s="6"/>
      <c r="Q73" s="247"/>
    </row>
    <row r="74" spans="1:19" ht="13">
      <c r="A74" s="2">
        <f>A72+1</f>
        <v>46</v>
      </c>
      <c r="B74" s="38"/>
      <c r="D74" s="245" t="s">
        <v>334</v>
      </c>
      <c r="E74" s="249">
        <f>E68+E70+E72+E73</f>
        <v>1254760402.2978139</v>
      </c>
      <c r="F74" s="247"/>
      <c r="G74" s="247" t="str">
        <f>"L "&amp;A68&amp;" + L "&amp;A70&amp;" + L "&amp;A72&amp;"+ L "&amp;A73&amp;""</f>
        <v>L 41 + L 43 + L 45+ L 45a</v>
      </c>
      <c r="H74" s="247"/>
      <c r="L74" s="249"/>
      <c r="M74" s="1065"/>
      <c r="N74" s="6"/>
      <c r="O74" s="6"/>
      <c r="Q74" s="247"/>
    </row>
    <row r="75" spans="1:19" ht="13">
      <c r="B75" s="47" t="s">
        <v>433</v>
      </c>
      <c r="D75" s="25"/>
      <c r="E75" s="6"/>
      <c r="H75" s="319"/>
      <c r="L75" s="249"/>
      <c r="M75" s="1065"/>
    </row>
    <row r="76" spans="1:19" ht="13">
      <c r="A76" s="2"/>
      <c r="B76" s="247" t="s">
        <v>504</v>
      </c>
      <c r="C76" s="47"/>
      <c r="D76" s="25"/>
      <c r="E76" s="6"/>
      <c r="L76" s="53"/>
      <c r="M76" s="53"/>
    </row>
    <row r="77" spans="1:19" ht="13">
      <c r="A77" s="2"/>
      <c r="B77" s="247" t="s">
        <v>505</v>
      </c>
      <c r="C77" s="47"/>
      <c r="D77" s="25"/>
      <c r="E77" s="6"/>
      <c r="L77" s="861"/>
      <c r="M77" s="249"/>
      <c r="O77" s="30"/>
      <c r="P77" s="30"/>
      <c r="Q77" s="30"/>
    </row>
    <row r="78" spans="1:19" ht="13">
      <c r="A78" s="2"/>
      <c r="B78" s="291" t="s">
        <v>506</v>
      </c>
      <c r="C78" s="247"/>
      <c r="D78" s="25"/>
      <c r="E78" s="6"/>
      <c r="L78" s="834"/>
      <c r="M78" s="247"/>
      <c r="N78" s="28"/>
      <c r="O78" s="28"/>
    </row>
    <row r="79" spans="1:19" ht="13">
      <c r="A79" s="2"/>
      <c r="B79" s="291" t="s">
        <v>507</v>
      </c>
      <c r="D79" s="25"/>
      <c r="E79" s="6"/>
      <c r="L79" s="53"/>
      <c r="M79" s="28"/>
      <c r="O79" s="30"/>
      <c r="Q79" s="30"/>
      <c r="S79" s="30"/>
    </row>
    <row r="80" spans="1:19" ht="13">
      <c r="A80" s="2"/>
      <c r="L80" s="6"/>
      <c r="M80" s="247"/>
      <c r="O80" s="245"/>
      <c r="Q80" s="249"/>
    </row>
    <row r="81" spans="1:19" ht="13">
      <c r="A81" s="2"/>
      <c r="B81" s="247" t="s">
        <v>508</v>
      </c>
      <c r="O81" s="245"/>
      <c r="Q81" s="6"/>
      <c r="S81" s="247"/>
    </row>
    <row r="82" spans="1:19" ht="13">
      <c r="A82" s="2"/>
      <c r="B82" s="247"/>
      <c r="C82" s="247" t="s">
        <v>509</v>
      </c>
      <c r="O82" s="245"/>
      <c r="Q82" s="6"/>
      <c r="S82" s="247"/>
    </row>
    <row r="83" spans="1:19" ht="13">
      <c r="A83" s="2"/>
      <c r="B83" s="247"/>
      <c r="J83" s="2" t="s">
        <v>510</v>
      </c>
      <c r="O83" s="245"/>
      <c r="Q83" s="6"/>
      <c r="S83" s="247"/>
    </row>
    <row r="84" spans="1:19" ht="13">
      <c r="A84" s="2"/>
      <c r="E84" s="3" t="s">
        <v>511</v>
      </c>
      <c r="F84" s="30" t="s">
        <v>497</v>
      </c>
      <c r="G84" s="3" t="s">
        <v>512</v>
      </c>
      <c r="H84" s="3" t="s">
        <v>513</v>
      </c>
      <c r="J84" s="3" t="s">
        <v>514</v>
      </c>
      <c r="O84" s="245"/>
      <c r="Q84" s="6"/>
      <c r="S84" s="247"/>
    </row>
    <row r="85" spans="1:19" ht="13">
      <c r="B85" s="4" t="s">
        <v>515</v>
      </c>
      <c r="C85" s="247" t="s">
        <v>516</v>
      </c>
      <c r="E85" s="831">
        <v>0.10299999999999999</v>
      </c>
      <c r="F85" s="247" t="s">
        <v>517</v>
      </c>
      <c r="G85" s="638">
        <v>44562</v>
      </c>
      <c r="H85" s="638">
        <v>44926</v>
      </c>
      <c r="I85" s="247"/>
      <c r="J85" s="383">
        <v>365</v>
      </c>
      <c r="K85" s="247"/>
      <c r="O85" s="245"/>
      <c r="Q85" s="6"/>
      <c r="S85" s="247"/>
    </row>
    <row r="86" spans="1:19" ht="13">
      <c r="B86" s="4" t="s">
        <v>518</v>
      </c>
      <c r="C86" s="247" t="s">
        <v>519</v>
      </c>
      <c r="E86" s="831"/>
      <c r="F86" s="247" t="s">
        <v>520</v>
      </c>
      <c r="G86" s="638"/>
      <c r="H86" s="638"/>
      <c r="I86" s="247"/>
      <c r="J86" s="383"/>
      <c r="K86" s="247"/>
      <c r="O86" s="245"/>
      <c r="Q86" s="53"/>
      <c r="S86" s="247"/>
    </row>
    <row r="87" spans="1:19" ht="13">
      <c r="B87" s="4" t="s">
        <v>521</v>
      </c>
      <c r="C87" s="247"/>
      <c r="E87" s="499"/>
      <c r="F87" s="247"/>
      <c r="G87" s="253"/>
      <c r="H87" s="253"/>
      <c r="I87" s="245" t="s">
        <v>522</v>
      </c>
      <c r="J87" s="248">
        <f>SUM(J85:J86)</f>
        <v>365</v>
      </c>
      <c r="K87" s="247"/>
      <c r="L87" s="247"/>
      <c r="O87" s="245"/>
      <c r="Q87" s="6"/>
      <c r="S87" s="257"/>
    </row>
    <row r="88" spans="1:19" ht="13">
      <c r="B88" s="4" t="s">
        <v>523</v>
      </c>
      <c r="C88" s="247" t="s">
        <v>524</v>
      </c>
      <c r="E88" s="26">
        <f>((E85*J85) + (E86* J86)) / J87</f>
        <v>0.10299999999999999</v>
      </c>
      <c r="F88" s="247" t="s">
        <v>525</v>
      </c>
      <c r="H88" s="247"/>
      <c r="I88" s="247"/>
      <c r="J88" s="247"/>
      <c r="K88" s="247"/>
      <c r="L88" s="247"/>
    </row>
    <row r="89" spans="1:19" ht="13">
      <c r="A89" s="2"/>
      <c r="B89" s="247"/>
      <c r="H89" s="247"/>
      <c r="I89" s="247"/>
      <c r="J89" s="247"/>
      <c r="K89" s="247"/>
      <c r="L89" s="247"/>
    </row>
    <row r="90" spans="1:19" ht="13">
      <c r="A90" s="2"/>
      <c r="B90" s="247" t="s">
        <v>526</v>
      </c>
      <c r="H90" s="247"/>
      <c r="I90" s="247"/>
      <c r="J90" s="247"/>
      <c r="K90" s="247"/>
      <c r="L90" s="247"/>
    </row>
    <row r="91" spans="1:19" ht="13">
      <c r="A91" s="2"/>
      <c r="B91" s="247"/>
      <c r="E91" s="30" t="s">
        <v>497</v>
      </c>
      <c r="H91" s="247"/>
      <c r="I91" s="247"/>
      <c r="J91" s="247"/>
      <c r="K91" s="247"/>
      <c r="L91" s="247"/>
    </row>
    <row r="92" spans="1:19" ht="13">
      <c r="B92" s="4" t="s">
        <v>527</v>
      </c>
      <c r="C92" s="247" t="s">
        <v>528</v>
      </c>
      <c r="E92" s="207" t="s">
        <v>529</v>
      </c>
      <c r="F92" s="54"/>
      <c r="G92" s="54"/>
      <c r="H92" s="254"/>
      <c r="I92" s="254"/>
      <c r="J92" s="254"/>
      <c r="K92" s="247"/>
      <c r="L92" s="247"/>
    </row>
    <row r="93" spans="1:19" ht="13">
      <c r="B93" s="4" t="s">
        <v>530</v>
      </c>
      <c r="C93" s="247" t="s">
        <v>531</v>
      </c>
      <c r="E93" s="207" t="s">
        <v>532</v>
      </c>
      <c r="F93" s="54"/>
      <c r="G93" s="54"/>
      <c r="H93" s="254"/>
      <c r="I93" s="254"/>
      <c r="J93" s="254"/>
      <c r="K93" s="247"/>
      <c r="L93" s="247"/>
    </row>
    <row r="94" spans="1:19">
      <c r="C94" s="247"/>
      <c r="E94" s="253"/>
      <c r="I94" s="247"/>
      <c r="J94" s="247"/>
      <c r="K94" s="247"/>
      <c r="L94" s="247"/>
    </row>
    <row r="95" spans="1:19" ht="13">
      <c r="E95" s="3" t="s">
        <v>511</v>
      </c>
      <c r="F95" s="30" t="s">
        <v>497</v>
      </c>
      <c r="H95" s="247"/>
      <c r="I95" s="247"/>
      <c r="L95" s="247"/>
    </row>
    <row r="96" spans="1:19" ht="13">
      <c r="B96" s="4" t="s">
        <v>533</v>
      </c>
      <c r="C96" s="247" t="s">
        <v>534</v>
      </c>
      <c r="D96" s="247"/>
      <c r="E96" s="832">
        <f>'1-BaseTRR'!K90</f>
        <v>1.8604352988481822E-2</v>
      </c>
      <c r="F96" t="str">
        <f>"1-Base TRR L "&amp;'1-BaseTRR'!A90&amp;""</f>
        <v>1-Base TRR L 51</v>
      </c>
      <c r="H96" s="247"/>
      <c r="I96" s="247"/>
      <c r="L96" s="247"/>
    </row>
    <row r="97" spans="1:10" ht="13">
      <c r="B97" s="4" t="s">
        <v>535</v>
      </c>
      <c r="C97" s="247" t="s">
        <v>536</v>
      </c>
      <c r="E97" s="832">
        <f>'1-BaseTRR'!K91</f>
        <v>2.5553025277734545E-3</v>
      </c>
      <c r="F97" t="str">
        <f>"1-Base TRR L "&amp;'1-BaseTRR'!A91&amp;""</f>
        <v>1-Base TRR L 52</v>
      </c>
      <c r="H97" s="247"/>
      <c r="I97" s="247"/>
    </row>
    <row r="98" spans="1:10" ht="13">
      <c r="B98" s="4" t="s">
        <v>537</v>
      </c>
      <c r="C98" s="247" t="s">
        <v>538</v>
      </c>
      <c r="E98" s="833">
        <f>('1-BaseTRR'!K82) * E88</f>
        <v>4.8924999999999996E-2</v>
      </c>
      <c r="F98" t="str">
        <f>"1-Base TRR L "&amp;'1-BaseTRR'!A82&amp;" * Line d"</f>
        <v>1-Base TRR L 47 * Line d</v>
      </c>
      <c r="G98" s="247"/>
      <c r="H98" s="247"/>
    </row>
    <row r="99" spans="1:10" ht="13">
      <c r="B99" s="2" t="s">
        <v>539</v>
      </c>
      <c r="C99" s="246" t="s">
        <v>171</v>
      </c>
      <c r="E99" s="1076">
        <f>SUM(E96:E98)</f>
        <v>7.008465551625527E-2</v>
      </c>
      <c r="F99" s="6" t="str">
        <f>"Sum of Lines "&amp;B96&amp;" to "&amp;B98&amp;""</f>
        <v>Sum of Lines g to i</v>
      </c>
      <c r="G99" s="248"/>
      <c r="J99" s="46"/>
    </row>
    <row r="100" spans="1:10" ht="13">
      <c r="A100" s="2"/>
      <c r="C100" s="14"/>
      <c r="D100" s="17"/>
      <c r="E100" s="6"/>
      <c r="F100" s="6"/>
      <c r="G100" s="248"/>
      <c r="H100" s="6"/>
      <c r="J100" s="46"/>
    </row>
    <row r="101" spans="1:10" ht="13">
      <c r="A101" s="2"/>
      <c r="B101" s="247" t="s">
        <v>540</v>
      </c>
    </row>
    <row r="102" spans="1:10" ht="13">
      <c r="A102" s="2"/>
    </row>
    <row r="103" spans="1:10" ht="13">
      <c r="A103" s="2"/>
      <c r="E103" s="3" t="s">
        <v>511</v>
      </c>
      <c r="F103" s="30" t="s">
        <v>497</v>
      </c>
    </row>
    <row r="104" spans="1:10" ht="13">
      <c r="B104" s="4" t="s">
        <v>541</v>
      </c>
      <c r="E104" s="832">
        <f>E97+E98</f>
        <v>5.1480302527773449E-2</v>
      </c>
      <c r="F104" s="6" t="str">
        <f>"Sum of Lines "&amp;B97&amp;" to "&amp;B98&amp;""</f>
        <v>Sum of Lines h to i</v>
      </c>
    </row>
    <row r="105" spans="1:10" ht="13">
      <c r="A105" s="2"/>
      <c r="E105" s="7"/>
      <c r="F105" s="6"/>
    </row>
    <row r="106" spans="1:10" ht="13">
      <c r="A106" s="2"/>
      <c r="B106" s="32" t="s">
        <v>228</v>
      </c>
      <c r="E106" s="248"/>
      <c r="F106" s="248"/>
      <c r="G106" s="248"/>
      <c r="H106" s="6"/>
    </row>
    <row r="107" spans="1:10" ht="13">
      <c r="A107" s="2"/>
      <c r="B107" s="247" t="s">
        <v>542</v>
      </c>
    </row>
    <row r="108" spans="1:10" ht="13">
      <c r="A108" s="2"/>
      <c r="B108" s="246" t="s">
        <v>543</v>
      </c>
      <c r="D108" s="2"/>
      <c r="E108" s="2"/>
      <c r="F108" s="2"/>
      <c r="G108" s="2"/>
      <c r="H108" s="2"/>
    </row>
    <row r="109" spans="1:10" ht="13">
      <c r="A109" s="2"/>
      <c r="B109" s="291"/>
      <c r="D109" s="2"/>
      <c r="E109" s="2"/>
      <c r="F109" s="2"/>
      <c r="G109" s="2"/>
      <c r="H109" s="2"/>
    </row>
    <row r="110" spans="1:10" ht="13">
      <c r="A110" s="2"/>
      <c r="C110" s="18"/>
      <c r="D110" s="18"/>
      <c r="E110" s="3"/>
      <c r="F110" s="3"/>
      <c r="G110" s="3"/>
      <c r="H110" s="3"/>
    </row>
    <row r="111" spans="1:10" ht="13">
      <c r="A111" s="2"/>
    </row>
    <row r="112" spans="1:10" ht="13">
      <c r="A112" s="2"/>
    </row>
    <row r="113" spans="1:10" ht="13">
      <c r="A113" s="2"/>
    </row>
    <row r="114" spans="1:10" ht="13">
      <c r="A114" s="2"/>
      <c r="C114" s="14"/>
      <c r="E114" s="6"/>
      <c r="F114" s="6"/>
      <c r="H114" s="6"/>
      <c r="J114" s="46"/>
    </row>
    <row r="115" spans="1:10" ht="13">
      <c r="A115" s="2"/>
      <c r="C115" s="14"/>
      <c r="E115" s="6"/>
      <c r="F115" s="6"/>
      <c r="H115" s="6"/>
      <c r="J115" s="46"/>
    </row>
    <row r="116" spans="1:10" ht="13">
      <c r="A116" s="32"/>
      <c r="C116" s="14"/>
      <c r="E116" s="6"/>
      <c r="F116" s="6"/>
      <c r="H116" s="6"/>
      <c r="J116" s="46"/>
    </row>
    <row r="117" spans="1:10" ht="13">
      <c r="A117" s="2"/>
      <c r="D117" s="22"/>
      <c r="E117" s="6"/>
      <c r="F117" s="6"/>
      <c r="G117" s="247"/>
      <c r="H117" s="6"/>
      <c r="J117" s="46"/>
    </row>
    <row r="118" spans="1:10" ht="13">
      <c r="A118" s="2"/>
      <c r="C118" s="14"/>
      <c r="D118" s="245"/>
      <c r="E118" s="53"/>
      <c r="F118" s="6"/>
      <c r="G118" s="247"/>
      <c r="H118" s="6"/>
      <c r="J118" s="46"/>
    </row>
    <row r="119" spans="1:10" ht="13">
      <c r="A119" s="2"/>
      <c r="C119" s="14"/>
      <c r="D119" s="245"/>
      <c r="E119" s="6"/>
      <c r="F119" s="6"/>
      <c r="G119" s="247"/>
      <c r="H119" s="6"/>
      <c r="J119" s="46"/>
    </row>
    <row r="120" spans="1:10" ht="13">
      <c r="A120" s="2"/>
    </row>
    <row r="121" spans="1:10" ht="13">
      <c r="A121" s="2"/>
      <c r="B121" s="1"/>
    </row>
    <row r="122" spans="1:10" ht="13">
      <c r="A122" s="2"/>
    </row>
    <row r="123" spans="1:10" ht="13">
      <c r="A123" s="2"/>
    </row>
    <row r="124" spans="1:10" ht="13">
      <c r="A124" s="2"/>
      <c r="F124" s="2"/>
    </row>
    <row r="125" spans="1:10" ht="13">
      <c r="A125" s="2"/>
      <c r="F125" s="2"/>
    </row>
    <row r="126" spans="1:10" ht="13">
      <c r="A126" s="2"/>
      <c r="D126" s="2"/>
      <c r="E126" s="2"/>
      <c r="F126" s="2"/>
      <c r="H126" s="2"/>
    </row>
    <row r="127" spans="1:10" ht="13">
      <c r="A127" s="2"/>
      <c r="D127" s="2"/>
      <c r="E127" s="2"/>
      <c r="F127" s="2"/>
      <c r="G127" s="2"/>
      <c r="H127" s="4"/>
    </row>
    <row r="128" spans="1:10" ht="13">
      <c r="A128" s="32"/>
      <c r="C128" s="18"/>
      <c r="D128" s="18"/>
      <c r="E128" s="3"/>
      <c r="F128" s="48"/>
      <c r="G128" s="3"/>
      <c r="H128" s="4"/>
    </row>
    <row r="129" spans="1:8" ht="13">
      <c r="A129" s="2"/>
      <c r="C129" s="14"/>
      <c r="D129" s="17"/>
      <c r="E129" s="6"/>
      <c r="F129" s="6"/>
      <c r="G129" s="26"/>
      <c r="H129" s="6"/>
    </row>
    <row r="130" spans="1:8" ht="13">
      <c r="A130" s="2"/>
      <c r="C130" s="14"/>
      <c r="D130" s="17"/>
      <c r="E130" s="6"/>
      <c r="F130" s="6"/>
      <c r="G130" s="26"/>
      <c r="H130" s="6"/>
    </row>
    <row r="131" spans="1:8" ht="13">
      <c r="A131" s="2"/>
      <c r="C131" s="14"/>
      <c r="D131" s="17"/>
      <c r="E131" s="6"/>
      <c r="F131" s="6"/>
      <c r="G131" s="26"/>
      <c r="H131" s="6"/>
    </row>
    <row r="132" spans="1:8" ht="13">
      <c r="A132" s="2"/>
      <c r="C132" s="14"/>
      <c r="D132" s="17"/>
      <c r="E132" s="6"/>
      <c r="F132" s="6"/>
      <c r="G132" s="26"/>
      <c r="H132" s="6"/>
    </row>
    <row r="133" spans="1:8" ht="13">
      <c r="A133" s="2"/>
      <c r="C133" s="14"/>
      <c r="D133" s="17"/>
      <c r="E133" s="6"/>
      <c r="F133" s="6"/>
      <c r="G133" s="26"/>
      <c r="H133" s="6"/>
    </row>
    <row r="134" spans="1:8" ht="13">
      <c r="A134" s="2"/>
      <c r="C134" s="14"/>
      <c r="D134" s="17"/>
      <c r="E134" s="6"/>
      <c r="F134" s="6"/>
      <c r="G134" s="26"/>
      <c r="H134" s="6"/>
    </row>
    <row r="135" spans="1:8" ht="13">
      <c r="A135" s="2"/>
      <c r="C135" s="14"/>
      <c r="D135" s="17"/>
      <c r="E135" s="6"/>
      <c r="F135" s="6"/>
      <c r="G135" s="26"/>
      <c r="H135" s="6"/>
    </row>
    <row r="136" spans="1:8" ht="13">
      <c r="A136" s="2"/>
      <c r="C136" s="14"/>
      <c r="D136" s="17"/>
      <c r="E136" s="6"/>
      <c r="F136" s="6"/>
      <c r="G136" s="26"/>
      <c r="H136" s="6"/>
    </row>
    <row r="137" spans="1:8" ht="13">
      <c r="A137" s="2"/>
      <c r="C137" s="14"/>
      <c r="D137" s="17"/>
      <c r="E137" s="6"/>
      <c r="F137" s="6"/>
      <c r="G137" s="26"/>
      <c r="H137" s="6"/>
    </row>
    <row r="138" spans="1:8" ht="13">
      <c r="A138" s="2"/>
      <c r="C138" s="14"/>
      <c r="D138" s="17"/>
      <c r="E138" s="6"/>
      <c r="F138" s="6"/>
      <c r="G138" s="26"/>
      <c r="H138" s="6"/>
    </row>
    <row r="139" spans="1:8" ht="13">
      <c r="A139" s="2"/>
      <c r="C139" s="14"/>
      <c r="D139" s="17"/>
      <c r="E139" s="6"/>
      <c r="F139" s="6"/>
      <c r="G139" s="26"/>
      <c r="H139" s="6"/>
    </row>
    <row r="140" spans="1:8" ht="13">
      <c r="A140" s="2"/>
      <c r="C140" s="14"/>
      <c r="D140" s="17"/>
      <c r="E140" s="6"/>
      <c r="F140" s="6"/>
      <c r="G140" s="26"/>
      <c r="H140" s="53"/>
    </row>
    <row r="141" spans="1:8" ht="13">
      <c r="A141" s="2"/>
      <c r="H141" s="6"/>
    </row>
    <row r="142" spans="1:8" ht="13">
      <c r="A142" s="2"/>
      <c r="C142" s="14"/>
      <c r="D142" s="17"/>
      <c r="F142" s="41"/>
      <c r="G142" s="26"/>
      <c r="H142" s="41"/>
    </row>
    <row r="143" spans="1:8" ht="13">
      <c r="A143" s="2"/>
      <c r="B143" s="1"/>
      <c r="C143" s="14"/>
      <c r="D143" s="17"/>
      <c r="F143" s="41"/>
      <c r="G143" s="26"/>
      <c r="H143" s="41"/>
    </row>
    <row r="144" spans="1:8" ht="13">
      <c r="A144" s="32"/>
      <c r="B144" s="1"/>
      <c r="C144" s="14"/>
      <c r="D144" s="17"/>
      <c r="F144" s="41"/>
      <c r="G144" s="26"/>
      <c r="H144" s="41"/>
    </row>
    <row r="145" spans="1:8" ht="13">
      <c r="A145" s="2"/>
      <c r="C145" s="14"/>
      <c r="D145" s="49"/>
      <c r="E145" s="6"/>
      <c r="F145" s="264"/>
      <c r="G145" s="26"/>
      <c r="H145" s="41"/>
    </row>
    <row r="146" spans="1:8" ht="13">
      <c r="A146" s="2"/>
      <c r="C146" s="14"/>
      <c r="D146" s="25"/>
      <c r="E146" s="6"/>
      <c r="F146" s="264"/>
      <c r="G146" s="26"/>
      <c r="H146" s="41"/>
    </row>
    <row r="147" spans="1:8" ht="13">
      <c r="A147" s="2"/>
      <c r="C147" s="14"/>
      <c r="D147" s="25"/>
      <c r="E147" s="53"/>
      <c r="F147" s="264"/>
      <c r="G147" s="26"/>
      <c r="H147" s="41"/>
    </row>
    <row r="148" spans="1:8" ht="13">
      <c r="A148" s="2"/>
      <c r="C148" s="14"/>
      <c r="D148" s="49"/>
      <c r="E148" s="6"/>
      <c r="F148" s="41"/>
      <c r="G148" s="26"/>
      <c r="H148" s="41"/>
    </row>
    <row r="149" spans="1:8" ht="13">
      <c r="A149" s="2"/>
      <c r="C149" s="14"/>
      <c r="D149" s="17"/>
      <c r="F149" s="41"/>
      <c r="G149" s="26"/>
      <c r="H149" s="41"/>
    </row>
    <row r="150" spans="1:8" ht="13">
      <c r="A150" s="2"/>
    </row>
    <row r="151" spans="1:8" ht="13">
      <c r="A151" s="2"/>
    </row>
    <row r="152" spans="1:8" ht="13">
      <c r="A152" s="2"/>
    </row>
    <row r="153" spans="1:8" ht="13">
      <c r="A153" s="2"/>
      <c r="B153" s="1"/>
    </row>
    <row r="154" spans="1:8" ht="13">
      <c r="A154" s="2"/>
      <c r="B154" s="247"/>
    </row>
    <row r="155" spans="1:8" ht="13">
      <c r="A155" s="2"/>
      <c r="B155" s="247"/>
    </row>
    <row r="156" spans="1:8" ht="13">
      <c r="A156" s="2"/>
      <c r="B156" s="247"/>
    </row>
    <row r="157" spans="1:8" ht="13">
      <c r="A157" s="2"/>
    </row>
    <row r="158" spans="1:8" ht="13">
      <c r="A158" s="2"/>
      <c r="B158" s="1"/>
    </row>
    <row r="159" spans="1:8" ht="13">
      <c r="A159" s="2"/>
    </row>
    <row r="160" spans="1:8" ht="13">
      <c r="A160" s="32"/>
      <c r="C160" s="18"/>
      <c r="D160" s="3"/>
    </row>
    <row r="161" spans="1:6" ht="13">
      <c r="A161" s="2"/>
      <c r="C161" s="14"/>
      <c r="D161" s="80"/>
      <c r="F161" s="7"/>
    </row>
    <row r="162" spans="1:6" ht="13">
      <c r="A162" s="2"/>
      <c r="C162" s="14"/>
      <c r="D162" s="80"/>
      <c r="F162" s="7"/>
    </row>
    <row r="163" spans="1:6" ht="13">
      <c r="A163" s="2"/>
      <c r="C163" s="14"/>
      <c r="D163" s="80"/>
      <c r="F163" s="7"/>
    </row>
    <row r="164" spans="1:6" ht="13">
      <c r="A164" s="2"/>
      <c r="C164" s="14"/>
      <c r="D164" s="80"/>
      <c r="F164" s="7"/>
    </row>
    <row r="165" spans="1:6" ht="13">
      <c r="A165" s="2"/>
      <c r="C165" s="14"/>
      <c r="D165" s="80"/>
      <c r="F165" s="7"/>
    </row>
    <row r="166" spans="1:6" ht="13">
      <c r="A166" s="2"/>
      <c r="C166" s="14"/>
      <c r="D166" s="80"/>
      <c r="F166" s="7"/>
    </row>
    <row r="167" spans="1:6" ht="13">
      <c r="A167" s="2"/>
      <c r="C167" s="14"/>
      <c r="D167" s="80"/>
      <c r="F167" s="7"/>
    </row>
    <row r="168" spans="1:6" ht="13">
      <c r="A168" s="2"/>
      <c r="C168" s="14"/>
      <c r="D168" s="80"/>
      <c r="F168" s="7"/>
    </row>
    <row r="169" spans="1:6" ht="13">
      <c r="A169" s="2"/>
      <c r="C169" s="14"/>
      <c r="D169" s="80"/>
      <c r="F169" s="7"/>
    </row>
    <row r="170" spans="1:6" ht="13">
      <c r="A170" s="2"/>
      <c r="C170" s="14"/>
      <c r="D170" s="80"/>
      <c r="F170" s="7"/>
    </row>
    <row r="171" spans="1:6" ht="13">
      <c r="A171" s="2"/>
      <c r="C171" s="14"/>
      <c r="D171" s="80"/>
      <c r="F171" s="7"/>
    </row>
    <row r="172" spans="1:6" ht="13">
      <c r="A172" s="2"/>
      <c r="C172" s="14"/>
      <c r="D172" s="81"/>
      <c r="F172" s="29"/>
    </row>
    <row r="173" spans="1:6" ht="13">
      <c r="A173" s="2"/>
      <c r="C173" s="22"/>
      <c r="D173" s="80"/>
    </row>
  </sheetData>
  <phoneticPr fontId="23" type="noConversion"/>
  <pageMargins left="0.75" right="0.75" top="1" bottom="1" header="0.5" footer="0.5"/>
  <pageSetup scale="80" orientation="landscape" cellComments="asDisplayed" r:id="rId1"/>
  <headerFooter alignWithMargins="0">
    <oddHeader>&amp;CSchedule 4
True Up TRR
&amp;RTO2024 Annual Update 
Attachment 1</oddHeader>
    <oddFooter>&amp;R&amp;A</oddFooter>
  </headerFooter>
  <rowBreaks count="4" manualBreakCount="4">
    <brk id="45" max="16383" man="1"/>
    <brk id="74" max="16383" man="1"/>
    <brk id="120" max="9" man="1"/>
    <brk id="1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workbookViewId="0"/>
  </sheetViews>
  <sheetFormatPr defaultColWidth="8.54296875" defaultRowHeight="12.5"/>
  <cols>
    <col min="1" max="1" width="4.54296875" customWidth="1"/>
    <col min="2" max="2" width="3.54296875" customWidth="1"/>
    <col min="4" max="4" width="13.54296875" customWidth="1"/>
    <col min="6" max="7" width="10.54296875" customWidth="1"/>
    <col min="9" max="9" width="27.54296875" customWidth="1"/>
    <col min="10" max="10" width="30.54296875" customWidth="1"/>
    <col min="11" max="11" width="2.54296875" customWidth="1"/>
    <col min="12" max="12" width="16.54296875" customWidth="1"/>
    <col min="13" max="13" width="1.54296875" customWidth="1"/>
    <col min="14" max="14" width="4.54296875" customWidth="1"/>
    <col min="15" max="28" width="14.54296875" customWidth="1"/>
  </cols>
  <sheetData>
    <row r="1" spans="1:28" ht="13">
      <c r="A1" s="1" t="s">
        <v>544</v>
      </c>
      <c r="J1" s="54" t="s">
        <v>96</v>
      </c>
    </row>
    <row r="2" spans="1:28" ht="13">
      <c r="B2" s="1"/>
      <c r="I2" s="2"/>
      <c r="J2" s="2" t="s">
        <v>98</v>
      </c>
      <c r="L2" s="130">
        <v>2022</v>
      </c>
    </row>
    <row r="3" spans="1:28" ht="13">
      <c r="I3" s="3" t="s">
        <v>100</v>
      </c>
      <c r="J3" s="3" t="s">
        <v>101</v>
      </c>
      <c r="L3" s="3" t="s">
        <v>102</v>
      </c>
    </row>
    <row r="5" spans="1:28" ht="13">
      <c r="A5" s="9" t="s">
        <v>145</v>
      </c>
      <c r="B5" s="63"/>
      <c r="C5" s="10"/>
      <c r="D5" s="10"/>
      <c r="E5" s="10"/>
      <c r="F5" s="10"/>
      <c r="G5" s="10"/>
      <c r="H5" s="10"/>
      <c r="I5" s="8"/>
      <c r="J5" s="8"/>
      <c r="K5" s="8"/>
      <c r="L5" s="8"/>
      <c r="N5" s="64"/>
      <c r="O5" s="65"/>
      <c r="P5" s="65"/>
      <c r="Q5" s="65"/>
      <c r="R5" s="65"/>
      <c r="S5" s="65"/>
      <c r="T5" s="65"/>
    </row>
    <row r="6" spans="1:28" ht="13">
      <c r="B6" s="1"/>
      <c r="C6" s="247"/>
      <c r="D6" s="247"/>
      <c r="E6" s="247"/>
      <c r="F6" s="247"/>
      <c r="G6" s="247"/>
      <c r="H6" s="247"/>
      <c r="I6" s="247"/>
      <c r="J6" s="247"/>
      <c r="K6" s="247"/>
      <c r="L6" s="247"/>
      <c r="O6" s="48"/>
      <c r="P6" s="48"/>
      <c r="Q6" s="48"/>
      <c r="R6" s="48"/>
      <c r="S6" s="48"/>
      <c r="T6" s="48"/>
      <c r="U6" s="48"/>
      <c r="V6" s="48"/>
      <c r="W6" s="48"/>
      <c r="X6" s="48"/>
      <c r="Y6" s="48"/>
      <c r="Z6" s="48"/>
      <c r="AA6" s="48"/>
      <c r="AB6" s="48"/>
    </row>
    <row r="7" spans="1:28" ht="13">
      <c r="A7" s="32" t="s">
        <v>99</v>
      </c>
      <c r="B7" s="1"/>
      <c r="C7" s="28" t="s">
        <v>545</v>
      </c>
      <c r="D7" s="247"/>
      <c r="E7" s="247"/>
      <c r="F7" s="247"/>
      <c r="G7" s="247"/>
      <c r="H7" s="247"/>
      <c r="I7" s="247"/>
      <c r="J7" s="247"/>
      <c r="K7" s="247"/>
      <c r="L7" s="247"/>
      <c r="N7" s="32"/>
      <c r="O7" s="25"/>
      <c r="P7" s="258"/>
      <c r="Q7" s="253"/>
      <c r="R7" s="253"/>
      <c r="S7" s="253"/>
      <c r="T7" s="253"/>
      <c r="U7" s="253"/>
      <c r="V7" s="253"/>
      <c r="W7" s="253"/>
      <c r="X7" s="253"/>
      <c r="Y7" s="253"/>
      <c r="Z7" s="253"/>
      <c r="AA7" s="253"/>
      <c r="AB7" s="253"/>
    </row>
    <row r="8" spans="1:28" ht="13">
      <c r="A8" s="2">
        <v>1</v>
      </c>
      <c r="B8" s="1"/>
      <c r="C8" s="247" t="s">
        <v>546</v>
      </c>
      <c r="D8" s="247"/>
      <c r="E8" s="247"/>
      <c r="F8" s="247"/>
      <c r="G8" s="247"/>
      <c r="H8" s="247"/>
      <c r="I8" s="247" t="s">
        <v>547</v>
      </c>
      <c r="J8" s="246" t="str">
        <f>"5-ROR-2, Line "&amp;'5-ROR-2'!A8&amp;""</f>
        <v>5-ROR-2, Line 1</v>
      </c>
      <c r="K8" s="247"/>
      <c r="L8" s="249">
        <f>'5-ROR-2'!C8</f>
        <v>22865636263.663845</v>
      </c>
      <c r="N8" s="2"/>
      <c r="O8" s="249"/>
      <c r="P8" s="249"/>
      <c r="Q8" s="249"/>
      <c r="R8" s="249"/>
      <c r="S8" s="249"/>
      <c r="T8" s="249"/>
      <c r="U8" s="249"/>
      <c r="V8" s="249"/>
      <c r="W8" s="249"/>
      <c r="X8" s="249"/>
      <c r="Y8" s="249"/>
      <c r="Z8" s="249"/>
      <c r="AA8" s="249"/>
      <c r="AB8" s="249"/>
    </row>
    <row r="9" spans="1:28" ht="13">
      <c r="A9" s="2">
        <f>A8+1</f>
        <v>2</v>
      </c>
      <c r="B9" s="1"/>
      <c r="C9" s="247" t="s">
        <v>548</v>
      </c>
      <c r="D9" s="247"/>
      <c r="E9" s="247"/>
      <c r="F9" s="247"/>
      <c r="G9" s="247"/>
      <c r="H9" s="247"/>
      <c r="I9" s="247" t="s">
        <v>547</v>
      </c>
      <c r="J9" s="246" t="str">
        <f>"5-ROR-2, Line "&amp;'5-ROR-2'!A10&amp;""</f>
        <v>5-ROR-2, Line 2</v>
      </c>
      <c r="K9" s="247"/>
      <c r="L9" s="249">
        <f>'5-ROR-2'!C10</f>
        <v>0</v>
      </c>
      <c r="N9" s="2"/>
      <c r="O9" s="249"/>
      <c r="P9" s="249"/>
      <c r="Q9" s="249"/>
      <c r="R9" s="249"/>
      <c r="S9" s="249"/>
      <c r="T9" s="249"/>
      <c r="U9" s="249"/>
      <c r="V9" s="249"/>
      <c r="W9" s="249"/>
      <c r="X9" s="249"/>
      <c r="Y9" s="249"/>
      <c r="Z9" s="249"/>
      <c r="AA9" s="249"/>
      <c r="AB9" s="249"/>
    </row>
    <row r="10" spans="1:28" ht="13">
      <c r="A10" s="2" t="s">
        <v>549</v>
      </c>
      <c r="B10" s="1"/>
      <c r="C10" s="247" t="s">
        <v>550</v>
      </c>
      <c r="D10" s="612"/>
      <c r="E10" s="612"/>
      <c r="F10" s="612"/>
      <c r="G10" s="612"/>
      <c r="H10" s="612"/>
      <c r="I10" s="247" t="s">
        <v>547</v>
      </c>
      <c r="J10" s="246" t="str">
        <f>"5-ROR-2, Line "&amp;'5-ROR-2'!A12&amp;""</f>
        <v>5-ROR-2, Line 2a</v>
      </c>
      <c r="K10" s="247"/>
      <c r="L10" s="249">
        <f>'5-ROR-2'!C12</f>
        <v>0</v>
      </c>
      <c r="N10" s="2"/>
      <c r="O10" s="249"/>
      <c r="P10" s="249"/>
      <c r="Q10" s="249"/>
      <c r="R10" s="249"/>
      <c r="S10" s="249"/>
      <c r="T10" s="249"/>
      <c r="U10" s="249"/>
      <c r="V10" s="249"/>
      <c r="W10" s="249"/>
      <c r="X10" s="249"/>
      <c r="Y10" s="249"/>
      <c r="Z10" s="249"/>
      <c r="AA10" s="249"/>
      <c r="AB10" s="249"/>
    </row>
    <row r="11" spans="1:28" ht="13">
      <c r="A11" s="2">
        <f>A9+1</f>
        <v>3</v>
      </c>
      <c r="B11" s="1"/>
      <c r="C11" s="247" t="s">
        <v>551</v>
      </c>
      <c r="D11" s="247"/>
      <c r="E11" s="247"/>
      <c r="F11" s="247"/>
      <c r="G11" s="247"/>
      <c r="H11" s="247"/>
      <c r="I11" s="247" t="s">
        <v>547</v>
      </c>
      <c r="J11" s="246" t="str">
        <f>"5-ROR-2, Line "&amp;'5-ROR-2'!A14&amp;""</f>
        <v>5-ROR-2, Line 3</v>
      </c>
      <c r="K11" s="247"/>
      <c r="L11" s="249">
        <f>'5-ROR-2'!C14</f>
        <v>398534225.52076924</v>
      </c>
      <c r="N11" s="2"/>
      <c r="O11" s="249"/>
      <c r="P11" s="249"/>
      <c r="Q11" s="249"/>
      <c r="R11" s="249"/>
      <c r="S11" s="249"/>
      <c r="T11" s="249"/>
      <c r="U11" s="249"/>
      <c r="V11" s="249"/>
      <c r="W11" s="249"/>
      <c r="X11" s="249"/>
      <c r="Y11" s="249"/>
      <c r="Z11" s="249"/>
      <c r="AA11" s="249"/>
      <c r="AB11" s="249"/>
    </row>
    <row r="12" spans="1:28" ht="13">
      <c r="A12" s="2">
        <v>4</v>
      </c>
      <c r="B12" s="1"/>
      <c r="C12" s="246" t="s">
        <v>147</v>
      </c>
      <c r="D12" s="247"/>
      <c r="E12" s="247"/>
      <c r="F12" s="247"/>
      <c r="G12" s="247"/>
      <c r="H12" s="247"/>
      <c r="J12" s="246" t="str">
        <f>"L"&amp;A8&amp;" + L"&amp;A9&amp;" + L"&amp;A10&amp;" + L"&amp;A11&amp;""</f>
        <v>L1 + L2 + L2a + L3</v>
      </c>
      <c r="K12" s="247"/>
      <c r="L12" s="924">
        <f>SUM(L8:L11)</f>
        <v>23264170489.184616</v>
      </c>
    </row>
    <row r="13" spans="1:28" ht="13">
      <c r="B13" s="1"/>
      <c r="C13" s="247"/>
      <c r="D13" s="247"/>
      <c r="E13" s="247"/>
      <c r="F13" s="247"/>
      <c r="G13" s="247" t="s">
        <v>129</v>
      </c>
      <c r="H13" s="247"/>
      <c r="I13" s="247"/>
      <c r="J13" s="246"/>
      <c r="K13" s="247"/>
      <c r="L13" s="247"/>
    </row>
    <row r="14" spans="1:28" ht="13">
      <c r="A14" s="2"/>
      <c r="B14" s="1"/>
      <c r="C14" s="28" t="s">
        <v>552</v>
      </c>
      <c r="D14" s="247"/>
      <c r="E14" s="247"/>
      <c r="F14" s="247"/>
      <c r="G14" s="247"/>
      <c r="H14" s="247"/>
      <c r="I14" s="247"/>
      <c r="J14" s="246"/>
      <c r="K14" s="247"/>
      <c r="L14" s="247"/>
    </row>
    <row r="15" spans="1:28" ht="13">
      <c r="A15" s="2">
        <f>A12+1</f>
        <v>5</v>
      </c>
      <c r="B15" s="1"/>
      <c r="C15" s="247" t="s">
        <v>553</v>
      </c>
      <c r="D15" s="247"/>
      <c r="E15" s="247"/>
      <c r="F15" s="247"/>
      <c r="G15" s="247"/>
      <c r="H15" s="247"/>
      <c r="I15" s="247"/>
      <c r="J15" s="246" t="s">
        <v>554</v>
      </c>
      <c r="K15" s="247"/>
      <c r="L15" s="552">
        <v>868498173</v>
      </c>
    </row>
    <row r="16" spans="1:28" ht="13">
      <c r="A16" s="2">
        <f>A15+1</f>
        <v>6</v>
      </c>
      <c r="B16" s="1"/>
      <c r="C16" s="247" t="s">
        <v>555</v>
      </c>
      <c r="D16" s="247"/>
      <c r="E16" s="247"/>
      <c r="F16" s="247"/>
      <c r="G16" s="247"/>
      <c r="H16" s="247"/>
      <c r="I16" s="247"/>
      <c r="J16" s="246" t="s">
        <v>556</v>
      </c>
      <c r="K16" s="247"/>
      <c r="L16" s="552">
        <v>25573167</v>
      </c>
    </row>
    <row r="17" spans="1:28" ht="13">
      <c r="A17" s="2">
        <f t="shared" ref="A17:A19" si="0">A16+1</f>
        <v>7</v>
      </c>
      <c r="B17" s="1"/>
      <c r="C17" s="247" t="s">
        <v>557</v>
      </c>
      <c r="D17" s="247"/>
      <c r="E17" s="247"/>
      <c r="F17" s="247"/>
      <c r="G17" s="247"/>
      <c r="H17" s="247"/>
      <c r="I17" s="247"/>
      <c r="J17" s="246" t="s">
        <v>558</v>
      </c>
      <c r="K17" s="247"/>
      <c r="L17" s="552">
        <v>12011709</v>
      </c>
    </row>
    <row r="18" spans="1:28" ht="13">
      <c r="A18" s="2">
        <f t="shared" si="0"/>
        <v>8</v>
      </c>
      <c r="B18" s="1"/>
      <c r="C18" s="247" t="s">
        <v>559</v>
      </c>
      <c r="D18" s="247"/>
      <c r="E18" s="247"/>
      <c r="F18" s="247"/>
      <c r="G18" s="247"/>
      <c r="H18" s="247"/>
      <c r="I18" s="247" t="s">
        <v>560</v>
      </c>
      <c r="J18" s="246" t="s">
        <v>561</v>
      </c>
      <c r="K18" s="247"/>
      <c r="L18" s="552">
        <v>-6872477</v>
      </c>
    </row>
    <row r="19" spans="1:28" ht="13">
      <c r="A19" s="2">
        <f t="shared" si="0"/>
        <v>9</v>
      </c>
      <c r="B19" s="1"/>
      <c r="C19" s="247" t="s">
        <v>562</v>
      </c>
      <c r="D19" s="247"/>
      <c r="E19" s="247"/>
      <c r="F19" s="247"/>
      <c r="G19" s="247"/>
      <c r="H19" s="247"/>
      <c r="I19" s="247" t="s">
        <v>560</v>
      </c>
      <c r="J19" s="246" t="s">
        <v>563</v>
      </c>
      <c r="K19" s="247"/>
      <c r="L19" s="552">
        <v>0</v>
      </c>
    </row>
    <row r="20" spans="1:28" ht="13">
      <c r="A20" s="2">
        <v>10</v>
      </c>
      <c r="B20" s="1"/>
      <c r="C20" s="247" t="s">
        <v>564</v>
      </c>
      <c r="D20" s="247"/>
      <c r="E20" s="247"/>
      <c r="F20" s="247"/>
      <c r="G20" s="247"/>
      <c r="H20" s="247"/>
      <c r="I20" s="247"/>
      <c r="J20" s="246" t="s">
        <v>565</v>
      </c>
      <c r="K20" s="247"/>
      <c r="L20" s="552">
        <v>0</v>
      </c>
    </row>
    <row r="21" spans="1:28" ht="13">
      <c r="A21" s="2">
        <v>11</v>
      </c>
      <c r="B21" s="1"/>
      <c r="C21" s="246" t="s">
        <v>148</v>
      </c>
      <c r="D21" s="247"/>
      <c r="E21" s="247"/>
      <c r="F21" s="247"/>
      <c r="G21" s="247"/>
      <c r="H21" s="247"/>
      <c r="J21" s="246" t="str">
        <f>"Sum of Lines "&amp;A15&amp;" to "&amp;A20&amp;""</f>
        <v>Sum of Lines 5 to 10</v>
      </c>
      <c r="K21" s="247"/>
      <c r="L21" s="924">
        <f>SUM(L15:L20)</f>
        <v>899210572</v>
      </c>
    </row>
    <row r="22" spans="1:28" ht="13">
      <c r="B22" s="1"/>
      <c r="C22" s="247"/>
      <c r="D22" s="247"/>
      <c r="E22" s="247"/>
      <c r="F22" s="247"/>
      <c r="G22" s="247"/>
      <c r="H22" s="247"/>
      <c r="I22" s="247"/>
      <c r="J22" s="246"/>
      <c r="K22" s="247"/>
      <c r="L22" s="247"/>
    </row>
    <row r="23" spans="1:28" ht="13">
      <c r="A23" s="2">
        <f>A21+1</f>
        <v>12</v>
      </c>
      <c r="B23" s="1"/>
      <c r="C23" s="247" t="s">
        <v>566</v>
      </c>
      <c r="D23" s="247"/>
      <c r="E23" s="247"/>
      <c r="F23" s="247"/>
      <c r="G23" s="247"/>
      <c r="H23" s="247"/>
      <c r="J23" s="246" t="str">
        <f>"Line "&amp;A21&amp;" / Line "&amp;A12&amp;""</f>
        <v>Line 11 / Line 4</v>
      </c>
      <c r="K23" s="247"/>
      <c r="L23" s="212">
        <f>L21/L12</f>
        <v>3.8652165673305997E-2</v>
      </c>
    </row>
    <row r="24" spans="1:28" ht="13">
      <c r="A24" s="2"/>
      <c r="B24" s="1"/>
      <c r="C24" s="247"/>
      <c r="D24" s="247"/>
      <c r="E24" s="247"/>
      <c r="F24" s="247"/>
      <c r="G24" s="247"/>
      <c r="H24" s="247"/>
      <c r="J24" s="246"/>
      <c r="K24" s="247"/>
      <c r="L24" s="212"/>
    </row>
    <row r="25" spans="1:28" ht="13">
      <c r="B25" s="1"/>
      <c r="C25" s="28" t="s">
        <v>567</v>
      </c>
      <c r="D25" s="247"/>
      <c r="E25" s="247"/>
      <c r="F25" s="247"/>
      <c r="G25" s="247"/>
      <c r="H25" s="247"/>
      <c r="I25" s="247"/>
      <c r="J25" s="246"/>
      <c r="K25" s="247"/>
      <c r="L25" s="247"/>
    </row>
    <row r="26" spans="1:28" ht="13">
      <c r="A26" s="2">
        <f>A23+1</f>
        <v>13</v>
      </c>
      <c r="B26" s="1"/>
      <c r="C26" s="247" t="s">
        <v>568</v>
      </c>
      <c r="D26" s="247"/>
      <c r="E26" s="247"/>
      <c r="F26" s="247"/>
      <c r="G26" s="247"/>
      <c r="H26" s="247"/>
      <c r="I26" s="247" t="s">
        <v>547</v>
      </c>
      <c r="J26" s="246" t="str">
        <f>"5-ROR-2, Line "&amp;'5-ROR-2'!A16&amp;""</f>
        <v>5-ROR-2, Line 4</v>
      </c>
      <c r="K26" s="247"/>
      <c r="L26" s="249">
        <f>'5-ROR-2'!C16</f>
        <v>1945050000</v>
      </c>
      <c r="N26" s="2"/>
      <c r="O26" s="249"/>
      <c r="P26" s="249"/>
      <c r="Q26" s="249"/>
      <c r="R26" s="249"/>
      <c r="S26" s="249"/>
      <c r="T26" s="249"/>
      <c r="U26" s="249"/>
      <c r="V26" s="249"/>
      <c r="W26" s="249"/>
      <c r="X26" s="249"/>
      <c r="Y26" s="249"/>
      <c r="Z26" s="249"/>
      <c r="AA26" s="249"/>
      <c r="AB26" s="249"/>
    </row>
    <row r="27" spans="1:28" ht="13">
      <c r="A27" s="2">
        <f t="shared" ref="A27:A28" si="1">A26+1</f>
        <v>14</v>
      </c>
      <c r="B27" s="1"/>
      <c r="C27" s="247" t="s">
        <v>569</v>
      </c>
      <c r="D27" s="247"/>
      <c r="E27" s="247"/>
      <c r="F27" s="247"/>
      <c r="G27" s="247"/>
      <c r="H27" s="247"/>
      <c r="I27" s="247" t="s">
        <v>547</v>
      </c>
      <c r="J27" s="246" t="str">
        <f>"5-ROR-2, Line "&amp;'5-ROR-2'!A18&amp;""</f>
        <v>5-ROR-2, Line 5</v>
      </c>
      <c r="K27" s="247"/>
      <c r="L27" s="249">
        <f>'5-ROR-2'!C18</f>
        <v>-19831236.083333302</v>
      </c>
      <c r="N27" s="2"/>
      <c r="O27" s="249"/>
      <c r="P27" s="249"/>
      <c r="Q27" s="249"/>
      <c r="R27" s="249"/>
      <c r="S27" s="249"/>
      <c r="T27" s="249"/>
      <c r="U27" s="249"/>
      <c r="V27" s="249"/>
      <c r="W27" s="249"/>
      <c r="X27" s="249"/>
      <c r="Y27" s="249"/>
      <c r="Z27" s="249"/>
      <c r="AA27" s="249"/>
      <c r="AB27" s="249"/>
    </row>
    <row r="28" spans="1:28" ht="13">
      <c r="A28" s="2">
        <f t="shared" si="1"/>
        <v>15</v>
      </c>
      <c r="B28" s="1"/>
      <c r="C28" s="247" t="s">
        <v>570</v>
      </c>
      <c r="D28" s="247"/>
      <c r="E28" s="247"/>
      <c r="F28" s="247"/>
      <c r="G28" s="247"/>
      <c r="H28" s="247"/>
      <c r="I28" s="247" t="s">
        <v>547</v>
      </c>
      <c r="J28" s="246" t="str">
        <f>"5-ROR-2, Line "&amp;'5-ROR-2'!A20&amp;""</f>
        <v>5-ROR-2, Line 6</v>
      </c>
      <c r="K28" s="247"/>
      <c r="L28" s="685">
        <f>'5-ROR-2'!C20</f>
        <v>-26287977.240764305</v>
      </c>
      <c r="N28" s="2"/>
      <c r="O28" s="249"/>
      <c r="P28" s="249"/>
      <c r="Q28" s="249"/>
      <c r="R28" s="249"/>
      <c r="S28" s="249"/>
      <c r="T28" s="249"/>
      <c r="U28" s="249"/>
      <c r="V28" s="249"/>
      <c r="W28" s="249"/>
      <c r="X28" s="249"/>
      <c r="Y28" s="249"/>
      <c r="Z28" s="249"/>
      <c r="AA28" s="249"/>
      <c r="AB28" s="249"/>
    </row>
    <row r="29" spans="1:28" ht="13">
      <c r="A29" s="2">
        <f>A28+1</f>
        <v>16</v>
      </c>
      <c r="B29" s="1"/>
      <c r="C29" s="246" t="s">
        <v>151</v>
      </c>
      <c r="D29" s="247"/>
      <c r="E29" s="247"/>
      <c r="F29" s="247"/>
      <c r="G29" s="247"/>
      <c r="H29" s="247"/>
      <c r="I29" s="247"/>
      <c r="J29" s="246" t="str">
        <f>"Sum of Lines "&amp;A26&amp;" to "&amp;A28&amp;""</f>
        <v>Sum of Lines 13 to 15</v>
      </c>
      <c r="K29" s="247"/>
      <c r="L29" s="249">
        <f>SUM(L26:L28)</f>
        <v>1898930786.6759024</v>
      </c>
    </row>
    <row r="30" spans="1:28" ht="13">
      <c r="A30" s="2"/>
      <c r="B30" s="1"/>
      <c r="C30" s="247"/>
      <c r="D30" s="247"/>
      <c r="E30" s="247"/>
      <c r="F30" s="247"/>
      <c r="G30" s="247"/>
      <c r="H30" s="247"/>
      <c r="I30" s="247"/>
      <c r="J30" s="246"/>
      <c r="K30" s="247"/>
      <c r="L30" s="249"/>
    </row>
    <row r="31" spans="1:28" ht="13">
      <c r="A31" s="2"/>
      <c r="B31" s="1"/>
      <c r="C31" s="28" t="s">
        <v>571</v>
      </c>
      <c r="D31" s="247"/>
      <c r="E31" s="247"/>
      <c r="F31" s="247"/>
      <c r="G31" s="247"/>
      <c r="H31" s="247"/>
      <c r="I31" s="247"/>
      <c r="J31" s="246"/>
      <c r="K31" s="247"/>
      <c r="L31" s="249"/>
    </row>
    <row r="32" spans="1:28" ht="13">
      <c r="A32" s="2">
        <f>A29+1</f>
        <v>17</v>
      </c>
      <c r="B32" s="1"/>
      <c r="C32" s="247" t="s">
        <v>572</v>
      </c>
      <c r="D32" s="247"/>
      <c r="E32" s="247"/>
      <c r="F32" s="247"/>
      <c r="G32" s="247"/>
      <c r="H32" s="247"/>
      <c r="I32" s="247" t="s">
        <v>573</v>
      </c>
      <c r="J32" s="246" t="s">
        <v>574</v>
      </c>
      <c r="K32" s="247"/>
      <c r="L32" s="552">
        <v>106609026</v>
      </c>
    </row>
    <row r="33" spans="1:28" ht="13">
      <c r="A33" s="2">
        <f>A32+1</f>
        <v>18</v>
      </c>
      <c r="B33" s="1"/>
      <c r="C33" s="247" t="s">
        <v>575</v>
      </c>
      <c r="D33" s="247"/>
      <c r="E33" s="247"/>
      <c r="F33" s="247"/>
      <c r="G33" s="247"/>
      <c r="H33" s="247"/>
      <c r="I33" s="247"/>
      <c r="J33" s="246" t="s">
        <v>576</v>
      </c>
      <c r="K33" s="247"/>
      <c r="L33" s="249">
        <f>'5-ROR-2'!H65</f>
        <v>1819324.5717344894</v>
      </c>
    </row>
    <row r="34" spans="1:28" ht="13">
      <c r="A34" s="2">
        <f>A33+1</f>
        <v>19</v>
      </c>
      <c r="B34" s="1"/>
      <c r="C34" s="247" t="s">
        <v>577</v>
      </c>
      <c r="D34" s="247"/>
      <c r="E34" s="247"/>
      <c r="F34" s="247"/>
      <c r="G34" s="247"/>
      <c r="H34" s="247"/>
      <c r="I34" s="247"/>
      <c r="J34" s="246" t="s">
        <v>346</v>
      </c>
      <c r="K34" s="247"/>
      <c r="L34" s="249">
        <f>'5-ROR-2'!I50</f>
        <v>2679336.0666666669</v>
      </c>
    </row>
    <row r="35" spans="1:28" ht="13">
      <c r="A35" s="2">
        <f t="shared" ref="A35" si="2">A34+1</f>
        <v>20</v>
      </c>
      <c r="B35" s="1"/>
      <c r="C35" s="246" t="s">
        <v>572</v>
      </c>
      <c r="D35" s="247"/>
      <c r="E35" s="247"/>
      <c r="F35" s="247"/>
      <c r="G35" s="247"/>
      <c r="H35" s="247"/>
      <c r="J35" s="246" t="str">
        <f>"Sum of Lines "&amp;A32&amp;" to "&amp;A34&amp;""</f>
        <v>Sum of Lines 17 to 19</v>
      </c>
      <c r="K35" s="247"/>
      <c r="L35" s="924">
        <f>SUM(L32:L34)</f>
        <v>111107686.63840115</v>
      </c>
    </row>
    <row r="36" spans="1:28" ht="13">
      <c r="B36" s="1"/>
      <c r="C36" s="247"/>
      <c r="D36" s="247"/>
      <c r="E36" s="247"/>
      <c r="F36" s="247"/>
      <c r="G36" s="247"/>
      <c r="H36" s="247"/>
      <c r="I36" s="247"/>
      <c r="J36" s="246"/>
      <c r="K36" s="247"/>
      <c r="L36" s="249"/>
    </row>
    <row r="37" spans="1:28" ht="13">
      <c r="A37" s="2">
        <f>A35+1</f>
        <v>21</v>
      </c>
      <c r="B37" s="1"/>
      <c r="C37" s="247" t="s">
        <v>153</v>
      </c>
      <c r="D37" s="247"/>
      <c r="E37" s="247"/>
      <c r="F37" s="247"/>
      <c r="G37" s="247"/>
      <c r="H37" s="247"/>
      <c r="J37" s="246" t="str">
        <f>"Line "&amp;A35&amp;" / Line "&amp;A29&amp;""</f>
        <v>Line 20 / Line 16</v>
      </c>
      <c r="K37" s="247"/>
      <c r="L37" s="212">
        <f>L35/L29</f>
        <v>5.8510656321969633E-2</v>
      </c>
    </row>
    <row r="38" spans="1:28" ht="13">
      <c r="B38" s="1"/>
      <c r="C38" s="247"/>
      <c r="D38" s="247"/>
      <c r="E38" s="247"/>
      <c r="F38" s="247"/>
      <c r="G38" s="247"/>
      <c r="H38" s="247"/>
      <c r="I38" s="247"/>
      <c r="J38" s="246"/>
      <c r="K38" s="247"/>
      <c r="L38" s="247"/>
    </row>
    <row r="39" spans="1:28" ht="13">
      <c r="B39" s="1"/>
      <c r="C39" s="28" t="s">
        <v>578</v>
      </c>
      <c r="D39" s="247"/>
      <c r="E39" s="247"/>
      <c r="F39" s="247"/>
      <c r="G39" s="247"/>
      <c r="H39" s="247"/>
      <c r="I39" s="627"/>
      <c r="J39" s="246"/>
      <c r="K39" s="247"/>
      <c r="L39" s="247"/>
    </row>
    <row r="40" spans="1:28" ht="13">
      <c r="A40" s="2">
        <f>A37+1</f>
        <v>22</v>
      </c>
      <c r="B40" s="1"/>
      <c r="C40" s="247" t="s">
        <v>579</v>
      </c>
      <c r="D40" s="247"/>
      <c r="E40" s="247"/>
      <c r="F40" s="247"/>
      <c r="G40" s="247"/>
      <c r="H40" s="247"/>
      <c r="I40" s="247" t="s">
        <v>547</v>
      </c>
      <c r="J40" s="246" t="str">
        <f>"5-ROR-2, Line "&amp;'5-ROR-2'!A22&amp;""</f>
        <v>5-ROR-2, Line 7</v>
      </c>
      <c r="K40" s="247"/>
      <c r="L40" s="249">
        <f>'5-ROR-2'!C22</f>
        <v>20206892174.284233</v>
      </c>
      <c r="N40" s="2"/>
      <c r="O40" s="249"/>
      <c r="P40" s="249"/>
      <c r="Q40" s="249"/>
      <c r="R40" s="249"/>
      <c r="S40" s="249"/>
      <c r="T40" s="249"/>
      <c r="U40" s="249"/>
      <c r="V40" s="249"/>
      <c r="W40" s="249"/>
      <c r="X40" s="249"/>
      <c r="Y40" s="249"/>
      <c r="Z40" s="249"/>
      <c r="AA40" s="249"/>
      <c r="AB40" s="249"/>
    </row>
    <row r="41" spans="1:28" ht="13">
      <c r="A41" s="2">
        <f>A40+1</f>
        <v>23</v>
      </c>
      <c r="B41" s="1"/>
      <c r="C41" s="247" t="s">
        <v>580</v>
      </c>
      <c r="D41" s="247"/>
      <c r="E41" s="247"/>
      <c r="F41" s="247"/>
      <c r="G41" s="247"/>
      <c r="H41" s="247"/>
      <c r="I41" s="247" t="str">
        <f>"Same as L "&amp;A26&amp;", but negative"</f>
        <v>Same as L 13, but negative</v>
      </c>
      <c r="J41" s="246" t="str">
        <f>"5-ROR-2, Line "&amp;'5-ROR-2'!A16&amp;""</f>
        <v>5-ROR-2, Line 4</v>
      </c>
      <c r="K41" s="247"/>
      <c r="L41" s="249">
        <f>-'5-ROR-2'!C16</f>
        <v>-1945050000</v>
      </c>
      <c r="N41" s="2"/>
      <c r="O41" s="249"/>
      <c r="P41" s="249"/>
      <c r="Q41" s="249"/>
      <c r="R41" s="249"/>
      <c r="S41" s="249"/>
      <c r="T41" s="249"/>
      <c r="U41" s="249"/>
      <c r="V41" s="249"/>
      <c r="W41" s="249"/>
      <c r="X41" s="249"/>
      <c r="Y41" s="249"/>
      <c r="Z41" s="249"/>
      <c r="AA41" s="249"/>
      <c r="AB41" s="249"/>
    </row>
    <row r="42" spans="1:28" ht="13">
      <c r="A42" s="2">
        <f t="shared" ref="A42:A44" si="3">A41+1</f>
        <v>24</v>
      </c>
      <c r="B42" s="1"/>
      <c r="C42" s="247" t="s">
        <v>581</v>
      </c>
      <c r="D42" s="247"/>
      <c r="E42" s="247"/>
      <c r="F42" s="247"/>
      <c r="G42" s="247"/>
      <c r="H42" s="247"/>
      <c r="I42" s="247" t="str">
        <f>"Same as L "&amp;A28&amp;", but reverse sign"</f>
        <v>Same as L 15, but reverse sign</v>
      </c>
      <c r="J42" s="246" t="s">
        <v>347</v>
      </c>
      <c r="K42" s="247"/>
      <c r="L42" s="249">
        <f>-L28</f>
        <v>26287977.240764305</v>
      </c>
      <c r="N42" s="2"/>
      <c r="O42" s="249"/>
      <c r="P42" s="249"/>
      <c r="Q42" s="249"/>
      <c r="R42" s="249"/>
      <c r="S42" s="249"/>
      <c r="T42" s="249"/>
      <c r="U42" s="249"/>
      <c r="V42" s="249"/>
      <c r="W42" s="249"/>
      <c r="X42" s="249"/>
      <c r="Y42" s="249"/>
      <c r="Z42" s="249"/>
      <c r="AA42" s="249"/>
      <c r="AB42" s="249"/>
    </row>
    <row r="43" spans="1:28" ht="13">
      <c r="A43" s="2">
        <f t="shared" si="3"/>
        <v>25</v>
      </c>
      <c r="B43" s="1"/>
      <c r="C43" s="247" t="s">
        <v>582</v>
      </c>
      <c r="D43" s="247"/>
      <c r="E43" s="247"/>
      <c r="F43" s="247"/>
      <c r="G43" s="247"/>
      <c r="H43" s="247"/>
      <c r="I43" s="247" t="s">
        <v>547</v>
      </c>
      <c r="J43" s="246" t="str">
        <f>"5-ROR-2, Line "&amp;'5-ROR-2'!A24&amp;""</f>
        <v>5-ROR-2, Line 8</v>
      </c>
      <c r="K43" s="247"/>
      <c r="L43" s="249">
        <f>'5-ROR-2'!C24</f>
        <v>2619760.3676923076</v>
      </c>
      <c r="N43" s="2"/>
      <c r="O43" s="249"/>
      <c r="P43" s="249"/>
      <c r="Q43" s="249"/>
      <c r="R43" s="249"/>
      <c r="S43" s="249"/>
      <c r="T43" s="249"/>
      <c r="U43" s="249"/>
      <c r="V43" s="249"/>
      <c r="W43" s="249"/>
      <c r="X43" s="249"/>
      <c r="Y43" s="249"/>
      <c r="Z43" s="249"/>
      <c r="AA43" s="249"/>
      <c r="AB43" s="249"/>
    </row>
    <row r="44" spans="1:28" ht="13">
      <c r="A44" s="2">
        <f t="shared" si="3"/>
        <v>26</v>
      </c>
      <c r="B44" s="1"/>
      <c r="C44" s="247" t="s">
        <v>583</v>
      </c>
      <c r="D44" s="247"/>
      <c r="E44" s="247"/>
      <c r="F44" s="247"/>
      <c r="G44" s="247"/>
      <c r="H44" s="247"/>
      <c r="I44" s="247" t="s">
        <v>547</v>
      </c>
      <c r="J44" s="246" t="str">
        <f>"5-ROR-2, Line "&amp;'5-ROR-2'!A26&amp;""</f>
        <v>5-ROR-2, Line 9</v>
      </c>
      <c r="K44" s="247"/>
      <c r="L44" s="249">
        <f>'5-ROR-2'!C26</f>
        <v>27374784.818461537</v>
      </c>
      <c r="N44" s="2"/>
      <c r="O44" s="249"/>
      <c r="P44" s="249"/>
      <c r="Q44" s="249"/>
      <c r="R44" s="249"/>
      <c r="S44" s="249"/>
      <c r="T44" s="249"/>
      <c r="U44" s="249"/>
      <c r="V44" s="249"/>
      <c r="W44" s="249"/>
      <c r="X44" s="249"/>
      <c r="Y44" s="249"/>
      <c r="Z44" s="249"/>
      <c r="AA44" s="249"/>
      <c r="AB44" s="249"/>
    </row>
    <row r="45" spans="1:28" ht="13">
      <c r="A45" s="2">
        <f>A44+1</f>
        <v>27</v>
      </c>
      <c r="B45" s="1"/>
      <c r="C45" s="247" t="s">
        <v>155</v>
      </c>
      <c r="D45" s="247"/>
      <c r="E45" s="247"/>
      <c r="F45" s="247"/>
      <c r="G45" s="247"/>
      <c r="H45" s="247"/>
      <c r="I45" s="247"/>
      <c r="J45" s="246" t="str">
        <f>"Sum of Lines "&amp;A40&amp;" to "&amp;A44&amp;""</f>
        <v>Sum of Lines 22 to 26</v>
      </c>
      <c r="K45" s="247"/>
      <c r="L45" s="924">
        <f>SUM(L40:L44)</f>
        <v>18318124696.711151</v>
      </c>
    </row>
    <row r="46" spans="1:28" ht="13">
      <c r="A46" s="2"/>
      <c r="B46" s="1"/>
      <c r="C46" s="247"/>
      <c r="D46" s="247"/>
      <c r="E46" s="247"/>
      <c r="F46" s="247"/>
      <c r="G46" s="247"/>
      <c r="H46" s="247"/>
      <c r="I46" s="247"/>
      <c r="J46" s="246"/>
      <c r="K46" s="247"/>
      <c r="L46" s="249"/>
    </row>
    <row r="47" spans="1:28" ht="13">
      <c r="B47" s="30" t="s">
        <v>228</v>
      </c>
      <c r="C47" s="247"/>
      <c r="D47" s="247"/>
      <c r="E47" s="247"/>
      <c r="F47" s="247"/>
      <c r="G47" s="247"/>
      <c r="H47" s="247"/>
      <c r="I47" s="247"/>
      <c r="J47" s="247"/>
      <c r="K47" s="247"/>
      <c r="L47" s="247"/>
    </row>
    <row r="48" spans="1:28">
      <c r="B48" s="247" t="s">
        <v>584</v>
      </c>
      <c r="J48" s="247"/>
    </row>
    <row r="49" spans="2:2">
      <c r="B49" s="247" t="s">
        <v>585</v>
      </c>
    </row>
    <row r="50" spans="2:2">
      <c r="B50" s="257" t="str">
        <f>"3) Negative of Line "&amp;A28&amp;""&amp;", charge to common equity reversed for ratemaking."</f>
        <v>3) Negative of Line 15, charge to common equity reversed for ratemaking.</v>
      </c>
    </row>
    <row r="51" spans="2:2">
      <c r="B51" s="247"/>
    </row>
    <row r="52" spans="2:2">
      <c r="B52" s="246"/>
    </row>
    <row r="53" spans="2:2">
      <c r="B53" s="247"/>
    </row>
    <row r="54" spans="2:2">
      <c r="B54" s="246"/>
    </row>
  </sheetData>
  <pageMargins left="0.7" right="0.7" top="0.75" bottom="0.75" header="0.3" footer="0.3"/>
  <pageSetup scale="55" orientation="landscape" r:id="rId1"/>
  <headerFooter>
    <oddHeader>&amp;CSchedule 5 ROR-1
Return and Capitalization&amp;RTO2024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4296875" defaultRowHeight="12.5"/>
  <cols>
    <col min="1" max="1" width="4.54296875" customWidth="1"/>
    <col min="2" max="2" width="6.453125" customWidth="1"/>
    <col min="3" max="3" width="15.54296875" customWidth="1"/>
    <col min="4" max="4" width="16.453125" customWidth="1"/>
    <col min="5" max="15" width="14.54296875" customWidth="1"/>
    <col min="16" max="16" width="15.453125" bestFit="1" customWidth="1"/>
  </cols>
  <sheetData>
    <row r="1" spans="1:17" ht="13">
      <c r="A1" s="1" t="s">
        <v>586</v>
      </c>
      <c r="B1" s="1"/>
    </row>
    <row r="2" spans="1:17" ht="13">
      <c r="A2" s="2" t="s">
        <v>587</v>
      </c>
      <c r="B2" s="553">
        <v>2022</v>
      </c>
      <c r="D2" s="39" t="s">
        <v>195</v>
      </c>
      <c r="E2" s="254" t="s">
        <v>588</v>
      </c>
      <c r="F2" s="199"/>
    </row>
    <row r="3" spans="1:17" ht="13">
      <c r="C3" s="48" t="s">
        <v>336</v>
      </c>
      <c r="D3" s="48" t="s">
        <v>337</v>
      </c>
      <c r="E3" s="48" t="s">
        <v>338</v>
      </c>
      <c r="F3" s="48" t="s">
        <v>339</v>
      </c>
      <c r="G3" s="48" t="s">
        <v>340</v>
      </c>
      <c r="H3" s="48" t="s">
        <v>341</v>
      </c>
      <c r="I3" s="48" t="s">
        <v>342</v>
      </c>
      <c r="J3" s="48" t="s">
        <v>343</v>
      </c>
      <c r="K3" s="48" t="s">
        <v>344</v>
      </c>
      <c r="L3" s="48" t="s">
        <v>589</v>
      </c>
      <c r="M3" s="48" t="s">
        <v>590</v>
      </c>
      <c r="N3" s="48" t="s">
        <v>591</v>
      </c>
      <c r="O3" s="48" t="s">
        <v>592</v>
      </c>
      <c r="P3" s="48" t="s">
        <v>593</v>
      </c>
    </row>
    <row r="4" spans="1:17" ht="13">
      <c r="A4" s="3" t="s">
        <v>99</v>
      </c>
      <c r="B4" s="3" t="s">
        <v>250</v>
      </c>
      <c r="C4" s="25" t="s">
        <v>473</v>
      </c>
      <c r="D4" s="258" t="s">
        <v>379</v>
      </c>
      <c r="E4" s="253" t="s">
        <v>381</v>
      </c>
      <c r="F4" s="253" t="s">
        <v>382</v>
      </c>
      <c r="G4" s="253" t="s">
        <v>383</v>
      </c>
      <c r="H4" s="253" t="s">
        <v>384</v>
      </c>
      <c r="I4" s="253" t="s">
        <v>385</v>
      </c>
      <c r="J4" s="253" t="s">
        <v>594</v>
      </c>
      <c r="K4" s="253" t="s">
        <v>387</v>
      </c>
      <c r="L4" s="253" t="s">
        <v>388</v>
      </c>
      <c r="M4" s="253" t="s">
        <v>389</v>
      </c>
      <c r="N4" s="253" t="s">
        <v>390</v>
      </c>
      <c r="O4" s="253" t="s">
        <v>391</v>
      </c>
      <c r="P4" s="253" t="s">
        <v>379</v>
      </c>
    </row>
    <row r="5" spans="1:17" ht="13">
      <c r="A5" s="3"/>
      <c r="B5" s="3"/>
      <c r="C5" s="253" t="s">
        <v>595</v>
      </c>
      <c r="D5" s="258"/>
      <c r="E5" s="253"/>
      <c r="F5" s="253"/>
      <c r="G5" s="253"/>
      <c r="H5" s="253"/>
      <c r="I5" s="253"/>
      <c r="J5" s="253"/>
      <c r="K5" s="253"/>
      <c r="L5" s="253"/>
      <c r="M5" s="253"/>
      <c r="N5" s="253"/>
      <c r="O5" s="253"/>
      <c r="P5" s="253"/>
    </row>
    <row r="6" spans="1:17" ht="13">
      <c r="A6" s="32"/>
      <c r="B6" s="32"/>
      <c r="C6" s="25"/>
      <c r="D6" s="258"/>
      <c r="E6" s="253"/>
      <c r="F6" s="253"/>
      <c r="G6" s="253"/>
      <c r="H6" s="253"/>
      <c r="I6" s="253"/>
      <c r="J6" s="253"/>
      <c r="K6" s="253"/>
      <c r="L6" s="253"/>
      <c r="M6" s="253"/>
      <c r="N6" s="253"/>
      <c r="O6" s="253"/>
      <c r="P6" s="253"/>
    </row>
    <row r="7" spans="1:17" ht="13">
      <c r="B7" s="1" t="s">
        <v>596</v>
      </c>
      <c r="D7" s="258"/>
      <c r="E7" s="253"/>
      <c r="F7" s="253"/>
      <c r="G7" s="253"/>
      <c r="H7" s="253"/>
      <c r="I7" s="253"/>
      <c r="J7" s="253"/>
      <c r="K7" s="253"/>
      <c r="L7" s="253"/>
      <c r="M7" s="253"/>
      <c r="N7" s="253"/>
      <c r="O7" s="253"/>
      <c r="P7" s="253"/>
    </row>
    <row r="8" spans="1:17" ht="13">
      <c r="A8" s="2">
        <v>1</v>
      </c>
      <c r="B8" s="2"/>
      <c r="C8" s="249">
        <f>SUM(D8:P8)/13</f>
        <v>22865636263.663845</v>
      </c>
      <c r="D8" s="552">
        <v>21066185714</v>
      </c>
      <c r="E8" s="552">
        <v>22266185714.23</v>
      </c>
      <c r="F8" s="552">
        <v>21901899999.939999</v>
      </c>
      <c r="G8" s="552">
        <v>21901899999.939999</v>
      </c>
      <c r="H8" s="552">
        <v>21901899999.939999</v>
      </c>
      <c r="I8" s="552">
        <v>23151899999.939999</v>
      </c>
      <c r="J8" s="552">
        <v>23151899999.939999</v>
      </c>
      <c r="K8" s="552">
        <v>23151899999.939999</v>
      </c>
      <c r="L8" s="552">
        <v>23151899999.939999</v>
      </c>
      <c r="M8" s="552">
        <v>23151899999.939999</v>
      </c>
      <c r="N8" s="552">
        <v>23151899999.939999</v>
      </c>
      <c r="O8" s="552">
        <v>24651899999.939999</v>
      </c>
      <c r="P8" s="552">
        <v>24651900000</v>
      </c>
      <c r="Q8" s="247"/>
    </row>
    <row r="9" spans="1:17" ht="13">
      <c r="A9" s="2"/>
      <c r="B9" s="1" t="s">
        <v>597</v>
      </c>
      <c r="C9" s="6"/>
      <c r="D9" s="249"/>
      <c r="E9" s="249"/>
      <c r="F9" s="249"/>
      <c r="G9" s="249"/>
      <c r="H9" s="249"/>
      <c r="I9" s="249"/>
      <c r="J9" s="249"/>
      <c r="K9" s="249"/>
      <c r="L9" s="249"/>
      <c r="M9" s="249"/>
      <c r="N9" s="249"/>
      <c r="O9" s="249"/>
      <c r="P9" s="249"/>
    </row>
    <row r="10" spans="1:17" ht="13">
      <c r="A10" s="2">
        <f>A8+1</f>
        <v>2</v>
      </c>
      <c r="B10" s="2"/>
      <c r="C10" s="249">
        <f t="shared" ref="C10:C14" si="0">SUM(D10:P10)/13</f>
        <v>0</v>
      </c>
      <c r="D10" s="552">
        <v>0</v>
      </c>
      <c r="E10" s="552">
        <v>0</v>
      </c>
      <c r="F10" s="552">
        <v>0</v>
      </c>
      <c r="G10" s="552">
        <v>0</v>
      </c>
      <c r="H10" s="552">
        <v>0</v>
      </c>
      <c r="I10" s="552">
        <v>0</v>
      </c>
      <c r="J10" s="552">
        <v>0</v>
      </c>
      <c r="K10" s="552">
        <v>0</v>
      </c>
      <c r="L10" s="552">
        <v>0</v>
      </c>
      <c r="M10" s="552">
        <v>0</v>
      </c>
      <c r="N10" s="552">
        <v>0</v>
      </c>
      <c r="O10" s="552">
        <v>0</v>
      </c>
      <c r="P10" s="552">
        <v>0</v>
      </c>
      <c r="Q10" s="247"/>
    </row>
    <row r="11" spans="1:17" ht="13">
      <c r="A11" s="2"/>
      <c r="B11" s="1" t="s">
        <v>598</v>
      </c>
      <c r="D11" s="249"/>
      <c r="E11" s="249"/>
      <c r="F11" s="249"/>
      <c r="G11" s="249"/>
      <c r="H11" s="249"/>
      <c r="I11" s="249"/>
      <c r="J11" s="249"/>
      <c r="K11" s="249"/>
      <c r="L11" s="249"/>
      <c r="M11" s="249"/>
      <c r="N11" s="249"/>
      <c r="O11" s="249"/>
      <c r="P11" s="249"/>
    </row>
    <row r="12" spans="1:17" ht="13">
      <c r="A12" s="2" t="s">
        <v>549</v>
      </c>
      <c r="B12" s="1"/>
      <c r="C12" s="249">
        <f>SUM(D12:P12)/13</f>
        <v>0</v>
      </c>
      <c r="D12" s="267">
        <v>0</v>
      </c>
      <c r="E12" s="267">
        <v>0</v>
      </c>
      <c r="F12" s="267">
        <v>0</v>
      </c>
      <c r="G12" s="267">
        <v>0</v>
      </c>
      <c r="H12" s="267">
        <v>0</v>
      </c>
      <c r="I12" s="267">
        <v>0</v>
      </c>
      <c r="J12" s="267">
        <v>0</v>
      </c>
      <c r="K12" s="267">
        <v>0</v>
      </c>
      <c r="L12" s="267">
        <v>0</v>
      </c>
      <c r="M12" s="267">
        <v>0</v>
      </c>
      <c r="N12" s="267">
        <v>0</v>
      </c>
      <c r="O12" s="267">
        <v>0</v>
      </c>
      <c r="P12" s="267">
        <v>0</v>
      </c>
      <c r="Q12" s="247"/>
    </row>
    <row r="13" spans="1:17" ht="13">
      <c r="A13" s="2"/>
      <c r="B13" s="1" t="s">
        <v>599</v>
      </c>
      <c r="D13" s="249"/>
      <c r="E13" s="249"/>
      <c r="F13" s="249"/>
      <c r="G13" s="249"/>
      <c r="H13" s="249"/>
      <c r="I13" s="249"/>
      <c r="J13" s="249"/>
      <c r="K13" s="249"/>
      <c r="L13" s="249"/>
      <c r="M13" s="249"/>
      <c r="N13" s="249"/>
      <c r="O13" s="249"/>
      <c r="P13" s="249"/>
    </row>
    <row r="14" spans="1:17" ht="13">
      <c r="A14" s="2">
        <f>A10+1</f>
        <v>3</v>
      </c>
      <c r="B14" s="2"/>
      <c r="C14" s="249">
        <f t="shared" si="0"/>
        <v>398534225.52076924</v>
      </c>
      <c r="D14" s="552">
        <v>306267331.36000001</v>
      </c>
      <c r="E14" s="552">
        <v>306260637.38999999</v>
      </c>
      <c r="F14" s="552">
        <v>306253915.19999999</v>
      </c>
      <c r="G14" s="552">
        <v>306247164.66000003</v>
      </c>
      <c r="H14" s="552">
        <v>306240385.66000003</v>
      </c>
      <c r="I14" s="552">
        <v>306233578.06999999</v>
      </c>
      <c r="J14" s="552">
        <v>306226741.77999997</v>
      </c>
      <c r="K14" s="552">
        <v>306219876.66000003</v>
      </c>
      <c r="L14" s="552">
        <v>306212982.58999997</v>
      </c>
      <c r="M14" s="552">
        <v>306206059.44999999</v>
      </c>
      <c r="N14" s="552">
        <v>306199077.80000001</v>
      </c>
      <c r="O14" s="552">
        <v>906192096.14999998</v>
      </c>
      <c r="P14" s="552">
        <v>906185085</v>
      </c>
      <c r="Q14" s="247"/>
    </row>
    <row r="15" spans="1:17" ht="13">
      <c r="B15" s="1" t="s">
        <v>600</v>
      </c>
    </row>
    <row r="16" spans="1:17" ht="13">
      <c r="A16" s="2">
        <v>4</v>
      </c>
      <c r="B16" s="2"/>
      <c r="C16" s="249">
        <f t="shared" ref="C16:C22" si="1">SUM(D16:P16)/13</f>
        <v>1945050000</v>
      </c>
      <c r="D16" s="552">
        <v>1945050000</v>
      </c>
      <c r="E16" s="552">
        <v>1945050000</v>
      </c>
      <c r="F16" s="552">
        <v>1945050000</v>
      </c>
      <c r="G16" s="552">
        <v>1945050000</v>
      </c>
      <c r="H16" s="552">
        <v>1945050000</v>
      </c>
      <c r="I16" s="552">
        <v>1945050000</v>
      </c>
      <c r="J16" s="552">
        <v>1945050000</v>
      </c>
      <c r="K16" s="552">
        <v>1945050000</v>
      </c>
      <c r="L16" s="552">
        <v>1945050000</v>
      </c>
      <c r="M16" s="552">
        <v>1945050000</v>
      </c>
      <c r="N16" s="552">
        <v>1945050000</v>
      </c>
      <c r="O16" s="552">
        <v>1945050000</v>
      </c>
      <c r="P16" s="552">
        <v>1945050000</v>
      </c>
      <c r="Q16" s="247"/>
    </row>
    <row r="17" spans="1:17" ht="13">
      <c r="A17" s="2"/>
      <c r="B17" s="1" t="s">
        <v>601</v>
      </c>
      <c r="D17" s="249"/>
      <c r="E17" s="249"/>
      <c r="F17" s="249"/>
      <c r="G17" s="249"/>
      <c r="H17" s="249"/>
      <c r="I17" s="249"/>
      <c r="J17" s="249"/>
      <c r="K17" s="249"/>
      <c r="L17" s="249"/>
      <c r="M17" s="249"/>
      <c r="N17" s="249"/>
      <c r="O17" s="249"/>
      <c r="P17" s="249"/>
    </row>
    <row r="18" spans="1:17" ht="13">
      <c r="A18" s="2">
        <f>A16+1</f>
        <v>5</v>
      </c>
      <c r="B18" s="2"/>
      <c r="C18" s="249">
        <f t="shared" si="1"/>
        <v>-19831236.083333302</v>
      </c>
      <c r="D18" s="267">
        <v>-21191907.416666627</v>
      </c>
      <c r="E18" s="267">
        <v>-20923122.336111076</v>
      </c>
      <c r="F18" s="267">
        <v>-20703981.330555528</v>
      </c>
      <c r="G18" s="267">
        <v>-20484840.324999973</v>
      </c>
      <c r="H18" s="267">
        <v>-20265699.319444414</v>
      </c>
      <c r="I18" s="267">
        <v>-20046558.313888863</v>
      </c>
      <c r="J18" s="267">
        <v>-19827417.308333304</v>
      </c>
      <c r="K18" s="267">
        <v>-19608276.302777749</v>
      </c>
      <c r="L18" s="267">
        <v>-19389135.297222193</v>
      </c>
      <c r="M18" s="267">
        <v>-19169994.291666638</v>
      </c>
      <c r="N18" s="267">
        <v>-18950853.286111079</v>
      </c>
      <c r="O18" s="267">
        <v>-18731712.280555528</v>
      </c>
      <c r="P18" s="267">
        <v>-18512571.274999969</v>
      </c>
    </row>
    <row r="19" spans="1:17" ht="13">
      <c r="A19" s="2"/>
      <c r="B19" s="1" t="s">
        <v>602</v>
      </c>
      <c r="D19" s="249"/>
      <c r="E19" s="249"/>
      <c r="F19" s="249"/>
      <c r="G19" s="249"/>
      <c r="H19" s="249"/>
      <c r="I19" s="249"/>
      <c r="J19" s="249"/>
      <c r="K19" s="249"/>
      <c r="L19" s="249"/>
      <c r="M19" s="249"/>
      <c r="N19" s="249"/>
      <c r="O19" s="249"/>
      <c r="P19" s="249"/>
    </row>
    <row r="20" spans="1:17" ht="13">
      <c r="A20" s="2">
        <f>A18+1</f>
        <v>6</v>
      </c>
      <c r="B20" s="2"/>
      <c r="C20" s="249">
        <f t="shared" si="1"/>
        <v>-26287977.240764305</v>
      </c>
      <c r="D20" s="552">
        <v>-27197639.546695247</v>
      </c>
      <c r="E20" s="267">
        <v>-27046029.165717378</v>
      </c>
      <c r="F20" s="267">
        <v>-26894418.784739502</v>
      </c>
      <c r="G20" s="267">
        <v>-26742808.403761625</v>
      </c>
      <c r="H20" s="267">
        <v>-26591198.022783753</v>
      </c>
      <c r="I20" s="267">
        <v>-26439587.64180588</v>
      </c>
      <c r="J20" s="267">
        <v>-26287977</v>
      </c>
      <c r="K20" s="267">
        <v>-26136366.879850131</v>
      </c>
      <c r="L20" s="267">
        <v>-25984756.498872254</v>
      </c>
      <c r="M20" s="267">
        <v>-25833146.117894381</v>
      </c>
      <c r="N20" s="267">
        <v>-25681535.736916509</v>
      </c>
      <c r="O20" s="267">
        <v>-25529925.355938632</v>
      </c>
      <c r="P20" s="267">
        <v>-25378314.974960759</v>
      </c>
    </row>
    <row r="21" spans="1:17" ht="13">
      <c r="B21" s="1" t="s">
        <v>603</v>
      </c>
    </row>
    <row r="22" spans="1:17" ht="13">
      <c r="A22" s="2">
        <v>7</v>
      </c>
      <c r="B22" s="2"/>
      <c r="C22" s="249">
        <f t="shared" si="1"/>
        <v>20206892174.284233</v>
      </c>
      <c r="D22" s="552">
        <v>19826178301</v>
      </c>
      <c r="E22" s="267">
        <v>20003688345.91</v>
      </c>
      <c r="F22" s="267">
        <v>19785658118</v>
      </c>
      <c r="G22" s="267">
        <v>19641195512.610001</v>
      </c>
      <c r="H22" s="267">
        <v>20260774530.790001</v>
      </c>
      <c r="I22" s="267">
        <v>20584060884.73</v>
      </c>
      <c r="J22" s="267">
        <v>20323847724.334999</v>
      </c>
      <c r="K22" s="267">
        <v>20494545132.355</v>
      </c>
      <c r="L22" s="267">
        <v>20380958199.147499</v>
      </c>
      <c r="M22" s="267">
        <v>19920558508.310001</v>
      </c>
      <c r="N22" s="267">
        <v>20112778661.715</v>
      </c>
      <c r="O22" s="267">
        <v>20584596072.7925</v>
      </c>
      <c r="P22" s="267">
        <v>20770758274</v>
      </c>
      <c r="Q22" s="247"/>
    </row>
    <row r="23" spans="1:17" ht="13">
      <c r="A23" s="2"/>
      <c r="B23" s="1" t="s">
        <v>604</v>
      </c>
      <c r="D23" s="249"/>
      <c r="E23" s="249"/>
      <c r="F23" s="249"/>
      <c r="G23" s="249"/>
      <c r="H23" s="249"/>
      <c r="I23" s="249"/>
      <c r="J23" s="249"/>
      <c r="K23" s="249"/>
      <c r="L23" s="249"/>
      <c r="M23" s="249"/>
      <c r="N23" s="249"/>
      <c r="O23" s="249"/>
      <c r="P23" s="249"/>
    </row>
    <row r="24" spans="1:17" ht="13">
      <c r="A24" s="2">
        <v>8</v>
      </c>
      <c r="B24" s="2"/>
      <c r="C24" s="249">
        <f t="shared" ref="C24:C26" si="2">SUM(D24:P24)/13</f>
        <v>2619760.3676923076</v>
      </c>
      <c r="D24" s="552">
        <v>2612472</v>
      </c>
      <c r="E24" s="552">
        <v>2612471.9699999997</v>
      </c>
      <c r="F24" s="552">
        <v>2615793.63</v>
      </c>
      <c r="G24" s="552">
        <v>2617201.6199999996</v>
      </c>
      <c r="H24" s="552">
        <v>2617201.6199999996</v>
      </c>
      <c r="I24" s="552">
        <v>2618503.6199999996</v>
      </c>
      <c r="J24" s="552">
        <v>2620308.1199999996</v>
      </c>
      <c r="K24" s="552">
        <v>2620308.1199999996</v>
      </c>
      <c r="L24" s="552">
        <v>2622897.44</v>
      </c>
      <c r="M24" s="552">
        <v>2622897.44</v>
      </c>
      <c r="N24" s="552">
        <v>2625806.7399999998</v>
      </c>
      <c r="O24" s="552">
        <v>2625511.46</v>
      </c>
      <c r="P24" s="552">
        <v>2625511</v>
      </c>
      <c r="Q24" s="247"/>
    </row>
    <row r="25" spans="1:17" ht="13">
      <c r="A25" s="2"/>
      <c r="B25" s="1" t="s">
        <v>605</v>
      </c>
      <c r="D25" s="249"/>
      <c r="E25" s="249"/>
      <c r="F25" s="249"/>
      <c r="G25" s="249"/>
      <c r="H25" s="249"/>
      <c r="I25" s="249"/>
      <c r="J25" s="249"/>
      <c r="K25" s="249"/>
      <c r="L25" s="249"/>
      <c r="M25" s="249"/>
      <c r="N25" s="249"/>
      <c r="O25" s="249"/>
      <c r="P25" s="249"/>
    </row>
    <row r="26" spans="1:17" ht="13">
      <c r="A26" s="2">
        <f>A24+1</f>
        <v>9</v>
      </c>
      <c r="B26" s="2"/>
      <c r="C26" s="249">
        <f t="shared" si="2"/>
        <v>27374784.818461537</v>
      </c>
      <c r="D26" s="552">
        <v>32038525</v>
      </c>
      <c r="E26" s="552">
        <v>31583191.27</v>
      </c>
      <c r="F26" s="552">
        <v>31127857.93</v>
      </c>
      <c r="G26" s="552">
        <v>31054780.579999998</v>
      </c>
      <c r="H26" s="552">
        <v>30599447.239999998</v>
      </c>
      <c r="I26" s="552">
        <v>30144113.899999999</v>
      </c>
      <c r="J26" s="552">
        <v>27789556.98</v>
      </c>
      <c r="K26" s="552">
        <v>27334223.640000001</v>
      </c>
      <c r="L26" s="552">
        <v>26878890.300000001</v>
      </c>
      <c r="M26" s="552">
        <v>26805812.940000001</v>
      </c>
      <c r="N26" s="552">
        <v>26350479.600000001</v>
      </c>
      <c r="O26" s="552">
        <v>25895146.260000002</v>
      </c>
      <c r="P26" s="552">
        <v>8270177</v>
      </c>
      <c r="Q26" s="247"/>
    </row>
    <row r="27" spans="1:17" ht="13">
      <c r="A27" s="2"/>
      <c r="B27" s="2"/>
      <c r="C27" s="249"/>
      <c r="D27" s="249"/>
      <c r="E27" s="249"/>
      <c r="F27" s="249"/>
      <c r="G27" s="249"/>
      <c r="H27" s="249"/>
      <c r="I27" s="249"/>
      <c r="J27" s="249"/>
      <c r="K27" s="249"/>
      <c r="L27" s="249"/>
      <c r="M27" s="249"/>
      <c r="N27" s="249"/>
      <c r="O27" s="249"/>
      <c r="P27" s="249"/>
    </row>
    <row r="28" spans="1:17" ht="13">
      <c r="A28" s="2"/>
      <c r="B28" s="30" t="s">
        <v>433</v>
      </c>
      <c r="C28" s="249"/>
      <c r="D28" s="249"/>
      <c r="E28" s="249"/>
      <c r="F28" s="249"/>
      <c r="G28" s="249"/>
      <c r="H28" s="249"/>
      <c r="I28" s="249"/>
      <c r="J28" s="249"/>
      <c r="K28" s="249"/>
      <c r="L28" s="249"/>
      <c r="M28" s="249"/>
      <c r="N28" s="249"/>
      <c r="O28" s="249"/>
      <c r="P28" s="249"/>
    </row>
    <row r="29" spans="1:17" ht="13">
      <c r="A29" s="2"/>
      <c r="B29" s="247" t="s">
        <v>606</v>
      </c>
      <c r="C29" s="249"/>
      <c r="D29" s="249"/>
      <c r="E29" s="249"/>
      <c r="F29" s="249"/>
      <c r="G29" s="249"/>
      <c r="H29" s="249"/>
      <c r="I29" s="249"/>
      <c r="J29" s="249"/>
      <c r="K29" s="249"/>
      <c r="L29" s="249"/>
      <c r="M29" s="249"/>
      <c r="N29" s="249"/>
      <c r="O29" s="249"/>
      <c r="P29" s="249"/>
    </row>
    <row r="30" spans="1:17" ht="13">
      <c r="A30" s="2"/>
      <c r="B30" s="246" t="s">
        <v>607</v>
      </c>
      <c r="C30" s="249"/>
      <c r="D30" s="249"/>
      <c r="E30" s="249"/>
      <c r="F30" s="249"/>
      <c r="G30" s="249"/>
      <c r="H30" s="249"/>
      <c r="I30" s="249"/>
      <c r="J30" s="249"/>
      <c r="K30" s="249"/>
      <c r="L30" s="249"/>
      <c r="M30" s="249"/>
      <c r="N30" s="249"/>
      <c r="O30" s="249"/>
      <c r="P30" s="249"/>
    </row>
    <row r="31" spans="1:17">
      <c r="B31" s="247" t="s">
        <v>608</v>
      </c>
    </row>
    <row r="32" spans="1:17">
      <c r="B32" s="246"/>
    </row>
    <row r="33" spans="2:13" ht="13">
      <c r="B33" s="30" t="s">
        <v>228</v>
      </c>
    </row>
    <row r="34" spans="2:13">
      <c r="B34" s="247" t="s">
        <v>609</v>
      </c>
    </row>
    <row r="35" spans="2:13">
      <c r="B35" s="247" t="s">
        <v>610</v>
      </c>
    </row>
    <row r="36" spans="2:13">
      <c r="B36" s="247" t="s">
        <v>611</v>
      </c>
    </row>
    <row r="37" spans="2:13">
      <c r="B37" s="247" t="s">
        <v>612</v>
      </c>
    </row>
    <row r="38" spans="2:13">
      <c r="B38" s="247" t="s">
        <v>613</v>
      </c>
    </row>
    <row r="39" spans="2:13">
      <c r="B39" s="247" t="s">
        <v>614</v>
      </c>
    </row>
    <row r="40" spans="2:13">
      <c r="B40" s="246" t="s">
        <v>615</v>
      </c>
    </row>
    <row r="41" spans="2:13" ht="13">
      <c r="H41" s="2" t="s">
        <v>616</v>
      </c>
    </row>
    <row r="42" spans="2:13" ht="13">
      <c r="C42" s="2"/>
      <c r="E42" s="2" t="s">
        <v>617</v>
      </c>
      <c r="F42" s="2" t="s">
        <v>618</v>
      </c>
      <c r="G42" s="2" t="s">
        <v>618</v>
      </c>
      <c r="H42" s="2" t="s">
        <v>619</v>
      </c>
      <c r="I42" s="2" t="s">
        <v>620</v>
      </c>
    </row>
    <row r="43" spans="2:13" ht="13">
      <c r="C43" s="3" t="s">
        <v>621</v>
      </c>
      <c r="E43" s="3" t="s">
        <v>79</v>
      </c>
      <c r="F43" s="3" t="s">
        <v>622</v>
      </c>
      <c r="G43" s="3" t="s">
        <v>623</v>
      </c>
      <c r="H43" s="48" t="s">
        <v>624</v>
      </c>
      <c r="I43" s="3" t="s">
        <v>616</v>
      </c>
      <c r="J43" s="3" t="s">
        <v>100</v>
      </c>
    </row>
    <row r="44" spans="2:13">
      <c r="C44" s="792" t="s">
        <v>3053</v>
      </c>
      <c r="D44" s="281"/>
      <c r="E44" s="59">
        <v>350000000</v>
      </c>
      <c r="F44" s="686">
        <v>40925</v>
      </c>
      <c r="G44" s="59">
        <v>5957289</v>
      </c>
      <c r="H44" s="581">
        <v>10</v>
      </c>
      <c r="I44" s="277">
        <v>49644</v>
      </c>
      <c r="J44" s="54" t="s">
        <v>3054</v>
      </c>
      <c r="K44" s="54"/>
      <c r="L44" s="54"/>
      <c r="M44" s="54"/>
    </row>
    <row r="45" spans="2:13">
      <c r="C45" s="792" t="s">
        <v>3055</v>
      </c>
      <c r="D45" s="281"/>
      <c r="E45" s="59">
        <v>220010000</v>
      </c>
      <c r="F45" s="686">
        <v>41303</v>
      </c>
      <c r="G45" s="59">
        <v>7134904</v>
      </c>
      <c r="H45" s="581">
        <v>30</v>
      </c>
      <c r="I45" s="277">
        <v>237830.13333333333</v>
      </c>
      <c r="J45" s="254"/>
      <c r="K45" s="54"/>
      <c r="L45" s="54"/>
      <c r="M45" s="54"/>
    </row>
    <row r="46" spans="2:13">
      <c r="C46" s="793" t="s">
        <v>3056</v>
      </c>
      <c r="D46" s="281"/>
      <c r="E46" s="59">
        <v>275010000</v>
      </c>
      <c r="F46" s="686">
        <v>41704</v>
      </c>
      <c r="G46" s="59">
        <v>6272358</v>
      </c>
      <c r="H46" s="581">
        <v>10</v>
      </c>
      <c r="I46" s="277">
        <v>627235.80000000005</v>
      </c>
      <c r="J46" s="54"/>
      <c r="K46" s="54"/>
      <c r="L46" s="54"/>
      <c r="M46" s="54"/>
    </row>
    <row r="47" spans="2:13">
      <c r="C47" s="794" t="s">
        <v>3057</v>
      </c>
      <c r="D47" s="687"/>
      <c r="E47" s="59">
        <v>325010000</v>
      </c>
      <c r="F47" s="686">
        <v>42240</v>
      </c>
      <c r="G47" s="59">
        <v>6419578</v>
      </c>
      <c r="H47" s="581">
        <v>10</v>
      </c>
      <c r="I47" s="277">
        <v>641957.80000000005</v>
      </c>
      <c r="J47" s="54"/>
      <c r="K47" s="54"/>
      <c r="L47" s="54"/>
      <c r="M47" s="54"/>
    </row>
    <row r="48" spans="2:13">
      <c r="C48" s="794" t="s">
        <v>3058</v>
      </c>
      <c r="D48" s="687"/>
      <c r="E48" s="59">
        <v>300010000</v>
      </c>
      <c r="F48" s="686">
        <v>42437</v>
      </c>
      <c r="G48" s="59">
        <v>6959810</v>
      </c>
      <c r="H48" s="581">
        <v>10</v>
      </c>
      <c r="I48" s="277">
        <v>695981</v>
      </c>
      <c r="J48" s="254"/>
      <c r="K48" s="54"/>
      <c r="L48" s="54"/>
      <c r="M48" s="54"/>
    </row>
    <row r="49" spans="2:14">
      <c r="C49" s="795" t="s">
        <v>3059</v>
      </c>
      <c r="D49" s="687"/>
      <c r="E49" s="59">
        <v>475010000</v>
      </c>
      <c r="F49" s="686">
        <v>42912</v>
      </c>
      <c r="G49" s="267">
        <v>12800620</v>
      </c>
      <c r="H49" s="581">
        <v>30</v>
      </c>
      <c r="I49" s="267">
        <v>426687.33333333331</v>
      </c>
      <c r="J49" s="279"/>
      <c r="K49" s="54"/>
      <c r="L49" s="54"/>
      <c r="M49" s="54"/>
    </row>
    <row r="50" spans="2:14">
      <c r="C50" s="257"/>
      <c r="D50" s="257"/>
      <c r="I50" s="6">
        <f>SUM(I44:I49)</f>
        <v>2679336.0666666669</v>
      </c>
      <c r="J50" s="247" t="s">
        <v>625</v>
      </c>
    </row>
    <row r="51" spans="2:14">
      <c r="B51" s="247" t="s">
        <v>626</v>
      </c>
    </row>
    <row r="52" spans="2:14">
      <c r="B52" s="246" t="s">
        <v>627</v>
      </c>
      <c r="I52" s="41"/>
    </row>
    <row r="53" spans="2:14" ht="13">
      <c r="G53" s="2" t="s">
        <v>616</v>
      </c>
    </row>
    <row r="54" spans="2:14" ht="13">
      <c r="C54" s="2"/>
      <c r="E54" s="2" t="s">
        <v>628</v>
      </c>
      <c r="F54" s="2" t="s">
        <v>616</v>
      </c>
      <c r="G54" s="2" t="s">
        <v>619</v>
      </c>
      <c r="H54" s="2" t="s">
        <v>620</v>
      </c>
      <c r="I54" s="2"/>
    </row>
    <row r="55" spans="2:14" ht="13">
      <c r="C55" s="3" t="s">
        <v>629</v>
      </c>
      <c r="E55" s="3" t="s">
        <v>622</v>
      </c>
      <c r="F55" s="3" t="s">
        <v>79</v>
      </c>
      <c r="G55" s="48" t="s">
        <v>624</v>
      </c>
      <c r="H55" s="3" t="s">
        <v>616</v>
      </c>
      <c r="I55" s="3" t="s">
        <v>100</v>
      </c>
    </row>
    <row r="56" spans="2:14" ht="13">
      <c r="C56" s="793" t="s">
        <v>3060</v>
      </c>
      <c r="D56" s="790"/>
      <c r="E56" s="686">
        <v>41333</v>
      </c>
      <c r="F56" s="59">
        <v>2586350.9805555502</v>
      </c>
      <c r="G56" s="581">
        <v>30</v>
      </c>
      <c r="H56" s="1037">
        <v>86211.699351851668</v>
      </c>
      <c r="I56" s="791"/>
      <c r="J56" s="54"/>
      <c r="K56" s="54"/>
      <c r="L56" s="54"/>
      <c r="M56" s="54"/>
      <c r="N56" s="54"/>
    </row>
    <row r="57" spans="2:14" ht="13">
      <c r="C57" s="793" t="s">
        <v>3061</v>
      </c>
      <c r="D57" s="790"/>
      <c r="E57" s="686">
        <v>41333</v>
      </c>
      <c r="F57" s="59">
        <v>2886865.9722222402</v>
      </c>
      <c r="G57" s="581">
        <v>30</v>
      </c>
      <c r="H57" s="1037">
        <v>96228.865740741341</v>
      </c>
      <c r="I57" s="791"/>
      <c r="J57" s="54"/>
      <c r="K57" s="54"/>
      <c r="L57" s="54"/>
      <c r="M57" s="54"/>
      <c r="N57" s="54"/>
    </row>
    <row r="58" spans="2:14" ht="13">
      <c r="C58" s="793" t="s">
        <v>3062</v>
      </c>
      <c r="D58" s="790"/>
      <c r="E58" s="686">
        <v>42460</v>
      </c>
      <c r="F58" s="59">
        <v>2147802.5000000112</v>
      </c>
      <c r="G58" s="581">
        <v>10</v>
      </c>
      <c r="H58" s="1037">
        <v>214780.25000000111</v>
      </c>
      <c r="I58" s="791"/>
      <c r="J58" s="791"/>
      <c r="K58" s="791"/>
      <c r="L58" s="54"/>
      <c r="M58" s="54"/>
      <c r="N58" s="54"/>
    </row>
    <row r="59" spans="2:14" ht="13">
      <c r="C59" s="793" t="s">
        <v>3063</v>
      </c>
      <c r="D59" s="790"/>
      <c r="E59" s="686">
        <v>42935</v>
      </c>
      <c r="F59" s="59">
        <v>12749183.344444489</v>
      </c>
      <c r="G59" s="581">
        <v>30</v>
      </c>
      <c r="H59" s="1037">
        <v>424972.77814814966</v>
      </c>
      <c r="I59" s="791"/>
      <c r="J59" s="791"/>
      <c r="K59" s="791"/>
      <c r="L59" s="54"/>
      <c r="M59" s="54"/>
      <c r="N59" s="54"/>
    </row>
    <row r="60" spans="2:14" ht="13">
      <c r="C60" s="281" t="s">
        <v>3064</v>
      </c>
      <c r="D60" s="1038"/>
      <c r="E60" s="688">
        <v>44074</v>
      </c>
      <c r="F60" s="59">
        <v>8522773.9499999993</v>
      </c>
      <c r="G60" s="581">
        <v>10</v>
      </c>
      <c r="H60" s="1037">
        <v>852277.3949999999</v>
      </c>
      <c r="I60" s="791"/>
      <c r="J60" s="791"/>
      <c r="K60" s="791"/>
      <c r="L60" s="54"/>
      <c r="M60" s="54"/>
      <c r="N60" s="54"/>
    </row>
    <row r="61" spans="2:14">
      <c r="C61" s="281" t="s">
        <v>3065</v>
      </c>
      <c r="D61" s="281"/>
      <c r="E61" s="688">
        <v>44104</v>
      </c>
      <c r="F61" s="267">
        <v>4345607.5048123803</v>
      </c>
      <c r="G61" s="581">
        <v>30</v>
      </c>
      <c r="H61" s="1039">
        <v>144853.583493746</v>
      </c>
      <c r="I61" s="791" t="s">
        <v>3066</v>
      </c>
      <c r="J61" s="791"/>
      <c r="K61" s="791"/>
      <c r="L61" s="54"/>
      <c r="M61" s="54"/>
      <c r="N61" s="54"/>
    </row>
    <row r="62" spans="2:14">
      <c r="C62" s="281"/>
      <c r="D62" s="281"/>
      <c r="E62" s="688"/>
      <c r="F62" s="267"/>
      <c r="G62" s="581"/>
      <c r="H62" s="267"/>
      <c r="I62" s="254" t="s">
        <v>3067</v>
      </c>
      <c r="J62" s="254"/>
      <c r="K62" s="54"/>
      <c r="L62" s="54"/>
      <c r="M62" s="54"/>
      <c r="N62" s="54"/>
    </row>
    <row r="63" spans="2:14">
      <c r="C63" s="281"/>
      <c r="D63" s="281"/>
      <c r="E63" s="688"/>
      <c r="F63" s="267"/>
      <c r="G63" s="581"/>
      <c r="H63" s="267"/>
      <c r="I63" s="254"/>
      <c r="J63" s="254"/>
      <c r="K63" s="54"/>
      <c r="L63" s="54"/>
      <c r="M63" s="54"/>
      <c r="N63" s="54"/>
    </row>
    <row r="64" spans="2:14">
      <c r="C64" s="281"/>
      <c r="D64" s="281"/>
      <c r="E64" s="688"/>
      <c r="F64" s="267"/>
      <c r="G64" s="581"/>
      <c r="H64" s="267"/>
      <c r="I64" s="254"/>
      <c r="J64" s="254"/>
      <c r="K64" s="54"/>
      <c r="L64" s="54"/>
      <c r="M64" s="54"/>
      <c r="N64" s="54"/>
    </row>
    <row r="65" spans="2:9">
      <c r="C65" s="257"/>
      <c r="D65" s="257"/>
      <c r="H65" s="6">
        <f>SUM(H56:H63)</f>
        <v>1819324.5717344894</v>
      </c>
      <c r="I65" s="247" t="s">
        <v>630</v>
      </c>
    </row>
    <row r="67" spans="2:9">
      <c r="B67" s="247" t="s">
        <v>631</v>
      </c>
    </row>
    <row r="68" spans="2:9">
      <c r="B68" s="247" t="s">
        <v>632</v>
      </c>
    </row>
    <row r="69" spans="2:9">
      <c r="B69" s="247" t="s">
        <v>633</v>
      </c>
    </row>
    <row r="78" spans="2:9">
      <c r="F78" s="6"/>
    </row>
    <row r="79" spans="2:9">
      <c r="F79" s="6"/>
    </row>
  </sheetData>
  <pageMargins left="0.7" right="0.7" top="0.75" bottom="0.75" header="0.3" footer="0.3"/>
  <pageSetup scale="54" fitToHeight="0" orientation="landscape" cellComments="asDisplayed" r:id="rId1"/>
  <headerFooter>
    <oddHeader>&amp;CSchedule 5 ROR-2
Return and Capitalization
&amp;RTO2024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3.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2023-11-14T22:15:34Z</cp:lastPrinted>
  <dcterms:created xsi:type="dcterms:W3CDTF">2009-02-27T16:01:11Z</dcterms:created>
  <dcterms:modified xsi:type="dcterms:W3CDTF">2023-11-17T00:41:34Z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y fmtid="{D5CDD505-2E9C-101B-9397-08002B2CF9AE}" pid="5" name="MSIP_Label_bc3dd1c7-2c40-4a31-84b2-bec599b321a0_Enabled">
    <vt:lpwstr>true</vt:lpwstr>
  </property>
  <property fmtid="{D5CDD505-2E9C-101B-9397-08002B2CF9AE}" pid="6" name="MSIP_Label_bc3dd1c7-2c40-4a31-84b2-bec599b321a0_SetDate">
    <vt:lpwstr>2023-10-05T22:50:04Z</vt:lpwstr>
  </property>
  <property fmtid="{D5CDD505-2E9C-101B-9397-08002B2CF9AE}" pid="7" name="MSIP_Label_bc3dd1c7-2c40-4a31-84b2-bec599b321a0_Method">
    <vt:lpwstr>Standard</vt:lpwstr>
  </property>
  <property fmtid="{D5CDD505-2E9C-101B-9397-08002B2CF9AE}" pid="8" name="MSIP_Label_bc3dd1c7-2c40-4a31-84b2-bec599b321a0_Name">
    <vt:lpwstr>bc3dd1c7-2c40-4a31-84b2-bec599b321a0</vt:lpwstr>
  </property>
  <property fmtid="{D5CDD505-2E9C-101B-9397-08002B2CF9AE}" pid="9" name="MSIP_Label_bc3dd1c7-2c40-4a31-84b2-bec599b321a0_SiteId">
    <vt:lpwstr>5b2a8fee-4c95-4bdc-8aae-196f8aacb1b6</vt:lpwstr>
  </property>
  <property fmtid="{D5CDD505-2E9C-101B-9397-08002B2CF9AE}" pid="10" name="MSIP_Label_bc3dd1c7-2c40-4a31-84b2-bec599b321a0_ActionId">
    <vt:lpwstr>5ed5966b-c439-43c4-bfa5-f08a326152b8</vt:lpwstr>
  </property>
  <property fmtid="{D5CDD505-2E9C-101B-9397-08002B2CF9AE}" pid="11" name="MSIP_Label_bc3dd1c7-2c40-4a31-84b2-bec599b321a0_ContentBits">
    <vt:lpwstr>0</vt:lpwstr>
  </property>
</Properties>
</file>