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defaultThemeVersion="124226"/>
  <mc:AlternateContent xmlns:mc="http://schemas.openxmlformats.org/markup-compatibility/2006">
    <mc:Choice Requires="x15">
      <x15ac:absPath xmlns:x15ac="http://schemas.microsoft.com/office/spreadsheetml/2010/11/ac" url="https://edisonintl-my.sharepoint.com/personal/jee_kim_sce_com/Documents/1-TO2025 Annual Update Filing Posting/Attachment 1/"/>
    </mc:Choice>
  </mc:AlternateContent>
  <xr:revisionPtr revIDLastSave="0" documentId="14_{2AE6540F-C72F-4BFB-AF74-8AC5041889CB}" xr6:coauthVersionLast="47" xr6:coauthVersionMax="47" xr10:uidLastSave="{00000000-0000-0000-0000-000000000000}"/>
  <bookViews>
    <workbookView xWindow="-120" yWindow="-120" windowWidth="29040" windowHeight="15720" tabRatio="896"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86"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'21-RevenueCredits'!$A$1:$O$298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5">'10-CWIP'!$A$1:$L$551</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'14-IncentivePlant'!$A$1:$J$492</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'1-BaseTRR'!$A$1:$M$185</definedName>
    <definedName name="_xlnm.Print_Area" localSheetId="25">'20-AandG'!$A$1:$K$113</definedName>
    <definedName name="_xlnm.Print_Area" localSheetId="26">'21-RevenueCredits'!$A$1:$O$300</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'25-WholesaleDifference'!$A$1:$J$30</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'4-TUTRR'!$A$1:$J$113</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'9-ADIT-1'!$A$1:$J$164</definedName>
    <definedName name="_xlnm.Print_Area" localSheetId="13">'9-ADIT-2'!$A$1:$M$75</definedName>
    <definedName name="_xlnm.Print_Area" localSheetId="14">'9-ADIT-3'!$A$1:$I$62</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0" i="11" l="1"/>
  <c r="F40" i="11"/>
  <c r="E40" i="11"/>
  <c r="G39" i="11"/>
  <c r="L46" i="49"/>
  <c r="D13" i="49"/>
  <c r="E39" i="11"/>
  <c r="E110" i="11" l="1"/>
  <c r="G110" i="11"/>
  <c r="E100" i="11"/>
  <c r="E99" i="11"/>
  <c r="E98" i="11"/>
  <c r="E97" i="11"/>
  <c r="E101" i="11"/>
  <c r="E102" i="11"/>
  <c r="E103" i="11"/>
  <c r="E104" i="11"/>
  <c r="E105" i="11"/>
  <c r="E106" i="11"/>
  <c r="E107" i="11"/>
  <c r="E108" i="11"/>
  <c r="E109" i="11"/>
  <c r="K79" i="49" l="1"/>
  <c r="I61" i="49"/>
  <c r="D56" i="49"/>
  <c r="E56" i="49"/>
  <c r="F56" i="49"/>
  <c r="G56" i="49"/>
  <c r="H56" i="49"/>
  <c r="I56" i="49"/>
  <c r="J56" i="49"/>
  <c r="K56" i="49"/>
  <c r="D57" i="49"/>
  <c r="E57" i="49"/>
  <c r="F57" i="49"/>
  <c r="G57" i="49"/>
  <c r="H57" i="49"/>
  <c r="I57" i="49"/>
  <c r="J57" i="49"/>
  <c r="K57" i="49"/>
  <c r="D58" i="49"/>
  <c r="E58" i="49"/>
  <c r="F58" i="49"/>
  <c r="G58" i="49"/>
  <c r="H58" i="49"/>
  <c r="I58" i="49"/>
  <c r="J58" i="49"/>
  <c r="K58" i="49"/>
  <c r="D59" i="49"/>
  <c r="E59" i="49"/>
  <c r="F59" i="49"/>
  <c r="G59" i="49"/>
  <c r="H59" i="49"/>
  <c r="I59" i="49"/>
  <c r="J59" i="49"/>
  <c r="K59" i="49"/>
  <c r="D60" i="49"/>
  <c r="E60" i="49"/>
  <c r="F60" i="49"/>
  <c r="G60" i="49"/>
  <c r="H60" i="49"/>
  <c r="I60" i="49"/>
  <c r="J60" i="49"/>
  <c r="K60" i="49"/>
  <c r="D61" i="49"/>
  <c r="E61" i="49"/>
  <c r="F61" i="49"/>
  <c r="G61" i="49"/>
  <c r="H61" i="49"/>
  <c r="J61" i="49"/>
  <c r="K61" i="49"/>
  <c r="D62" i="49"/>
  <c r="E62" i="49"/>
  <c r="F62" i="49"/>
  <c r="G62" i="49"/>
  <c r="H62" i="49"/>
  <c r="I62" i="49"/>
  <c r="J62" i="49"/>
  <c r="K62" i="49"/>
  <c r="D63" i="49"/>
  <c r="E63" i="49"/>
  <c r="F63" i="49"/>
  <c r="G63" i="49"/>
  <c r="H63" i="49"/>
  <c r="I63" i="49"/>
  <c r="J63" i="49"/>
  <c r="K63" i="49"/>
  <c r="D64" i="49"/>
  <c r="E64" i="49"/>
  <c r="F64" i="49"/>
  <c r="G64" i="49"/>
  <c r="H64" i="49"/>
  <c r="I64" i="49"/>
  <c r="J64" i="49"/>
  <c r="K64" i="49"/>
  <c r="D65" i="49"/>
  <c r="E65" i="49"/>
  <c r="F65" i="49"/>
  <c r="G65" i="49"/>
  <c r="H65" i="49"/>
  <c r="I65" i="49"/>
  <c r="J65" i="49"/>
  <c r="K65" i="49"/>
  <c r="D66" i="49"/>
  <c r="E66" i="49"/>
  <c r="F66" i="49"/>
  <c r="G66" i="49"/>
  <c r="H66" i="49"/>
  <c r="I66" i="49"/>
  <c r="J66" i="49"/>
  <c r="K66" i="49"/>
  <c r="D67" i="49"/>
  <c r="E67" i="49"/>
  <c r="F67" i="49"/>
  <c r="G67" i="49"/>
  <c r="H67" i="49"/>
  <c r="I67" i="49"/>
  <c r="J67" i="49"/>
  <c r="K67" i="49"/>
  <c r="D68" i="49"/>
  <c r="E68" i="49"/>
  <c r="F68" i="49"/>
  <c r="G68" i="49"/>
  <c r="H68" i="49"/>
  <c r="I68" i="49"/>
  <c r="J68" i="49"/>
  <c r="K68" i="49"/>
  <c r="D69" i="49"/>
  <c r="E69" i="49"/>
  <c r="F69" i="49"/>
  <c r="G69" i="49"/>
  <c r="H69" i="49"/>
  <c r="I69" i="49"/>
  <c r="J69" i="49"/>
  <c r="K69" i="49"/>
  <c r="D70" i="49"/>
  <c r="E70" i="49"/>
  <c r="F70" i="49"/>
  <c r="G70" i="49"/>
  <c r="H70" i="49"/>
  <c r="I70" i="49"/>
  <c r="J70" i="49"/>
  <c r="K70" i="49"/>
  <c r="D71" i="49"/>
  <c r="E71" i="49"/>
  <c r="F71" i="49"/>
  <c r="G71" i="49"/>
  <c r="H71" i="49"/>
  <c r="I71" i="49"/>
  <c r="J71" i="49"/>
  <c r="K71" i="49"/>
  <c r="D72" i="49"/>
  <c r="E72" i="49"/>
  <c r="F72" i="49"/>
  <c r="G72" i="49"/>
  <c r="H72" i="49"/>
  <c r="I72" i="49"/>
  <c r="J72" i="49"/>
  <c r="K72" i="49"/>
  <c r="D73" i="49"/>
  <c r="E73" i="49"/>
  <c r="F73" i="49"/>
  <c r="G73" i="49"/>
  <c r="H73" i="49"/>
  <c r="I73" i="49"/>
  <c r="J73" i="49"/>
  <c r="K73" i="49"/>
  <c r="D74" i="49"/>
  <c r="E74" i="49"/>
  <c r="F74" i="49"/>
  <c r="G74" i="49"/>
  <c r="H74" i="49"/>
  <c r="I74" i="49"/>
  <c r="J74" i="49"/>
  <c r="K74" i="49"/>
  <c r="D75" i="49"/>
  <c r="E75" i="49"/>
  <c r="F75" i="49"/>
  <c r="G75" i="49"/>
  <c r="H75" i="49"/>
  <c r="I75" i="49"/>
  <c r="J75" i="49"/>
  <c r="K75" i="49"/>
  <c r="D76" i="49"/>
  <c r="E76" i="49"/>
  <c r="F76" i="49"/>
  <c r="G76" i="49"/>
  <c r="H76" i="49"/>
  <c r="I76" i="49"/>
  <c r="J76" i="49"/>
  <c r="K76" i="49"/>
  <c r="D77" i="49"/>
  <c r="E77" i="49"/>
  <c r="F77" i="49"/>
  <c r="G77" i="49"/>
  <c r="H77" i="49"/>
  <c r="I77" i="49"/>
  <c r="J77" i="49"/>
  <c r="K77" i="49"/>
  <c r="D78" i="49"/>
  <c r="E78" i="49"/>
  <c r="F78" i="49"/>
  <c r="G78" i="49"/>
  <c r="H78" i="49"/>
  <c r="I78" i="49"/>
  <c r="J78" i="49"/>
  <c r="K78" i="49"/>
  <c r="E55" i="49"/>
  <c r="F55" i="49"/>
  <c r="G55" i="49"/>
  <c r="H55" i="49"/>
  <c r="I55" i="49"/>
  <c r="J55" i="49"/>
  <c r="K55" i="49"/>
  <c r="D55" i="49"/>
  <c r="D25" i="49"/>
  <c r="D24" i="49"/>
  <c r="D23" i="49"/>
  <c r="D22" i="49"/>
  <c r="D21" i="49"/>
  <c r="D20" i="49"/>
  <c r="D19" i="49"/>
  <c r="D18" i="49"/>
  <c r="D17" i="49"/>
  <c r="D16" i="49"/>
  <c r="D15" i="49"/>
  <c r="D14" i="49"/>
  <c r="H39" i="11"/>
  <c r="A406" i="11" l="1"/>
  <c r="A389" i="11"/>
  <c r="A370" i="11"/>
  <c r="H401" i="11"/>
  <c r="G401" i="11"/>
  <c r="H400" i="11"/>
  <c r="G400" i="11"/>
  <c r="H399" i="11"/>
  <c r="G399" i="11"/>
  <c r="H398" i="11"/>
  <c r="G398" i="11"/>
  <c r="H397" i="11"/>
  <c r="G397" i="11"/>
  <c r="H396" i="11"/>
  <c r="G396" i="11"/>
  <c r="H395" i="11"/>
  <c r="G395" i="11"/>
  <c r="H394" i="11"/>
  <c r="G394" i="11"/>
  <c r="H393" i="11"/>
  <c r="G393" i="11"/>
  <c r="H392" i="11"/>
  <c r="G392" i="11"/>
  <c r="H391" i="11"/>
  <c r="G391" i="11"/>
  <c r="H390" i="11"/>
  <c r="G390" i="11"/>
  <c r="H389" i="11"/>
  <c r="G389" i="11"/>
  <c r="H382" i="11"/>
  <c r="G382" i="11"/>
  <c r="H381" i="11"/>
  <c r="G381" i="11"/>
  <c r="H380" i="11"/>
  <c r="G380" i="11"/>
  <c r="H379" i="11"/>
  <c r="G379" i="11"/>
  <c r="H378" i="11"/>
  <c r="G378" i="11"/>
  <c r="H377" i="11"/>
  <c r="G377" i="11"/>
  <c r="H376" i="11"/>
  <c r="G376" i="11"/>
  <c r="H375" i="11"/>
  <c r="G375" i="11"/>
  <c r="H374" i="11"/>
  <c r="G374" i="11"/>
  <c r="H373" i="11"/>
  <c r="G373" i="11"/>
  <c r="H372" i="11"/>
  <c r="G372" i="11"/>
  <c r="H371" i="11"/>
  <c r="G371" i="11"/>
  <c r="H370" i="11"/>
  <c r="G370" i="11"/>
  <c r="F39" i="11" l="1"/>
  <c r="F38" i="11"/>
  <c r="H38" i="11"/>
  <c r="G38" i="11"/>
  <c r="K46" i="49"/>
  <c r="J46" i="49"/>
  <c r="F37" i="11" s="1"/>
  <c r="I46" i="49"/>
  <c r="G37" i="11"/>
  <c r="E38" i="11"/>
  <c r="E37" i="11"/>
  <c r="E36" i="11"/>
  <c r="I541" i="49" l="1"/>
  <c r="E541" i="49"/>
  <c r="F541" i="49" s="1"/>
  <c r="I540" i="49"/>
  <c r="E540" i="49"/>
  <c r="F540" i="49" s="1"/>
  <c r="I539" i="49"/>
  <c r="E539" i="49"/>
  <c r="F539" i="49" s="1"/>
  <c r="I538" i="49"/>
  <c r="E538" i="49"/>
  <c r="F538" i="49" s="1"/>
  <c r="I537" i="49"/>
  <c r="E537" i="49"/>
  <c r="F537" i="49" s="1"/>
  <c r="I536" i="49"/>
  <c r="E536" i="49"/>
  <c r="F536" i="49" s="1"/>
  <c r="I535" i="49"/>
  <c r="E535" i="49"/>
  <c r="F535" i="49" s="1"/>
  <c r="I534" i="49"/>
  <c r="E534" i="49"/>
  <c r="F534" i="49" s="1"/>
  <c r="I533" i="49"/>
  <c r="E533" i="49"/>
  <c r="F533" i="49" s="1"/>
  <c r="I532" i="49"/>
  <c r="E532" i="49"/>
  <c r="F532" i="49" s="1"/>
  <c r="I531" i="49"/>
  <c r="E531" i="49"/>
  <c r="F531" i="49" s="1"/>
  <c r="I530" i="49"/>
  <c r="E530" i="49"/>
  <c r="F530" i="49" s="1"/>
  <c r="I529" i="49"/>
  <c r="E529" i="49"/>
  <c r="F529" i="49" s="1"/>
  <c r="I528" i="49"/>
  <c r="E528" i="49"/>
  <c r="F528" i="49" s="1"/>
  <c r="I527" i="49"/>
  <c r="E527" i="49"/>
  <c r="F527" i="49" s="1"/>
  <c r="I526" i="49"/>
  <c r="E526" i="49"/>
  <c r="F526" i="49" s="1"/>
  <c r="I525" i="49"/>
  <c r="E525" i="49"/>
  <c r="F525" i="49" s="1"/>
  <c r="I524" i="49"/>
  <c r="E524" i="49"/>
  <c r="F524" i="49" s="1"/>
  <c r="I523" i="49"/>
  <c r="E523" i="49"/>
  <c r="F523" i="49" s="1"/>
  <c r="I522" i="49"/>
  <c r="E522" i="49"/>
  <c r="F522" i="49" s="1"/>
  <c r="I521" i="49"/>
  <c r="E521" i="49"/>
  <c r="F521" i="49" s="1"/>
  <c r="I520" i="49"/>
  <c r="E520" i="49"/>
  <c r="F520" i="49" s="1"/>
  <c r="I519" i="49"/>
  <c r="E519" i="49"/>
  <c r="F519" i="49" s="1"/>
  <c r="I518" i="49"/>
  <c r="E518" i="49"/>
  <c r="F518" i="49" s="1"/>
  <c r="K516" i="49"/>
  <c r="J516" i="49"/>
  <c r="I516" i="49"/>
  <c r="H516" i="49"/>
  <c r="F516" i="49"/>
  <c r="E516" i="49"/>
  <c r="D516" i="49"/>
  <c r="K515" i="49"/>
  <c r="J515" i="49"/>
  <c r="I515" i="49"/>
  <c r="H515" i="49"/>
  <c r="G515" i="49"/>
  <c r="F515" i="49"/>
  <c r="E515" i="49"/>
  <c r="D515" i="49"/>
  <c r="G514" i="49"/>
  <c r="I508" i="49"/>
  <c r="E508" i="49"/>
  <c r="F508" i="49" s="1"/>
  <c r="I507" i="49"/>
  <c r="E507" i="49"/>
  <c r="F507" i="49" s="1"/>
  <c r="I506" i="49"/>
  <c r="E506" i="49"/>
  <c r="F506" i="49" s="1"/>
  <c r="I505" i="49"/>
  <c r="E505" i="49"/>
  <c r="F505" i="49" s="1"/>
  <c r="I504" i="49"/>
  <c r="E504" i="49"/>
  <c r="F504" i="49" s="1"/>
  <c r="I503" i="49"/>
  <c r="E503" i="49"/>
  <c r="F503" i="49" s="1"/>
  <c r="I502" i="49"/>
  <c r="E502" i="49"/>
  <c r="F502" i="49" s="1"/>
  <c r="I501" i="49"/>
  <c r="E501" i="49"/>
  <c r="F501" i="49" s="1"/>
  <c r="I500" i="49"/>
  <c r="E500" i="49"/>
  <c r="F500" i="49" s="1"/>
  <c r="I499" i="49"/>
  <c r="E499" i="49"/>
  <c r="F499" i="49" s="1"/>
  <c r="I498" i="49"/>
  <c r="E498" i="49"/>
  <c r="F498" i="49" s="1"/>
  <c r="I497" i="49"/>
  <c r="E497" i="49"/>
  <c r="F497" i="49" s="1"/>
  <c r="I496" i="49"/>
  <c r="E496" i="49"/>
  <c r="F496" i="49" s="1"/>
  <c r="I495" i="49"/>
  <c r="E495" i="49"/>
  <c r="F495" i="49" s="1"/>
  <c r="I494" i="49"/>
  <c r="E494" i="49"/>
  <c r="F494" i="49" s="1"/>
  <c r="I493" i="49"/>
  <c r="E493" i="49"/>
  <c r="F493" i="49" s="1"/>
  <c r="I492" i="49"/>
  <c r="E492" i="49"/>
  <c r="F492" i="49" s="1"/>
  <c r="I491" i="49"/>
  <c r="E491" i="49"/>
  <c r="F491" i="49" s="1"/>
  <c r="I490" i="49"/>
  <c r="E490" i="49"/>
  <c r="F490" i="49" s="1"/>
  <c r="I489" i="49"/>
  <c r="E489" i="49"/>
  <c r="F489" i="49" s="1"/>
  <c r="I488" i="49"/>
  <c r="E488" i="49"/>
  <c r="F488" i="49" s="1"/>
  <c r="I487" i="49"/>
  <c r="E487" i="49"/>
  <c r="F487" i="49" s="1"/>
  <c r="I486" i="49"/>
  <c r="E486" i="49"/>
  <c r="F486" i="49" s="1"/>
  <c r="I485" i="49"/>
  <c r="E485" i="49"/>
  <c r="F485" i="49" s="1"/>
  <c r="K483" i="49"/>
  <c r="J483" i="49"/>
  <c r="I483" i="49"/>
  <c r="H483" i="49"/>
  <c r="F483" i="49"/>
  <c r="E483" i="49"/>
  <c r="D483" i="49"/>
  <c r="K482" i="49"/>
  <c r="J482" i="49"/>
  <c r="I482" i="49"/>
  <c r="H482" i="49"/>
  <c r="F482" i="49"/>
  <c r="E482" i="49"/>
  <c r="D482" i="49"/>
  <c r="G481" i="49"/>
  <c r="J518" i="49" l="1"/>
  <c r="K518" i="49" s="1"/>
  <c r="J519" i="49"/>
  <c r="J485" i="49"/>
  <c r="K485" i="49" s="1"/>
  <c r="J486" i="49"/>
  <c r="J520" i="49" l="1"/>
  <c r="K519" i="49"/>
  <c r="J487" i="49"/>
  <c r="K486" i="49"/>
  <c r="K520" i="49" l="1"/>
  <c r="J521" i="49"/>
  <c r="K487" i="49"/>
  <c r="J488" i="49"/>
  <c r="K521" i="49" l="1"/>
  <c r="J522" i="49"/>
  <c r="J489" i="49"/>
  <c r="K488" i="49"/>
  <c r="K522" i="49" l="1"/>
  <c r="J523" i="49"/>
  <c r="K489" i="49"/>
  <c r="J490" i="49"/>
  <c r="J524" i="49" l="1"/>
  <c r="K523" i="49"/>
  <c r="J491" i="49"/>
  <c r="K490" i="49"/>
  <c r="K524" i="49" l="1"/>
  <c r="J525" i="49"/>
  <c r="K491" i="49"/>
  <c r="J492" i="49"/>
  <c r="K525" i="49" l="1"/>
  <c r="J526" i="49"/>
  <c r="J493" i="49"/>
  <c r="K492" i="49"/>
  <c r="J527" i="49" l="1"/>
  <c r="K526" i="49"/>
  <c r="K493" i="49"/>
  <c r="J494" i="49"/>
  <c r="J528" i="49" l="1"/>
  <c r="K527" i="49"/>
  <c r="J495" i="49"/>
  <c r="K494" i="49"/>
  <c r="K528" i="49" l="1"/>
  <c r="J529" i="49"/>
  <c r="K495" i="49"/>
  <c r="J496" i="49"/>
  <c r="K529" i="49" l="1"/>
  <c r="J530" i="49"/>
  <c r="K496" i="49"/>
  <c r="J497" i="49"/>
  <c r="J531" i="49" l="1"/>
  <c r="K530" i="49"/>
  <c r="K497" i="49"/>
  <c r="J498" i="49"/>
  <c r="J532" i="49" l="1"/>
  <c r="K531" i="49"/>
  <c r="J499" i="49"/>
  <c r="K498" i="49"/>
  <c r="K532" i="49" l="1"/>
  <c r="J533" i="49"/>
  <c r="K499" i="49"/>
  <c r="J500" i="49"/>
  <c r="K533" i="49" l="1"/>
  <c r="J534" i="49"/>
  <c r="K500" i="49"/>
  <c r="J501" i="49"/>
  <c r="K534" i="49" l="1"/>
  <c r="J535" i="49"/>
  <c r="K501" i="49"/>
  <c r="J502" i="49"/>
  <c r="J536" i="49" l="1"/>
  <c r="K535" i="49"/>
  <c r="J503" i="49"/>
  <c r="K502" i="49"/>
  <c r="K536" i="49" l="1"/>
  <c r="J537" i="49"/>
  <c r="K503" i="49"/>
  <c r="J504" i="49"/>
  <c r="J538" i="49" l="1"/>
  <c r="K537" i="49"/>
  <c r="K504" i="49"/>
  <c r="J505" i="49"/>
  <c r="K538" i="49" l="1"/>
  <c r="J539" i="49"/>
  <c r="K505" i="49"/>
  <c r="J506" i="49"/>
  <c r="J540" i="49" l="1"/>
  <c r="K539" i="49"/>
  <c r="J507" i="49"/>
  <c r="K506" i="49"/>
  <c r="K540" i="49" l="1"/>
  <c r="J541" i="49"/>
  <c r="K541" i="49" s="1"/>
  <c r="K542" i="49" s="1"/>
  <c r="K507" i="49"/>
  <c r="J508" i="49"/>
  <c r="K508" i="49" s="1"/>
  <c r="K509" i="49" s="1"/>
  <c r="H14" i="86" l="1"/>
  <c r="E17" i="66"/>
  <c r="G178" i="1"/>
  <c r="N40" i="61" l="1"/>
  <c r="J40" i="61"/>
  <c r="M40" i="61" s="1"/>
  <c r="G40" i="61"/>
  <c r="I40" i="61" s="1"/>
  <c r="N41" i="61"/>
  <c r="J41" i="61"/>
  <c r="M41" i="61" s="1"/>
  <c r="G41" i="61"/>
  <c r="I41" i="61" s="1"/>
  <c r="N39" i="61"/>
  <c r="J39" i="61"/>
  <c r="M39" i="61" s="1"/>
  <c r="G39" i="61"/>
  <c r="I39" i="61" s="1"/>
  <c r="G241" i="61" l="1"/>
  <c r="E252" i="61" l="1"/>
  <c r="E42" i="61" l="1"/>
  <c r="E106" i="15" l="1"/>
  <c r="E105" i="15"/>
  <c r="E103" i="15"/>
  <c r="G44" i="15" l="1"/>
  <c r="E43" i="15"/>
  <c r="E42" i="15"/>
  <c r="E41" i="15"/>
  <c r="E40" i="15"/>
  <c r="E39" i="15"/>
  <c r="H39" i="15" s="1"/>
  <c r="E38" i="15"/>
  <c r="E37" i="15"/>
  <c r="H36" i="15"/>
  <c r="E36" i="15"/>
  <c r="G35" i="15"/>
  <c r="E35" i="15"/>
  <c r="E34" i="15"/>
  <c r="H34" i="15" s="1"/>
  <c r="E33" i="15"/>
  <c r="H33" i="15" s="1"/>
  <c r="H32" i="15"/>
  <c r="E32" i="15"/>
  <c r="E31" i="15"/>
  <c r="G31" i="15" s="1"/>
  <c r="E125" i="15"/>
  <c r="E124" i="15"/>
  <c r="E123" i="15"/>
  <c r="A123" i="15"/>
  <c r="A124" i="15" s="1"/>
  <c r="A125" i="15" s="1"/>
  <c r="A126" i="15" s="1"/>
  <c r="E122" i="15"/>
  <c r="E108" i="15"/>
  <c r="E107" i="15"/>
  <c r="G106" i="15"/>
  <c r="H105" i="15"/>
  <c r="E104" i="15"/>
  <c r="G103" i="15"/>
  <c r="E102" i="15"/>
  <c r="F101" i="15"/>
  <c r="A101" i="15"/>
  <c r="A102" i="15" s="1"/>
  <c r="A103" i="15" s="1"/>
  <c r="A104" i="15" s="1"/>
  <c r="A105" i="15" s="1"/>
  <c r="A106" i="15" s="1"/>
  <c r="A107" i="15" s="1"/>
  <c r="A108" i="15" s="1"/>
  <c r="A109" i="15" s="1"/>
  <c r="E100" i="15"/>
  <c r="E83" i="15"/>
  <c r="E82" i="15"/>
  <c r="E81" i="15"/>
  <c r="E80" i="15"/>
  <c r="A80" i="15"/>
  <c r="A81" i="15" s="1"/>
  <c r="A82" i="15" s="1"/>
  <c r="A83" i="15" s="1"/>
  <c r="A84" i="15" s="1"/>
  <c r="F79" i="15"/>
  <c r="E62" i="15"/>
  <c r="E61" i="15"/>
  <c r="E60" i="15"/>
  <c r="E59" i="15"/>
  <c r="A59" i="15"/>
  <c r="A60" i="15" s="1"/>
  <c r="A61" i="15" s="1"/>
  <c r="A62" i="15" s="1"/>
  <c r="A63" i="15" s="1"/>
  <c r="E58" i="15"/>
  <c r="A32" i="15"/>
  <c r="A33" i="15" s="1"/>
  <c r="A34" i="15" s="1"/>
  <c r="A35" i="15" s="1"/>
  <c r="A36" i="15" s="1"/>
  <c r="A37" i="15" s="1"/>
  <c r="A38" i="15" s="1"/>
  <c r="A39" i="15" s="1"/>
  <c r="A40" i="15" s="1"/>
  <c r="A41" i="15" s="1"/>
  <c r="A42" i="15" s="1"/>
  <c r="A43" i="15" s="1"/>
  <c r="A44" i="15" s="1"/>
  <c r="A45" i="15" s="1"/>
  <c r="E9" i="26" l="1"/>
  <c r="E21" i="26"/>
  <c r="G149" i="15"/>
  <c r="G157" i="15"/>
  <c r="C42" i="56" l="1"/>
  <c r="C28" i="56"/>
  <c r="C26" i="56"/>
  <c r="C17" i="56"/>
  <c r="C12" i="56"/>
  <c r="L21" i="82"/>
  <c r="G12" i="86" l="1"/>
  <c r="H11" i="86"/>
  <c r="I50" i="72"/>
  <c r="F45" i="26" l="1"/>
  <c r="D45" i="26" s="1"/>
  <c r="L138" i="4" l="1"/>
  <c r="L137" i="4"/>
  <c r="N47" i="61" l="1"/>
  <c r="J47" i="61"/>
  <c r="M47" i="61" s="1"/>
  <c r="G47" i="61"/>
  <c r="I47" i="61" s="1"/>
  <c r="N38" i="61"/>
  <c r="N37" i="61"/>
  <c r="N36" i="61"/>
  <c r="N35" i="61"/>
  <c r="J38" i="61"/>
  <c r="M38" i="61" s="1"/>
  <c r="G38" i="61"/>
  <c r="I38" i="61" s="1"/>
  <c r="J37" i="61"/>
  <c r="M37" i="61" s="1"/>
  <c r="G37" i="61"/>
  <c r="I37" i="61" s="1"/>
  <c r="J36" i="61"/>
  <c r="M36" i="61" s="1"/>
  <c r="G36" i="61"/>
  <c r="I36" i="61" s="1"/>
  <c r="J35" i="61"/>
  <c r="M35" i="61" s="1"/>
  <c r="G35" i="61"/>
  <c r="I35" i="61" s="1"/>
  <c r="N84" i="61" l="1"/>
  <c r="J84" i="61" l="1"/>
  <c r="G84" i="61"/>
  <c r="I84" i="61" s="1"/>
  <c r="L87" i="61"/>
  <c r="E87" i="61"/>
  <c r="M84" i="61" l="1"/>
  <c r="D54" i="15"/>
  <c r="E25" i="12"/>
  <c r="G20" i="46" l="1"/>
  <c r="N186" i="61" l="1"/>
  <c r="J186" i="61"/>
  <c r="M186" i="61" s="1"/>
  <c r="G186" i="61"/>
  <c r="I186" i="61" s="1"/>
  <c r="N157" i="61"/>
  <c r="N156" i="61"/>
  <c r="N155" i="61"/>
  <c r="N154" i="61"/>
  <c r="J157" i="61"/>
  <c r="M157" i="61" s="1"/>
  <c r="J156" i="61"/>
  <c r="M156" i="61" s="1"/>
  <c r="J155" i="61"/>
  <c r="M155" i="61" s="1"/>
  <c r="J154" i="61"/>
  <c r="M154" i="61" s="1"/>
  <c r="J153" i="61"/>
  <c r="M153" i="61" s="1"/>
  <c r="G153" i="61"/>
  <c r="I153" i="61" s="1"/>
  <c r="J152" i="61"/>
  <c r="M152" i="61" s="1"/>
  <c r="G152" i="61"/>
  <c r="I152" i="61" s="1"/>
  <c r="N46" i="61"/>
  <c r="H129" i="15" l="1"/>
  <c r="G129" i="15"/>
  <c r="F129" i="15"/>
  <c r="E129" i="15"/>
  <c r="D129" i="15"/>
  <c r="H118" i="15"/>
  <c r="G118" i="15"/>
  <c r="F118" i="15"/>
  <c r="E118" i="15"/>
  <c r="D118" i="15"/>
  <c r="H87" i="15"/>
  <c r="G87" i="15"/>
  <c r="F87" i="15"/>
  <c r="F89" i="15" s="1"/>
  <c r="E87" i="15"/>
  <c r="D87" i="15"/>
  <c r="H66" i="15"/>
  <c r="G66" i="15"/>
  <c r="F66" i="15"/>
  <c r="E66" i="15"/>
  <c r="D66" i="15"/>
  <c r="H54" i="15"/>
  <c r="G54" i="15"/>
  <c r="F54" i="15"/>
  <c r="E54" i="15"/>
  <c r="G150" i="15"/>
  <c r="G158" i="15"/>
  <c r="N31" i="61"/>
  <c r="N32" i="61"/>
  <c r="N33" i="61"/>
  <c r="F108" i="85"/>
  <c r="E108" i="85"/>
  <c r="G17" i="85"/>
  <c r="G97" i="85"/>
  <c r="D102" i="85"/>
  <c r="G102" i="85" s="1"/>
  <c r="E249" i="61" s="1"/>
  <c r="N249" i="61" s="1"/>
  <c r="N251" i="61" s="1"/>
  <c r="L11" i="46"/>
  <c r="D74" i="46" s="1"/>
  <c r="E6" i="66"/>
  <c r="E41" i="30"/>
  <c r="D22" i="30" s="1"/>
  <c r="L251" i="61"/>
  <c r="H251" i="61"/>
  <c r="J249" i="61"/>
  <c r="J251" i="61" s="1"/>
  <c r="G249" i="61"/>
  <c r="I249" i="61" s="1"/>
  <c r="I251" i="61" s="1"/>
  <c r="H9" i="26"/>
  <c r="D49" i="85"/>
  <c r="G49" i="85" s="1"/>
  <c r="G86" i="85"/>
  <c r="F181" i="1" s="1"/>
  <c r="H181" i="1" s="1"/>
  <c r="K47" i="1" s="1"/>
  <c r="G85" i="85"/>
  <c r="F180" i="1" s="1"/>
  <c r="H180" i="1" s="1"/>
  <c r="K46" i="1" s="1"/>
  <c r="B125" i="46"/>
  <c r="H20" i="26"/>
  <c r="H19" i="26"/>
  <c r="H18" i="26"/>
  <c r="H17" i="26"/>
  <c r="H16" i="26"/>
  <c r="H15" i="26"/>
  <c r="H14" i="26"/>
  <c r="H13" i="26"/>
  <c r="H12" i="26"/>
  <c r="H11" i="26"/>
  <c r="H10" i="26"/>
  <c r="H8" i="26"/>
  <c r="H7" i="26"/>
  <c r="G101" i="85"/>
  <c r="G100" i="85"/>
  <c r="G99" i="85"/>
  <c r="G98" i="85"/>
  <c r="G90" i="85"/>
  <c r="F185" i="1" s="1"/>
  <c r="H185" i="1" s="1"/>
  <c r="K51" i="1" s="1"/>
  <c r="G89" i="85"/>
  <c r="G88" i="85"/>
  <c r="G87" i="85"/>
  <c r="F182" i="1" s="1"/>
  <c r="H182" i="1" s="1"/>
  <c r="K48" i="1" s="1"/>
  <c r="G84" i="85"/>
  <c r="F179" i="1" s="1"/>
  <c r="H179" i="1" s="1"/>
  <c r="K45" i="1" s="1"/>
  <c r="G76" i="85"/>
  <c r="G68" i="85"/>
  <c r="G67" i="85"/>
  <c r="G66" i="85"/>
  <c r="G65" i="85"/>
  <c r="G64" i="85"/>
  <c r="G63" i="85"/>
  <c r="G62" i="85"/>
  <c r="G61" i="85"/>
  <c r="G60" i="85"/>
  <c r="G59" i="85"/>
  <c r="G58" i="85"/>
  <c r="G57" i="85"/>
  <c r="G56" i="85"/>
  <c r="G55" i="85"/>
  <c r="G47" i="85"/>
  <c r="J42" i="46"/>
  <c r="M42" i="46" s="1"/>
  <c r="E105" i="46" s="1"/>
  <c r="G46" i="85"/>
  <c r="J40" i="46" s="1"/>
  <c r="M40" i="46" s="1"/>
  <c r="E103" i="46" s="1"/>
  <c r="G45" i="85"/>
  <c r="J39" i="46" s="1"/>
  <c r="M39" i="46" s="1"/>
  <c r="E102" i="46" s="1"/>
  <c r="I102" i="46" s="1"/>
  <c r="G44" i="85"/>
  <c r="J38" i="46" s="1"/>
  <c r="M38" i="46" s="1"/>
  <c r="E101" i="46" s="1"/>
  <c r="G43" i="85"/>
  <c r="J37" i="46" s="1"/>
  <c r="M37" i="46" s="1"/>
  <c r="E100" i="46" s="1"/>
  <c r="I100" i="46" s="1"/>
  <c r="G42" i="85"/>
  <c r="J36" i="46" s="1"/>
  <c r="M36" i="46" s="1"/>
  <c r="E99" i="46" s="1"/>
  <c r="G41" i="85"/>
  <c r="J35" i="46" s="1"/>
  <c r="M35" i="46" s="1"/>
  <c r="E98" i="46" s="1"/>
  <c r="I98" i="46" s="1"/>
  <c r="G40" i="85"/>
  <c r="J34" i="46" s="1"/>
  <c r="M34" i="46" s="1"/>
  <c r="E97" i="46" s="1"/>
  <c r="G39" i="85"/>
  <c r="J33" i="46" s="1"/>
  <c r="M33" i="46" s="1"/>
  <c r="E96" i="46" s="1"/>
  <c r="I96" i="46" s="1"/>
  <c r="G38" i="85"/>
  <c r="J32" i="46" s="1"/>
  <c r="M32" i="46" s="1"/>
  <c r="E95" i="46" s="1"/>
  <c r="G37" i="85"/>
  <c r="J31" i="46" s="1"/>
  <c r="M31" i="46" s="1"/>
  <c r="E94" i="46" s="1"/>
  <c r="I94" i="46" s="1"/>
  <c r="G36" i="85"/>
  <c r="J30" i="46" s="1"/>
  <c r="M30" i="46" s="1"/>
  <c r="E93" i="46" s="1"/>
  <c r="G35" i="85"/>
  <c r="J29" i="46" s="1"/>
  <c r="M29" i="46" s="1"/>
  <c r="E92" i="46" s="1"/>
  <c r="I92" i="46" s="1"/>
  <c r="G34" i="85"/>
  <c r="J28" i="46" s="1"/>
  <c r="M28" i="46" s="1"/>
  <c r="E91" i="46" s="1"/>
  <c r="I91" i="46" s="1"/>
  <c r="G33" i="85"/>
  <c r="J27" i="46" s="1"/>
  <c r="M27" i="46" s="1"/>
  <c r="G32" i="85"/>
  <c r="J26" i="46" s="1"/>
  <c r="M26" i="46" s="1"/>
  <c r="E89" i="46" s="1"/>
  <c r="I89" i="46" s="1"/>
  <c r="G31" i="85"/>
  <c r="J25" i="46" s="1"/>
  <c r="M25" i="46" s="1"/>
  <c r="E88" i="46" s="1"/>
  <c r="I88" i="46" s="1"/>
  <c r="G30" i="85"/>
  <c r="J24" i="46" s="1"/>
  <c r="M24" i="46" s="1"/>
  <c r="E87" i="46" s="1"/>
  <c r="G29" i="85"/>
  <c r="J23" i="46" s="1"/>
  <c r="M23" i="46" s="1"/>
  <c r="E86" i="46" s="1"/>
  <c r="I86" i="46" s="1"/>
  <c r="G28" i="85"/>
  <c r="J22" i="46" s="1"/>
  <c r="M22" i="46" s="1"/>
  <c r="E85" i="46" s="1"/>
  <c r="I85" i="46" s="1"/>
  <c r="G27" i="85"/>
  <c r="J21" i="46" s="1"/>
  <c r="M21" i="46" s="1"/>
  <c r="E84" i="46" s="1"/>
  <c r="I84" i="46" s="1"/>
  <c r="G26" i="85"/>
  <c r="J20" i="46" s="1"/>
  <c r="M20" i="46" s="1"/>
  <c r="E83" i="46" s="1"/>
  <c r="G25" i="85"/>
  <c r="J19" i="46" s="1"/>
  <c r="M19" i="46" s="1"/>
  <c r="E82" i="46" s="1"/>
  <c r="G24" i="85"/>
  <c r="J18" i="46" s="1"/>
  <c r="M18" i="46" s="1"/>
  <c r="E81" i="46" s="1"/>
  <c r="I81" i="46" s="1"/>
  <c r="G23" i="85"/>
  <c r="J17" i="46" s="1"/>
  <c r="M17" i="46" s="1"/>
  <c r="E80" i="46" s="1"/>
  <c r="I80" i="46" s="1"/>
  <c r="G22" i="85"/>
  <c r="J16" i="46" s="1"/>
  <c r="M16" i="46" s="1"/>
  <c r="E79" i="46" s="1"/>
  <c r="G21" i="85"/>
  <c r="J15" i="46"/>
  <c r="M15" i="46" s="1"/>
  <c r="E78" i="46" s="1"/>
  <c r="I78" i="46" s="1"/>
  <c r="G20" i="85"/>
  <c r="J14" i="46"/>
  <c r="M14" i="46" s="1"/>
  <c r="E77" i="46" s="1"/>
  <c r="I77" i="46" s="1"/>
  <c r="G19" i="85"/>
  <c r="J13" i="46" s="1"/>
  <c r="M13" i="46" s="1"/>
  <c r="E76" i="46" s="1"/>
  <c r="G18" i="85"/>
  <c r="J12" i="46" s="1"/>
  <c r="J11" i="46"/>
  <c r="M11" i="46" s="1"/>
  <c r="E74" i="46" s="1"/>
  <c r="F70" i="85"/>
  <c r="E70" i="85"/>
  <c r="F49" i="85"/>
  <c r="E49" i="85"/>
  <c r="F77" i="85"/>
  <c r="E77" i="85"/>
  <c r="F102" i="85"/>
  <c r="E102" i="85"/>
  <c r="F91" i="85"/>
  <c r="E91" i="85"/>
  <c r="D70" i="85"/>
  <c r="G70" i="85" s="1"/>
  <c r="D77" i="85"/>
  <c r="G77" i="85" s="1"/>
  <c r="F178" i="1" s="1"/>
  <c r="H178" i="1" s="1"/>
  <c r="K39" i="1" s="1"/>
  <c r="D91" i="85"/>
  <c r="G91" i="85" s="1"/>
  <c r="A6" i="85"/>
  <c r="A7" i="85"/>
  <c r="A8" i="85"/>
  <c r="A17" i="85"/>
  <c r="F183" i="1"/>
  <c r="H183" i="1" s="1"/>
  <c r="K49" i="1" s="1"/>
  <c r="F184" i="1"/>
  <c r="H184" i="1" s="1"/>
  <c r="K50" i="1" s="1"/>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A55" i="85"/>
  <c r="A56" i="85"/>
  <c r="A57" i="85"/>
  <c r="A58" i="85"/>
  <c r="A59" i="85"/>
  <c r="A60" i="85"/>
  <c r="A61" i="85"/>
  <c r="A62" i="85"/>
  <c r="A63" i="85"/>
  <c r="A64" i="85"/>
  <c r="A65" i="85"/>
  <c r="A66" i="85"/>
  <c r="A67" i="85"/>
  <c r="A68" i="85"/>
  <c r="A69" i="85"/>
  <c r="A70" i="85"/>
  <c r="A76" i="85"/>
  <c r="A77" i="85"/>
  <c r="A84" i="85"/>
  <c r="A85" i="85"/>
  <c r="A86" i="85"/>
  <c r="A87" i="85"/>
  <c r="A88" i="85"/>
  <c r="A89" i="85"/>
  <c r="A90" i="85"/>
  <c r="A91" i="85"/>
  <c r="E28" i="53"/>
  <c r="H130" i="53"/>
  <c r="J14" i="53"/>
  <c r="N221" i="61"/>
  <c r="N222" i="61"/>
  <c r="N223" i="61"/>
  <c r="N224" i="61"/>
  <c r="N225" i="61"/>
  <c r="N226" i="61"/>
  <c r="N227" i="61"/>
  <c r="N228" i="61"/>
  <c r="N229" i="61"/>
  <c r="G221" i="61"/>
  <c r="I221" i="61" s="1"/>
  <c r="J221" i="61"/>
  <c r="M221" i="61" s="1"/>
  <c r="G222" i="61"/>
  <c r="I222" i="61" s="1"/>
  <c r="J222" i="61"/>
  <c r="M222" i="61" s="1"/>
  <c r="G223" i="61"/>
  <c r="I223" i="61" s="1"/>
  <c r="J223" i="61"/>
  <c r="M223" i="61" s="1"/>
  <c r="G224" i="61"/>
  <c r="I224" i="61" s="1"/>
  <c r="J224" i="61"/>
  <c r="M224" i="61" s="1"/>
  <c r="G225" i="61"/>
  <c r="I225" i="61" s="1"/>
  <c r="J225" i="61"/>
  <c r="M225" i="61" s="1"/>
  <c r="G226" i="61"/>
  <c r="I226" i="61" s="1"/>
  <c r="J226" i="61"/>
  <c r="M226" i="61" s="1"/>
  <c r="G227" i="61"/>
  <c r="I227" i="61" s="1"/>
  <c r="J227" i="61"/>
  <c r="M227" i="61" s="1"/>
  <c r="G228" i="61"/>
  <c r="I228" i="61" s="1"/>
  <c r="J228" i="61"/>
  <c r="M228" i="61" s="1"/>
  <c r="G229" i="61"/>
  <c r="I229" i="61" s="1"/>
  <c r="J229" i="61"/>
  <c r="M229" i="61" s="1"/>
  <c r="J151" i="61"/>
  <c r="M151" i="61" s="1"/>
  <c r="G151" i="61"/>
  <c r="I151" i="61" s="1"/>
  <c r="N83" i="61"/>
  <c r="J83" i="61"/>
  <c r="M83" i="61" s="1"/>
  <c r="G83" i="61"/>
  <c r="I83" i="61" s="1"/>
  <c r="N82" i="61"/>
  <c r="J82" i="61"/>
  <c r="M82" i="61" s="1"/>
  <c r="G82" i="61"/>
  <c r="I82" i="61" s="1"/>
  <c r="J46" i="61"/>
  <c r="M46" i="61" s="1"/>
  <c r="G46" i="61"/>
  <c r="I46" i="61" s="1"/>
  <c r="N45" i="61"/>
  <c r="N50" i="61" s="1"/>
  <c r="J45" i="61"/>
  <c r="M45" i="61" s="1"/>
  <c r="G45" i="61"/>
  <c r="N34" i="61"/>
  <c r="J34" i="61"/>
  <c r="M34" i="61" s="1"/>
  <c r="G34" i="61"/>
  <c r="I34" i="61" s="1"/>
  <c r="J33" i="61"/>
  <c r="M33" i="61" s="1"/>
  <c r="G33" i="61"/>
  <c r="I33" i="61" s="1"/>
  <c r="J32" i="61"/>
  <c r="M32" i="61" s="1"/>
  <c r="G32" i="61"/>
  <c r="I32" i="61" s="1"/>
  <c r="J31" i="61"/>
  <c r="M31" i="61" s="1"/>
  <c r="G31" i="61"/>
  <c r="I31" i="61" s="1"/>
  <c r="E86" i="4"/>
  <c r="A116" i="15"/>
  <c r="J54" i="49"/>
  <c r="F86" i="4"/>
  <c r="F104" i="4" s="1"/>
  <c r="G86" i="4"/>
  <c r="G104" i="4" s="1"/>
  <c r="H86" i="4"/>
  <c r="I86" i="4"/>
  <c r="I104" i="4" s="1"/>
  <c r="J86" i="4"/>
  <c r="J104" i="4" s="1"/>
  <c r="K86" i="4"/>
  <c r="L86" i="4"/>
  <c r="H89" i="65"/>
  <c r="G89" i="65"/>
  <c r="F89" i="65"/>
  <c r="E89" i="65"/>
  <c r="D89" i="65"/>
  <c r="C89" i="65"/>
  <c r="A184" i="71"/>
  <c r="A185" i="71"/>
  <c r="A186" i="71"/>
  <c r="E20" i="71"/>
  <c r="D20" i="71"/>
  <c r="H363" i="11"/>
  <c r="G363" i="11"/>
  <c r="H362" i="11"/>
  <c r="G362" i="11"/>
  <c r="H361" i="11"/>
  <c r="G361" i="11"/>
  <c r="H360" i="11"/>
  <c r="G360" i="11"/>
  <c r="H359" i="11"/>
  <c r="G359" i="11"/>
  <c r="H358" i="11"/>
  <c r="G358" i="11"/>
  <c r="H357" i="11"/>
  <c r="G357" i="11"/>
  <c r="H356" i="11"/>
  <c r="G356" i="11"/>
  <c r="H355" i="11"/>
  <c r="G355" i="11"/>
  <c r="H354" i="11"/>
  <c r="G354" i="11"/>
  <c r="H353" i="11"/>
  <c r="G353" i="11"/>
  <c r="H352" i="11"/>
  <c r="G352" i="11"/>
  <c r="H351" i="11"/>
  <c r="G351" i="11"/>
  <c r="J418" i="49"/>
  <c r="I475" i="49"/>
  <c r="E475" i="49"/>
  <c r="F475" i="49" s="1"/>
  <c r="I474" i="49"/>
  <c r="E474" i="49"/>
  <c r="F474" i="49" s="1"/>
  <c r="I473" i="49"/>
  <c r="E473" i="49"/>
  <c r="F473" i="49" s="1"/>
  <c r="I472" i="49"/>
  <c r="E472" i="49"/>
  <c r="F472" i="49" s="1"/>
  <c r="I471" i="49"/>
  <c r="E471" i="49"/>
  <c r="F471" i="49" s="1"/>
  <c r="I470" i="49"/>
  <c r="E470" i="49"/>
  <c r="F470" i="49" s="1"/>
  <c r="I469" i="49"/>
  <c r="E469" i="49"/>
  <c r="F469" i="49" s="1"/>
  <c r="I468" i="49"/>
  <c r="E468" i="49"/>
  <c r="F468" i="49" s="1"/>
  <c r="I467" i="49"/>
  <c r="E467" i="49"/>
  <c r="F467" i="49" s="1"/>
  <c r="I466" i="49"/>
  <c r="E466" i="49"/>
  <c r="F466" i="49" s="1"/>
  <c r="I465" i="49"/>
  <c r="E465" i="49"/>
  <c r="F465" i="49" s="1"/>
  <c r="I464" i="49"/>
  <c r="E464" i="49"/>
  <c r="F464" i="49" s="1"/>
  <c r="I463" i="49"/>
  <c r="E463" i="49"/>
  <c r="F463" i="49" s="1"/>
  <c r="I462" i="49"/>
  <c r="E462" i="49"/>
  <c r="F462" i="49" s="1"/>
  <c r="I461" i="49"/>
  <c r="E461" i="49"/>
  <c r="F461" i="49" s="1"/>
  <c r="I460" i="49"/>
  <c r="E460" i="49"/>
  <c r="F460" i="49" s="1"/>
  <c r="I459" i="49"/>
  <c r="E459" i="49"/>
  <c r="F459" i="49" s="1"/>
  <c r="I458" i="49"/>
  <c r="E458" i="49"/>
  <c r="F458" i="49" s="1"/>
  <c r="I457" i="49"/>
  <c r="E457" i="49"/>
  <c r="F457" i="49" s="1"/>
  <c r="I456" i="49"/>
  <c r="E456" i="49"/>
  <c r="F456" i="49" s="1"/>
  <c r="I455" i="49"/>
  <c r="E455" i="49"/>
  <c r="F455" i="49" s="1"/>
  <c r="I454" i="49"/>
  <c r="E454" i="49"/>
  <c r="F454" i="49" s="1"/>
  <c r="I453" i="49"/>
  <c r="E453" i="49"/>
  <c r="F453" i="49" s="1"/>
  <c r="I452" i="49"/>
  <c r="E452" i="49"/>
  <c r="F452" i="49" s="1"/>
  <c r="K450" i="49"/>
  <c r="J450" i="49"/>
  <c r="I450" i="49"/>
  <c r="H450" i="49"/>
  <c r="F450" i="49"/>
  <c r="E450" i="49"/>
  <c r="D450" i="49"/>
  <c r="K449" i="49"/>
  <c r="J449" i="49"/>
  <c r="I449" i="49"/>
  <c r="H449" i="49"/>
  <c r="F449" i="49"/>
  <c r="E449" i="49"/>
  <c r="D449" i="49"/>
  <c r="F36" i="11"/>
  <c r="L160" i="61"/>
  <c r="G77" i="48"/>
  <c r="H77" i="48" s="1"/>
  <c r="H14" i="48" s="1"/>
  <c r="G78" i="48"/>
  <c r="H78" i="48" s="1"/>
  <c r="H15" i="48" s="1"/>
  <c r="G79" i="48"/>
  <c r="H79" i="48" s="1"/>
  <c r="H16" i="48" s="1"/>
  <c r="G80" i="48"/>
  <c r="H80" i="48" s="1"/>
  <c r="I80" i="48" s="1"/>
  <c r="G81" i="48"/>
  <c r="H81" i="48" s="1"/>
  <c r="G82" i="48"/>
  <c r="H82" i="48" s="1"/>
  <c r="H19" i="48" s="1"/>
  <c r="G83" i="48"/>
  <c r="G84" i="48"/>
  <c r="G85" i="48"/>
  <c r="H85" i="48" s="1"/>
  <c r="H22" i="48" s="1"/>
  <c r="G86" i="48"/>
  <c r="H86" i="48" s="1"/>
  <c r="H23" i="48" s="1"/>
  <c r="G87" i="48"/>
  <c r="H87" i="48" s="1"/>
  <c r="G88" i="48"/>
  <c r="H88" i="48" s="1"/>
  <c r="I88" i="48" s="1"/>
  <c r="G89" i="48"/>
  <c r="G90" i="48"/>
  <c r="H90" i="48" s="1"/>
  <c r="G91" i="48"/>
  <c r="H91" i="48" s="1"/>
  <c r="G92" i="48"/>
  <c r="H92" i="48" s="1"/>
  <c r="I92" i="48" s="1"/>
  <c r="G93" i="48"/>
  <c r="G94" i="48"/>
  <c r="H94" i="48" s="1"/>
  <c r="G95" i="48"/>
  <c r="H95" i="48" s="1"/>
  <c r="G96" i="48"/>
  <c r="H96" i="48" s="1"/>
  <c r="H33" i="48" s="1"/>
  <c r="G97" i="48"/>
  <c r="H97" i="48" s="1"/>
  <c r="G98" i="48"/>
  <c r="G99" i="48"/>
  <c r="H99" i="48" s="1"/>
  <c r="H36" i="48" s="1"/>
  <c r="H83" i="48"/>
  <c r="I83" i="48" s="1"/>
  <c r="M76" i="48"/>
  <c r="H46" i="49"/>
  <c r="E18" i="71" s="1"/>
  <c r="N183" i="61"/>
  <c r="N184" i="61"/>
  <c r="N185" i="61"/>
  <c r="F25" i="65"/>
  <c r="H24" i="65"/>
  <c r="J24" i="65" s="1"/>
  <c r="L24" i="65" s="1"/>
  <c r="N30" i="61"/>
  <c r="J30" i="61"/>
  <c r="M30" i="61" s="1"/>
  <c r="G30" i="61"/>
  <c r="I30" i="61" s="1"/>
  <c r="L232" i="61"/>
  <c r="E232" i="61"/>
  <c r="E233" i="61" s="1"/>
  <c r="J185" i="61"/>
  <c r="M185" i="61" s="1"/>
  <c r="G185" i="61"/>
  <c r="I185" i="61" s="1"/>
  <c r="J184" i="61"/>
  <c r="M184" i="61" s="1"/>
  <c r="G184" i="61"/>
  <c r="I184" i="61" s="1"/>
  <c r="J183" i="61"/>
  <c r="M183" i="61" s="1"/>
  <c r="G183" i="61"/>
  <c r="I183" i="61" s="1"/>
  <c r="J81" i="61"/>
  <c r="M81" i="61" s="1"/>
  <c r="G81" i="61"/>
  <c r="I81" i="61" s="1"/>
  <c r="N150" i="61"/>
  <c r="N149" i="61"/>
  <c r="J150" i="61"/>
  <c r="M150" i="61" s="1"/>
  <c r="J149" i="61"/>
  <c r="M149" i="61" s="1"/>
  <c r="J148" i="61"/>
  <c r="M148" i="61" s="1"/>
  <c r="G148" i="61"/>
  <c r="I148" i="61" s="1"/>
  <c r="J147" i="61"/>
  <c r="M147" i="61" s="1"/>
  <c r="G147" i="61"/>
  <c r="I147" i="61" s="1"/>
  <c r="N81" i="61"/>
  <c r="N80" i="61"/>
  <c r="J80" i="61"/>
  <c r="M80" i="61" s="1"/>
  <c r="G80" i="61"/>
  <c r="I80" i="61" s="1"/>
  <c r="N29" i="61"/>
  <c r="N28" i="61"/>
  <c r="G27" i="61"/>
  <c r="J29" i="61"/>
  <c r="M29" i="61" s="1"/>
  <c r="G29" i="61"/>
  <c r="I29" i="61" s="1"/>
  <c r="J28" i="61"/>
  <c r="M28" i="61" s="1"/>
  <c r="G28" i="61"/>
  <c r="I28" i="61" s="1"/>
  <c r="N220" i="61"/>
  <c r="N219" i="61"/>
  <c r="G219" i="61"/>
  <c r="I219" i="61" s="1"/>
  <c r="J219" i="61"/>
  <c r="M219" i="61" s="1"/>
  <c r="G220" i="61"/>
  <c r="I220" i="61" s="1"/>
  <c r="J220" i="61"/>
  <c r="M220" i="61" s="1"/>
  <c r="H344" i="11"/>
  <c r="G344" i="11"/>
  <c r="H343" i="11"/>
  <c r="G343" i="11"/>
  <c r="H342" i="11"/>
  <c r="G342" i="11"/>
  <c r="H341" i="11"/>
  <c r="G341" i="11"/>
  <c r="H340" i="11"/>
  <c r="G340" i="11"/>
  <c r="H339" i="11"/>
  <c r="G339" i="11"/>
  <c r="H338" i="11"/>
  <c r="G338" i="11"/>
  <c r="H337" i="11"/>
  <c r="G337" i="11"/>
  <c r="H336" i="11"/>
  <c r="G336" i="11"/>
  <c r="H335" i="11"/>
  <c r="G335" i="11"/>
  <c r="H334" i="11"/>
  <c r="G334" i="11"/>
  <c r="H333" i="11"/>
  <c r="G333" i="11"/>
  <c r="H332" i="11"/>
  <c r="G332" i="11"/>
  <c r="F68" i="48"/>
  <c r="F36" i="48" s="1"/>
  <c r="E68" i="48"/>
  <c r="E36" i="48" s="1"/>
  <c r="F67" i="48"/>
  <c r="F35" i="48" s="1"/>
  <c r="E67" i="48"/>
  <c r="E35" i="48" s="1"/>
  <c r="F66" i="48"/>
  <c r="F34" i="48" s="1"/>
  <c r="E66" i="48"/>
  <c r="E34" i="48" s="1"/>
  <c r="F65" i="48"/>
  <c r="F33" i="48" s="1"/>
  <c r="E65" i="48"/>
  <c r="E33" i="48" s="1"/>
  <c r="F64" i="48"/>
  <c r="F32" i="48" s="1"/>
  <c r="E64" i="48"/>
  <c r="E32" i="48" s="1"/>
  <c r="F63" i="48"/>
  <c r="F31" i="48" s="1"/>
  <c r="E63" i="48"/>
  <c r="E31" i="48" s="1"/>
  <c r="F62" i="48"/>
  <c r="F30" i="48" s="1"/>
  <c r="E62" i="48"/>
  <c r="E30" i="48" s="1"/>
  <c r="F61" i="48"/>
  <c r="F29" i="48" s="1"/>
  <c r="E61" i="48"/>
  <c r="E29" i="48" s="1"/>
  <c r="F60" i="48"/>
  <c r="F28" i="48" s="1"/>
  <c r="E60" i="48"/>
  <c r="E28" i="48" s="1"/>
  <c r="F59" i="48"/>
  <c r="F27" i="48" s="1"/>
  <c r="E59" i="48"/>
  <c r="E27" i="48" s="1"/>
  <c r="F58" i="48"/>
  <c r="F26" i="48" s="1"/>
  <c r="E58" i="48"/>
  <c r="E26" i="48" s="1"/>
  <c r="F57" i="48"/>
  <c r="F25" i="48" s="1"/>
  <c r="E57" i="48"/>
  <c r="E25" i="48" s="1"/>
  <c r="F56" i="48"/>
  <c r="F24" i="48" s="1"/>
  <c r="E56" i="48"/>
  <c r="E24" i="48" s="1"/>
  <c r="F55" i="48"/>
  <c r="F23" i="48" s="1"/>
  <c r="E55" i="48"/>
  <c r="E23" i="48" s="1"/>
  <c r="F54" i="48"/>
  <c r="F22" i="48" s="1"/>
  <c r="E54" i="48"/>
  <c r="E22" i="48" s="1"/>
  <c r="F53" i="48"/>
  <c r="F21" i="48" s="1"/>
  <c r="E53" i="48"/>
  <c r="E21" i="48" s="1"/>
  <c r="F52" i="48"/>
  <c r="F20" i="48" s="1"/>
  <c r="E52" i="48"/>
  <c r="E20" i="48" s="1"/>
  <c r="F51" i="48"/>
  <c r="F19" i="48" s="1"/>
  <c r="E51" i="48"/>
  <c r="E19" i="48" s="1"/>
  <c r="F50" i="48"/>
  <c r="F18" i="48" s="1"/>
  <c r="E50" i="48"/>
  <c r="E18" i="48" s="1"/>
  <c r="F49" i="48"/>
  <c r="F17" i="48" s="1"/>
  <c r="E49" i="48"/>
  <c r="E17" i="48" s="1"/>
  <c r="F48" i="48"/>
  <c r="F16" i="48" s="1"/>
  <c r="E48" i="48"/>
  <c r="E16" i="48" s="1"/>
  <c r="F47" i="48"/>
  <c r="F15" i="48" s="1"/>
  <c r="E47" i="48"/>
  <c r="E15" i="48" s="1"/>
  <c r="F46" i="48"/>
  <c r="F14" i="48" s="1"/>
  <c r="E46" i="48"/>
  <c r="E14" i="48" s="1"/>
  <c r="F45" i="48"/>
  <c r="F13" i="48" s="1"/>
  <c r="E45" i="48"/>
  <c r="E13" i="48" s="1"/>
  <c r="H47" i="83"/>
  <c r="H46" i="83"/>
  <c r="H45" i="83"/>
  <c r="H44" i="83"/>
  <c r="I44" i="83" s="1"/>
  <c r="K41" i="84" s="1"/>
  <c r="H43" i="83"/>
  <c r="I43" i="83" s="1"/>
  <c r="K40" i="84" s="1"/>
  <c r="H42" i="83"/>
  <c r="I42" i="83" s="1"/>
  <c r="K39" i="84" s="1"/>
  <c r="H41" i="83"/>
  <c r="H40" i="83"/>
  <c r="H39" i="83"/>
  <c r="I39" i="83" s="1"/>
  <c r="K36" i="84" s="1"/>
  <c r="H38" i="83"/>
  <c r="I38" i="83" s="1"/>
  <c r="K35" i="84" s="1"/>
  <c r="H37" i="83"/>
  <c r="I37" i="83" s="1"/>
  <c r="K34" i="84" s="1"/>
  <c r="H36" i="83"/>
  <c r="I36" i="83" s="1"/>
  <c r="K33" i="84" s="1"/>
  <c r="H35" i="83"/>
  <c r="H34" i="83"/>
  <c r="I34" i="83"/>
  <c r="K31" i="84" s="1"/>
  <c r="E49" i="83"/>
  <c r="D49" i="83"/>
  <c r="F47" i="83"/>
  <c r="G47" i="83"/>
  <c r="I47" i="83"/>
  <c r="K44" i="84" s="1"/>
  <c r="F46" i="83"/>
  <c r="G46" i="83"/>
  <c r="I46" i="83"/>
  <c r="K43" i="84" s="1"/>
  <c r="F45" i="83"/>
  <c r="G45" i="83"/>
  <c r="I45" i="83"/>
  <c r="K42" i="84"/>
  <c r="F44" i="83"/>
  <c r="G44" i="83"/>
  <c r="G43" i="83"/>
  <c r="F43" i="83"/>
  <c r="F42" i="83"/>
  <c r="G42" i="83"/>
  <c r="F41" i="83"/>
  <c r="G41" i="83"/>
  <c r="I41" i="83"/>
  <c r="K38" i="84" s="1"/>
  <c r="F40" i="83"/>
  <c r="G40" i="83"/>
  <c r="I40" i="83"/>
  <c r="K37" i="84" s="1"/>
  <c r="L37" i="84" s="1"/>
  <c r="F39" i="83"/>
  <c r="G39" i="83"/>
  <c r="F38" i="83"/>
  <c r="G38" i="83"/>
  <c r="F37" i="83"/>
  <c r="G37" i="83"/>
  <c r="F36" i="83"/>
  <c r="G36" i="83"/>
  <c r="F35" i="83"/>
  <c r="G35" i="83"/>
  <c r="I35" i="83"/>
  <c r="K32" i="84"/>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J43" i="84"/>
  <c r="L43" i="84" s="1"/>
  <c r="J42" i="84"/>
  <c r="L42" i="84" s="1"/>
  <c r="J41" i="84"/>
  <c r="J40" i="84"/>
  <c r="J39" i="84"/>
  <c r="J38" i="84"/>
  <c r="J37" i="84"/>
  <c r="J36" i="84"/>
  <c r="J35" i="84"/>
  <c r="J34" i="84"/>
  <c r="J33" i="84"/>
  <c r="J32" i="84"/>
  <c r="J31" i="84"/>
  <c r="A31" i="84"/>
  <c r="A32" i="84" s="1"/>
  <c r="A33" i="84" s="1"/>
  <c r="A34" i="84" s="1"/>
  <c r="A35" i="84" s="1"/>
  <c r="A36" i="84" s="1"/>
  <c r="A37" i="84" s="1"/>
  <c r="A38" i="84" s="1"/>
  <c r="A39" i="84" s="1"/>
  <c r="A40" i="84" s="1"/>
  <c r="A41" i="84" s="1"/>
  <c r="A42" i="84" s="1"/>
  <c r="A43" i="84" s="1"/>
  <c r="A44" i="84" s="1"/>
  <c r="A45" i="84" s="1"/>
  <c r="J26" i="84"/>
  <c r="H29" i="83"/>
  <c r="I29" i="83" s="1"/>
  <c r="K26" i="84" s="1"/>
  <c r="I24" i="84"/>
  <c r="H24" i="84"/>
  <c r="G24" i="84"/>
  <c r="G14" i="84"/>
  <c r="F24" i="84"/>
  <c r="E24" i="84"/>
  <c r="D24" i="84"/>
  <c r="J23" i="84"/>
  <c r="J22" i="84"/>
  <c r="H25" i="83"/>
  <c r="I25" i="83" s="1"/>
  <c r="K22" i="84" s="1"/>
  <c r="J21" i="84"/>
  <c r="H24" i="83"/>
  <c r="J20" i="84"/>
  <c r="J19" i="84"/>
  <c r="H22" i="83"/>
  <c r="I22" i="83" s="1"/>
  <c r="K19" i="84" s="1"/>
  <c r="J18" i="84"/>
  <c r="H21" i="83"/>
  <c r="I21" i="83" s="1"/>
  <c r="K18" i="84" s="1"/>
  <c r="J17" i="84"/>
  <c r="J24" i="84" s="1"/>
  <c r="H20" i="83"/>
  <c r="I20" i="83" s="1"/>
  <c r="A17" i="84"/>
  <c r="A18" i="84" s="1"/>
  <c r="A19" i="84" s="1"/>
  <c r="A20" i="84" s="1"/>
  <c r="A21" i="84" s="1"/>
  <c r="A22" i="84" s="1"/>
  <c r="A23" i="84" s="1"/>
  <c r="I14" i="84"/>
  <c r="I28" i="84" s="1"/>
  <c r="I48" i="84" s="1"/>
  <c r="H14" i="84"/>
  <c r="F14" i="84"/>
  <c r="F28" i="84" s="1"/>
  <c r="E14" i="84"/>
  <c r="D14" i="84"/>
  <c r="D28" i="84" s="1"/>
  <c r="J13" i="84"/>
  <c r="J12" i="84"/>
  <c r="H15" i="83"/>
  <c r="I15" i="83" s="1"/>
  <c r="K12" i="84" s="1"/>
  <c r="J11" i="84"/>
  <c r="J9" i="84"/>
  <c r="J10" i="84"/>
  <c r="H14" i="83"/>
  <c r="I14" i="83" s="1"/>
  <c r="K11" i="84" s="1"/>
  <c r="H13" i="83"/>
  <c r="I13" i="83" s="1"/>
  <c r="K10" i="84" s="1"/>
  <c r="H12" i="83"/>
  <c r="A9" i="84"/>
  <c r="A10" i="84"/>
  <c r="A11" i="84" s="1"/>
  <c r="A12" i="84" s="1"/>
  <c r="A13" i="84" s="1"/>
  <c r="H23" i="83"/>
  <c r="I23" i="83"/>
  <c r="K20" i="84" s="1"/>
  <c r="F27" i="83"/>
  <c r="F17" i="83"/>
  <c r="F49" i="83"/>
  <c r="G49" i="83"/>
  <c r="G17" i="83"/>
  <c r="G20" i="83"/>
  <c r="F31" i="83"/>
  <c r="F51" i="83"/>
  <c r="G27" i="83"/>
  <c r="G31" i="83"/>
  <c r="G51" i="83"/>
  <c r="I82" i="65"/>
  <c r="I81" i="65"/>
  <c r="I80" i="65"/>
  <c r="I79" i="65"/>
  <c r="I78" i="65"/>
  <c r="I77" i="65"/>
  <c r="I83" i="65"/>
  <c r="I84" i="65"/>
  <c r="I85" i="65"/>
  <c r="I86" i="65"/>
  <c r="I87" i="65"/>
  <c r="I88" i="65"/>
  <c r="D32" i="57"/>
  <c r="E17" i="57"/>
  <c r="D17" i="57"/>
  <c r="C17" i="57" s="1"/>
  <c r="E16" i="57"/>
  <c r="D16" i="57"/>
  <c r="E15" i="57"/>
  <c r="D15" i="57"/>
  <c r="E11" i="57"/>
  <c r="D11" i="57"/>
  <c r="E10" i="57"/>
  <c r="D10" i="57"/>
  <c r="E42" i="30"/>
  <c r="E22" i="30" s="1"/>
  <c r="E37" i="4"/>
  <c r="D37" i="4"/>
  <c r="C37" i="4"/>
  <c r="M82" i="4"/>
  <c r="M85" i="4"/>
  <c r="M84" i="4"/>
  <c r="M83" i="4"/>
  <c r="M81" i="4"/>
  <c r="M80" i="4"/>
  <c r="M79" i="4"/>
  <c r="M78" i="4"/>
  <c r="M77" i="4"/>
  <c r="M76" i="4"/>
  <c r="M75" i="4"/>
  <c r="M74" i="4"/>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01" i="4"/>
  <c r="F100" i="4"/>
  <c r="F99" i="4"/>
  <c r="F98" i="4"/>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6" i="4"/>
  <c r="L135" i="4"/>
  <c r="L134" i="4"/>
  <c r="L133" i="4"/>
  <c r="L132" i="4"/>
  <c r="L131" i="4"/>
  <c r="K142" i="4"/>
  <c r="K141" i="4"/>
  <c r="K140" i="4"/>
  <c r="K139" i="4"/>
  <c r="K138" i="4"/>
  <c r="K137" i="4"/>
  <c r="K136" i="4"/>
  <c r="K135" i="4"/>
  <c r="K154" i="4" s="1"/>
  <c r="K134" i="4"/>
  <c r="K153" i="4" s="1"/>
  <c r="K133" i="4"/>
  <c r="K132" i="4"/>
  <c r="K151" i="4" s="1"/>
  <c r="K131" i="4"/>
  <c r="J139" i="4"/>
  <c r="J142" i="4"/>
  <c r="J141" i="4"/>
  <c r="J140" i="4"/>
  <c r="J138" i="4"/>
  <c r="J157" i="4" s="1"/>
  <c r="J137" i="4"/>
  <c r="J136" i="4"/>
  <c r="J135" i="4"/>
  <c r="J134" i="4"/>
  <c r="J133" i="4"/>
  <c r="J132" i="4"/>
  <c r="J131" i="4"/>
  <c r="I142" i="4"/>
  <c r="I141" i="4"/>
  <c r="I160" i="4" s="1"/>
  <c r="I140" i="4"/>
  <c r="I159" i="4" s="1"/>
  <c r="I139" i="4"/>
  <c r="I158" i="4" s="1"/>
  <c r="I138" i="4"/>
  <c r="I137" i="4"/>
  <c r="I136" i="4"/>
  <c r="I135" i="4"/>
  <c r="I134" i="4"/>
  <c r="I133" i="4"/>
  <c r="I132" i="4"/>
  <c r="I151" i="4" s="1"/>
  <c r="I131" i="4"/>
  <c r="H142" i="4"/>
  <c r="H141" i="4"/>
  <c r="H140" i="4"/>
  <c r="H139" i="4"/>
  <c r="H158" i="4" s="1"/>
  <c r="H138" i="4"/>
  <c r="H137" i="4"/>
  <c r="H136" i="4"/>
  <c r="H135" i="4"/>
  <c r="H154" i="4" s="1"/>
  <c r="H134" i="4"/>
  <c r="H153" i="4" s="1"/>
  <c r="H133" i="4"/>
  <c r="H132" i="4"/>
  <c r="H131" i="4"/>
  <c r="G141" i="4"/>
  <c r="G142" i="4"/>
  <c r="G140" i="4"/>
  <c r="G139" i="4"/>
  <c r="G138" i="4"/>
  <c r="G137" i="4"/>
  <c r="G136" i="4"/>
  <c r="G135" i="4"/>
  <c r="G154" i="4" s="1"/>
  <c r="G134" i="4"/>
  <c r="G133" i="4"/>
  <c r="G132" i="4"/>
  <c r="G131" i="4"/>
  <c r="D138" i="4"/>
  <c r="D157" i="4" s="1"/>
  <c r="D142" i="4"/>
  <c r="D161" i="4" s="1"/>
  <c r="E141" i="4"/>
  <c r="E142" i="4"/>
  <c r="E140" i="4"/>
  <c r="E139" i="4"/>
  <c r="E138" i="4"/>
  <c r="E137" i="4"/>
  <c r="E156" i="4" s="1"/>
  <c r="E136" i="4"/>
  <c r="E135" i="4"/>
  <c r="E134" i="4"/>
  <c r="F138" i="4"/>
  <c r="F142" i="4"/>
  <c r="F141" i="4"/>
  <c r="F140" i="4"/>
  <c r="F139" i="4"/>
  <c r="F137" i="4"/>
  <c r="F136" i="4"/>
  <c r="F135" i="4"/>
  <c r="F134" i="4"/>
  <c r="F133" i="4"/>
  <c r="F132" i="4"/>
  <c r="F151" i="4" s="1"/>
  <c r="F131" i="4"/>
  <c r="E133" i="4"/>
  <c r="E132" i="4"/>
  <c r="E131" i="4"/>
  <c r="D136" i="4"/>
  <c r="D141" i="4"/>
  <c r="D140" i="4"/>
  <c r="D139" i="4"/>
  <c r="D137" i="4"/>
  <c r="D135" i="4"/>
  <c r="D134" i="4"/>
  <c r="D153" i="4" s="1"/>
  <c r="D133" i="4"/>
  <c r="D132" i="4"/>
  <c r="D131" i="4"/>
  <c r="C135" i="4"/>
  <c r="C140" i="4"/>
  <c r="C142" i="4"/>
  <c r="C141" i="4"/>
  <c r="C139" i="4"/>
  <c r="C158" i="4" s="1"/>
  <c r="C138" i="4"/>
  <c r="C137" i="4"/>
  <c r="C156" i="4" s="1"/>
  <c r="C136" i="4"/>
  <c r="C134" i="4"/>
  <c r="C133" i="4"/>
  <c r="C132" i="4"/>
  <c r="C131" i="4"/>
  <c r="M124" i="4"/>
  <c r="M123" i="4"/>
  <c r="M122" i="4"/>
  <c r="M121" i="4"/>
  <c r="M120" i="4"/>
  <c r="M119" i="4"/>
  <c r="M118" i="4"/>
  <c r="M117" i="4"/>
  <c r="M116" i="4"/>
  <c r="M115" i="4"/>
  <c r="M114" i="4"/>
  <c r="M113" i="4"/>
  <c r="M112" i="4"/>
  <c r="J43" i="82"/>
  <c r="J41" i="82"/>
  <c r="J40" i="82"/>
  <c r="J26" i="82"/>
  <c r="J10" i="82"/>
  <c r="J8" i="82"/>
  <c r="H65" i="72"/>
  <c r="L33" i="82" s="1"/>
  <c r="L34" i="82"/>
  <c r="C26" i="72"/>
  <c r="L44" i="82" s="1"/>
  <c r="A26" i="72"/>
  <c r="J44" i="82"/>
  <c r="C24" i="72"/>
  <c r="L43" i="82" s="1"/>
  <c r="C22" i="72"/>
  <c r="L40" i="82" s="1"/>
  <c r="C20" i="72"/>
  <c r="L28" i="82" s="1"/>
  <c r="L42" i="82" s="1"/>
  <c r="C18" i="72"/>
  <c r="L27" i="82" s="1"/>
  <c r="A18" i="72"/>
  <c r="A20" i="72"/>
  <c r="J28" i="82"/>
  <c r="C16" i="72"/>
  <c r="L41" i="82" s="1"/>
  <c r="C14" i="72"/>
  <c r="L11" i="82" s="1"/>
  <c r="C12" i="72"/>
  <c r="L10" i="82" s="1"/>
  <c r="C10" i="72"/>
  <c r="L9" i="82" s="1"/>
  <c r="A10" i="72"/>
  <c r="A14" i="72"/>
  <c r="J11" i="82"/>
  <c r="C8" i="72"/>
  <c r="L8" i="82" s="1"/>
  <c r="A9" i="82"/>
  <c r="A11" i="82"/>
  <c r="A15" i="82"/>
  <c r="I63" i="1"/>
  <c r="J9" i="82"/>
  <c r="J27" i="82"/>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N79" i="61"/>
  <c r="J79" i="61"/>
  <c r="M79" i="61" s="1"/>
  <c r="G79" i="61"/>
  <c r="I79" i="61" s="1"/>
  <c r="L21" i="46"/>
  <c r="D84" i="46" s="1"/>
  <c r="H84" i="46" s="1"/>
  <c r="L20" i="46"/>
  <c r="D83" i="46" s="1"/>
  <c r="L19" i="46"/>
  <c r="D82" i="46" s="1"/>
  <c r="L18" i="46"/>
  <c r="L17" i="46"/>
  <c r="D80" i="46" s="1"/>
  <c r="H80" i="46" s="1"/>
  <c r="L16" i="46"/>
  <c r="L15" i="46"/>
  <c r="D78" i="46" s="1"/>
  <c r="H78" i="46" s="1"/>
  <c r="L14" i="46"/>
  <c r="D77" i="46" s="1"/>
  <c r="H77" i="46" s="1"/>
  <c r="L13" i="46"/>
  <c r="D76" i="46" s="1"/>
  <c r="L12" i="46"/>
  <c r="L22" i="46"/>
  <c r="D85" i="46" s="1"/>
  <c r="H85" i="46" s="1"/>
  <c r="L23" i="46"/>
  <c r="D86" i="46" s="1"/>
  <c r="H86" i="46" s="1"/>
  <c r="L24" i="46"/>
  <c r="D87" i="46" s="1"/>
  <c r="L25" i="46"/>
  <c r="D88" i="46" s="1"/>
  <c r="H88" i="46" s="1"/>
  <c r="L26" i="46"/>
  <c r="L27" i="46"/>
  <c r="D90" i="46" s="1"/>
  <c r="L28" i="46"/>
  <c r="D91" i="46" s="1"/>
  <c r="H91" i="46" s="1"/>
  <c r="L29" i="46"/>
  <c r="D92" i="46" s="1"/>
  <c r="H92" i="46" s="1"/>
  <c r="L30" i="46"/>
  <c r="L31" i="46"/>
  <c r="L32" i="46"/>
  <c r="D95" i="46" s="1"/>
  <c r="L33" i="46"/>
  <c r="L34" i="46"/>
  <c r="D97" i="46" s="1"/>
  <c r="L35" i="46"/>
  <c r="D98" i="46" s="1"/>
  <c r="H98" i="46" s="1"/>
  <c r="L36" i="46"/>
  <c r="D99" i="46" s="1"/>
  <c r="L37" i="46"/>
  <c r="D100" i="46" s="1"/>
  <c r="H100" i="46" s="1"/>
  <c r="L38" i="46"/>
  <c r="D101" i="46" s="1"/>
  <c r="L39" i="46"/>
  <c r="D102" i="46" s="1"/>
  <c r="H102" i="46" s="1"/>
  <c r="L40" i="46"/>
  <c r="D103" i="46" s="1"/>
  <c r="F8" i="42"/>
  <c r="E21" i="32" s="1"/>
  <c r="D53" i="2"/>
  <c r="D54" i="2" s="1"/>
  <c r="A68" i="15"/>
  <c r="A69" i="15" s="1"/>
  <c r="E40" i="56"/>
  <c r="E42" i="56" s="1"/>
  <c r="F36" i="56"/>
  <c r="I28" i="53"/>
  <c r="H28" i="53"/>
  <c r="G28" i="53"/>
  <c r="F28" i="53"/>
  <c r="E130" i="53"/>
  <c r="D130" i="53"/>
  <c r="C130" i="53"/>
  <c r="I43" i="46"/>
  <c r="E43" i="46"/>
  <c r="D43" i="46"/>
  <c r="C11" i="46"/>
  <c r="G10" i="2"/>
  <c r="L50" i="61"/>
  <c r="H50" i="61"/>
  <c r="E50" i="61"/>
  <c r="L42" i="61"/>
  <c r="H42" i="61"/>
  <c r="E8" i="61"/>
  <c r="L8" i="61"/>
  <c r="H8" i="61"/>
  <c r="E244" i="61"/>
  <c r="E245" i="61" s="1"/>
  <c r="E200" i="61"/>
  <c r="E195" i="61"/>
  <c r="E189" i="61"/>
  <c r="E72" i="26"/>
  <c r="H44" i="26" s="1"/>
  <c r="D44" i="26" s="1"/>
  <c r="G13" i="26" s="1"/>
  <c r="F72" i="26"/>
  <c r="E65" i="26"/>
  <c r="G11" i="2" s="1"/>
  <c r="I58" i="46"/>
  <c r="E58" i="46"/>
  <c r="D58" i="46"/>
  <c r="G76" i="48"/>
  <c r="H76" i="48" s="1"/>
  <c r="J385" i="49"/>
  <c r="H84" i="64"/>
  <c r="P55" i="48"/>
  <c r="I37" i="79"/>
  <c r="G37" i="79"/>
  <c r="F69" i="22"/>
  <c r="F46" i="22" s="1"/>
  <c r="F53" i="22" s="1"/>
  <c r="F63" i="22"/>
  <c r="F34" i="22" s="1"/>
  <c r="F23" i="22"/>
  <c r="E24" i="54"/>
  <c r="D24" i="54"/>
  <c r="E155" i="49"/>
  <c r="F155" i="49" s="1"/>
  <c r="G46" i="49"/>
  <c r="E17" i="71" s="1"/>
  <c r="F46" i="49"/>
  <c r="E16" i="71" s="1"/>
  <c r="E46" i="49"/>
  <c r="E15" i="71" s="1"/>
  <c r="D46" i="49"/>
  <c r="E14" i="71" s="1"/>
  <c r="I26" i="49"/>
  <c r="E13" i="71" s="1"/>
  <c r="H26" i="49"/>
  <c r="E12" i="71" s="1"/>
  <c r="G26" i="49"/>
  <c r="E11" i="71" s="1"/>
  <c r="F26" i="49"/>
  <c r="E10" i="71" s="1"/>
  <c r="E54" i="71" s="1"/>
  <c r="E26" i="49"/>
  <c r="E9" i="71" s="1"/>
  <c r="E47" i="71" s="1"/>
  <c r="F35" i="21"/>
  <c r="E35" i="21"/>
  <c r="D35" i="21"/>
  <c r="G34" i="21"/>
  <c r="K22" i="1" s="1"/>
  <c r="G33" i="21"/>
  <c r="N24" i="21"/>
  <c r="K21" i="1" s="1"/>
  <c r="N12" i="21"/>
  <c r="C40" i="56"/>
  <c r="E26" i="56"/>
  <c r="E12" i="56"/>
  <c r="E17" i="56" s="1"/>
  <c r="D66" i="65"/>
  <c r="B45" i="53"/>
  <c r="I129" i="15"/>
  <c r="N195" i="61"/>
  <c r="M195" i="61"/>
  <c r="L195" i="61"/>
  <c r="J195" i="61"/>
  <c r="I195" i="61"/>
  <c r="H195" i="61"/>
  <c r="G195" i="61"/>
  <c r="L244" i="61"/>
  <c r="N241" i="61"/>
  <c r="N240" i="61"/>
  <c r="N239" i="61"/>
  <c r="N238" i="61"/>
  <c r="N237" i="61"/>
  <c r="J241" i="61"/>
  <c r="M241" i="61" s="1"/>
  <c r="J240" i="61"/>
  <c r="M240" i="61" s="1"/>
  <c r="J239" i="61"/>
  <c r="M239" i="61" s="1"/>
  <c r="J238" i="61"/>
  <c r="M238" i="61" s="1"/>
  <c r="J237" i="61"/>
  <c r="M237" i="61" s="1"/>
  <c r="H232" i="61"/>
  <c r="N105" i="61"/>
  <c r="N104" i="61"/>
  <c r="N103" i="61"/>
  <c r="N102" i="61"/>
  <c r="N101" i="61"/>
  <c r="N100" i="61"/>
  <c r="N98" i="61"/>
  <c r="N97" i="61"/>
  <c r="N96" i="61"/>
  <c r="N95" i="61"/>
  <c r="N94" i="61"/>
  <c r="N93" i="61"/>
  <c r="N92" i="61"/>
  <c r="N91" i="61"/>
  <c r="N90" i="61"/>
  <c r="J105" i="61"/>
  <c r="M105" i="61" s="1"/>
  <c r="J104" i="61"/>
  <c r="M104" i="61" s="1"/>
  <c r="J103" i="61"/>
  <c r="M103" i="61" s="1"/>
  <c r="J102" i="61"/>
  <c r="M102" i="61" s="1"/>
  <c r="J101" i="61"/>
  <c r="M101" i="61" s="1"/>
  <c r="J100" i="61"/>
  <c r="M100" i="61" s="1"/>
  <c r="J99" i="61"/>
  <c r="M99" i="61" s="1"/>
  <c r="J98" i="61"/>
  <c r="M98" i="61" s="1"/>
  <c r="J97" i="61"/>
  <c r="M97" i="61" s="1"/>
  <c r="J96" i="61"/>
  <c r="M96" i="61" s="1"/>
  <c r="J95" i="61"/>
  <c r="M95" i="61" s="1"/>
  <c r="J94" i="61"/>
  <c r="M94" i="61" s="1"/>
  <c r="J93" i="61"/>
  <c r="M93" i="61" s="1"/>
  <c r="J92" i="61"/>
  <c r="M92" i="61" s="1"/>
  <c r="J91" i="61"/>
  <c r="M91" i="61" s="1"/>
  <c r="J90" i="61"/>
  <c r="M90" i="61" s="1"/>
  <c r="N182" i="61"/>
  <c r="N181" i="61"/>
  <c r="N180" i="61"/>
  <c r="N179" i="61"/>
  <c r="N178" i="61"/>
  <c r="N177" i="61"/>
  <c r="N176" i="61"/>
  <c r="N175" i="61"/>
  <c r="N174" i="61"/>
  <c r="N173" i="61"/>
  <c r="N172" i="61"/>
  <c r="N171" i="61"/>
  <c r="N170" i="61"/>
  <c r="N169" i="61"/>
  <c r="N168" i="61"/>
  <c r="N167" i="61"/>
  <c r="N166" i="61"/>
  <c r="N165" i="61"/>
  <c r="N164" i="61"/>
  <c r="N163" i="61"/>
  <c r="J182" i="61"/>
  <c r="M182" i="61" s="1"/>
  <c r="J181" i="61"/>
  <c r="M181" i="61" s="1"/>
  <c r="J180" i="61"/>
  <c r="M180" i="61" s="1"/>
  <c r="J179" i="61"/>
  <c r="M179" i="61" s="1"/>
  <c r="J178" i="61"/>
  <c r="M178" i="61" s="1"/>
  <c r="J176" i="61"/>
  <c r="M176" i="61" s="1"/>
  <c r="J175" i="61"/>
  <c r="M175" i="61" s="1"/>
  <c r="J174" i="61"/>
  <c r="M174" i="61" s="1"/>
  <c r="J173" i="61"/>
  <c r="M173" i="61" s="1"/>
  <c r="J172" i="61"/>
  <c r="M172" i="61" s="1"/>
  <c r="J171" i="61"/>
  <c r="M171" i="61" s="1"/>
  <c r="J170" i="61"/>
  <c r="M170" i="61" s="1"/>
  <c r="J169" i="61"/>
  <c r="M169" i="61" s="1"/>
  <c r="J168" i="61"/>
  <c r="M168" i="61" s="1"/>
  <c r="J167" i="61"/>
  <c r="M167" i="61" s="1"/>
  <c r="J166" i="61"/>
  <c r="M166" i="61" s="1"/>
  <c r="J165" i="61"/>
  <c r="M165" i="61" s="1"/>
  <c r="J164" i="61"/>
  <c r="M164" i="61" s="1"/>
  <c r="J163" i="61"/>
  <c r="M163" i="61" s="1"/>
  <c r="G182" i="61"/>
  <c r="I182" i="61" s="1"/>
  <c r="G181" i="61"/>
  <c r="I181" i="61" s="1"/>
  <c r="G180" i="61"/>
  <c r="I180" i="61" s="1"/>
  <c r="G179" i="61"/>
  <c r="I179" i="61" s="1"/>
  <c r="G178" i="61"/>
  <c r="I178" i="61" s="1"/>
  <c r="G177" i="61"/>
  <c r="I177" i="61" s="1"/>
  <c r="G175" i="61"/>
  <c r="I175" i="61" s="1"/>
  <c r="G174" i="61"/>
  <c r="I174" i="61" s="1"/>
  <c r="G173" i="61"/>
  <c r="I173" i="61" s="1"/>
  <c r="G172" i="61"/>
  <c r="I172" i="61" s="1"/>
  <c r="G171" i="61"/>
  <c r="I171" i="61" s="1"/>
  <c r="G170" i="61"/>
  <c r="I170" i="61" s="1"/>
  <c r="G169" i="61"/>
  <c r="H169" i="61" s="1"/>
  <c r="G168" i="61"/>
  <c r="I168" i="61" s="1"/>
  <c r="G167" i="61"/>
  <c r="I167" i="61" s="1"/>
  <c r="G166" i="61"/>
  <c r="I166" i="61" s="1"/>
  <c r="G165" i="61"/>
  <c r="I165" i="61" s="1"/>
  <c r="G164" i="61"/>
  <c r="I164" i="61" s="1"/>
  <c r="G163" i="61"/>
  <c r="H163" i="61" s="1"/>
  <c r="I163" i="61" s="1"/>
  <c r="N137" i="61"/>
  <c r="N136" i="61"/>
  <c r="N135" i="61"/>
  <c r="N134" i="61"/>
  <c r="N133" i="61"/>
  <c r="N132" i="61"/>
  <c r="N131" i="61"/>
  <c r="N130" i="61"/>
  <c r="N129" i="61"/>
  <c r="N128" i="61"/>
  <c r="N127" i="61"/>
  <c r="N118" i="61"/>
  <c r="J139" i="61"/>
  <c r="M139" i="61" s="1"/>
  <c r="J138" i="61"/>
  <c r="M138" i="61" s="1"/>
  <c r="J137" i="61"/>
  <c r="M137" i="61" s="1"/>
  <c r="J136" i="61"/>
  <c r="M136" i="61" s="1"/>
  <c r="J135" i="61"/>
  <c r="M135" i="61" s="1"/>
  <c r="J134" i="61"/>
  <c r="M134" i="61" s="1"/>
  <c r="J133" i="61"/>
  <c r="M133" i="61" s="1"/>
  <c r="J132" i="61"/>
  <c r="M132" i="61" s="1"/>
  <c r="J131" i="61"/>
  <c r="M131" i="61" s="1"/>
  <c r="J130" i="61"/>
  <c r="M130" i="61" s="1"/>
  <c r="J129" i="61"/>
  <c r="M129" i="61" s="1"/>
  <c r="J128" i="61"/>
  <c r="M128" i="61" s="1"/>
  <c r="J127" i="61"/>
  <c r="M127" i="61" s="1"/>
  <c r="J124" i="61"/>
  <c r="M124" i="61" s="1"/>
  <c r="J123" i="61"/>
  <c r="M123" i="61" s="1"/>
  <c r="J122" i="61"/>
  <c r="M122" i="61" s="1"/>
  <c r="J121" i="61"/>
  <c r="M121" i="61" s="1"/>
  <c r="J120" i="61"/>
  <c r="M120" i="61" s="1"/>
  <c r="J119" i="61"/>
  <c r="M119" i="61" s="1"/>
  <c r="J118" i="61"/>
  <c r="M118" i="61" s="1"/>
  <c r="J117" i="61"/>
  <c r="M117" i="61" s="1"/>
  <c r="G139" i="61"/>
  <c r="I139" i="61" s="1"/>
  <c r="G138" i="61"/>
  <c r="I138" i="61" s="1"/>
  <c r="G124" i="61"/>
  <c r="I124" i="61" s="1"/>
  <c r="G123" i="61"/>
  <c r="I123" i="61" s="1"/>
  <c r="G122" i="61"/>
  <c r="I122" i="61" s="1"/>
  <c r="G121" i="61"/>
  <c r="I121" i="61" s="1"/>
  <c r="G120" i="61"/>
  <c r="I120" i="61" s="1"/>
  <c r="G119" i="61"/>
  <c r="I119" i="61" s="1"/>
  <c r="G117" i="61"/>
  <c r="I117"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G106" i="61"/>
  <c r="I106" i="61" s="1"/>
  <c r="N76" i="61"/>
  <c r="N75" i="61"/>
  <c r="N74" i="61"/>
  <c r="N73" i="61"/>
  <c r="N72" i="61"/>
  <c r="J76" i="61"/>
  <c r="M76" i="61" s="1"/>
  <c r="J73" i="61"/>
  <c r="M73" i="61" s="1"/>
  <c r="J72" i="61"/>
  <c r="M72" i="61" s="1"/>
  <c r="J75" i="61"/>
  <c r="M75" i="61" s="1"/>
  <c r="N70" i="61"/>
  <c r="N69" i="61"/>
  <c r="N68" i="61"/>
  <c r="N67" i="61"/>
  <c r="N66" i="61"/>
  <c r="J70" i="61"/>
  <c r="M70" i="61" s="1"/>
  <c r="J69" i="61"/>
  <c r="M69" i="61" s="1"/>
  <c r="J68" i="61"/>
  <c r="M68" i="61" s="1"/>
  <c r="J67" i="61"/>
  <c r="M67" i="61" s="1"/>
  <c r="J66" i="61"/>
  <c r="M66" i="61" s="1"/>
  <c r="G66" i="61"/>
  <c r="N65" i="61"/>
  <c r="H65" i="61"/>
  <c r="H64" i="61"/>
  <c r="G76" i="61"/>
  <c r="I76" i="61" s="1"/>
  <c r="G75" i="61"/>
  <c r="I75" i="61" s="1"/>
  <c r="G74" i="61"/>
  <c r="I74" i="61" s="1"/>
  <c r="G72" i="61"/>
  <c r="I72" i="61" s="1"/>
  <c r="G71" i="61"/>
  <c r="I71" i="61" s="1"/>
  <c r="G70" i="61"/>
  <c r="I70" i="61" s="1"/>
  <c r="G69" i="61"/>
  <c r="I69" i="61" s="1"/>
  <c r="G68" i="61"/>
  <c r="I68" i="61" s="1"/>
  <c r="G67" i="61"/>
  <c r="I67" i="61" s="1"/>
  <c r="J64" i="61"/>
  <c r="M64" i="61" s="1"/>
  <c r="N56" i="61"/>
  <c r="N55" i="61"/>
  <c r="N54" i="61"/>
  <c r="N53" i="61"/>
  <c r="J53" i="61"/>
  <c r="G56" i="61"/>
  <c r="I56" i="61" s="1"/>
  <c r="G55" i="61"/>
  <c r="I55" i="61" s="1"/>
  <c r="G54" i="61"/>
  <c r="I54" i="61" s="1"/>
  <c r="G53" i="61"/>
  <c r="I53" i="61" s="1"/>
  <c r="N146" i="61"/>
  <c r="G146" i="61"/>
  <c r="I146" i="61" s="1"/>
  <c r="N145" i="61"/>
  <c r="N144" i="61"/>
  <c r="N142" i="61"/>
  <c r="N141" i="61"/>
  <c r="N140" i="61"/>
  <c r="J140" i="61"/>
  <c r="M140" i="61" s="1"/>
  <c r="J141" i="61"/>
  <c r="M141" i="61" s="1"/>
  <c r="J142" i="61"/>
  <c r="M142" i="61" s="1"/>
  <c r="J143" i="61"/>
  <c r="M143" i="61" s="1"/>
  <c r="J144" i="61"/>
  <c r="M144" i="61" s="1"/>
  <c r="J145" i="61"/>
  <c r="M145" i="61" s="1"/>
  <c r="L189" i="61"/>
  <c r="H62" i="61"/>
  <c r="G62" i="61" s="1"/>
  <c r="J61" i="61"/>
  <c r="M61" i="61" s="1"/>
  <c r="G61" i="61"/>
  <c r="I61" i="61" s="1"/>
  <c r="N27" i="61"/>
  <c r="N26" i="61"/>
  <c r="N25" i="61"/>
  <c r="N24" i="61"/>
  <c r="N23" i="61"/>
  <c r="N22" i="61"/>
  <c r="N21" i="61"/>
  <c r="J27" i="61"/>
  <c r="M27" i="61" s="1"/>
  <c r="J26" i="61"/>
  <c r="M26" i="61" s="1"/>
  <c r="J25" i="61"/>
  <c r="M25" i="61" s="1"/>
  <c r="J24" i="61"/>
  <c r="M24" i="61" s="1"/>
  <c r="J23" i="61"/>
  <c r="M23" i="61" s="1"/>
  <c r="J22" i="61"/>
  <c r="M22" i="61" s="1"/>
  <c r="J21" i="61"/>
  <c r="M21" i="61" s="1"/>
  <c r="I27" i="61"/>
  <c r="G26" i="61"/>
  <c r="I26" i="61" s="1"/>
  <c r="G25" i="61"/>
  <c r="I25" i="61" s="1"/>
  <c r="G24" i="61"/>
  <c r="I24" i="61" s="1"/>
  <c r="G23" i="61"/>
  <c r="I23" i="61" s="1"/>
  <c r="G22" i="61"/>
  <c r="I22" i="61" s="1"/>
  <c r="G21" i="61"/>
  <c r="I21" i="61" s="1"/>
  <c r="N19" i="61"/>
  <c r="J19" i="61"/>
  <c r="M19" i="61" s="1"/>
  <c r="G19" i="61"/>
  <c r="I19" i="61" s="1"/>
  <c r="H241" i="61"/>
  <c r="H244" i="61" s="1"/>
  <c r="G240" i="61"/>
  <c r="I240" i="61" s="1"/>
  <c r="G239" i="61"/>
  <c r="I239" i="61" s="1"/>
  <c r="G238" i="61"/>
  <c r="I238" i="61" s="1"/>
  <c r="G237" i="61"/>
  <c r="I237" i="61" s="1"/>
  <c r="J218" i="61"/>
  <c r="M218" i="61" s="1"/>
  <c r="J217" i="61"/>
  <c r="M217" i="61" s="1"/>
  <c r="J216" i="61"/>
  <c r="M216" i="61" s="1"/>
  <c r="J215" i="61"/>
  <c r="M215" i="61" s="1"/>
  <c r="J214" i="61"/>
  <c r="M214" i="61" s="1"/>
  <c r="J213" i="61"/>
  <c r="M213" i="61" s="1"/>
  <c r="J212" i="61"/>
  <c r="M212" i="61" s="1"/>
  <c r="J211" i="61"/>
  <c r="M211" i="61" s="1"/>
  <c r="J210" i="61"/>
  <c r="M210" i="61" s="1"/>
  <c r="J209" i="61"/>
  <c r="M209" i="61" s="1"/>
  <c r="J208" i="61"/>
  <c r="M208" i="61" s="1"/>
  <c r="J207" i="61"/>
  <c r="M207" i="61" s="1"/>
  <c r="J206" i="61"/>
  <c r="M206" i="61" s="1"/>
  <c r="J205" i="61"/>
  <c r="M205" i="61" s="1"/>
  <c r="J204" i="61"/>
  <c r="M204" i="61" s="1"/>
  <c r="G218" i="61"/>
  <c r="I218" i="61" s="1"/>
  <c r="G217" i="61"/>
  <c r="I217" i="61" s="1"/>
  <c r="G216" i="61"/>
  <c r="I216" i="61" s="1"/>
  <c r="G215" i="61"/>
  <c r="I215" i="61" s="1"/>
  <c r="G214" i="61"/>
  <c r="I214" i="61" s="1"/>
  <c r="G213" i="61"/>
  <c r="I213" i="61" s="1"/>
  <c r="G212" i="61"/>
  <c r="I212" i="61" s="1"/>
  <c r="G211" i="61"/>
  <c r="I211" i="61" s="1"/>
  <c r="G210" i="61"/>
  <c r="I210" i="61" s="1"/>
  <c r="G209" i="61"/>
  <c r="I209" i="61" s="1"/>
  <c r="G208" i="61"/>
  <c r="I208" i="61" s="1"/>
  <c r="G207" i="61"/>
  <c r="I207" i="61" s="1"/>
  <c r="G206" i="61"/>
  <c r="I206" i="61" s="1"/>
  <c r="G205" i="61"/>
  <c r="I205" i="61" s="1"/>
  <c r="G204" i="61"/>
  <c r="I204" i="61" s="1"/>
  <c r="G126" i="61"/>
  <c r="I126" i="61" s="1"/>
  <c r="G125" i="61"/>
  <c r="I125" i="61" s="1"/>
  <c r="N116" i="61"/>
  <c r="N115" i="61"/>
  <c r="N114" i="61"/>
  <c r="N113" i="61"/>
  <c r="N112" i="61"/>
  <c r="N111" i="61"/>
  <c r="N110" i="61"/>
  <c r="N109" i="61"/>
  <c r="N108" i="61"/>
  <c r="N107" i="61"/>
  <c r="N106" i="61"/>
  <c r="N71" i="61"/>
  <c r="N57" i="61"/>
  <c r="N20" i="61"/>
  <c r="N204" i="61"/>
  <c r="J18" i="61"/>
  <c r="M18" i="61" s="1"/>
  <c r="N217" i="61"/>
  <c r="N218" i="61"/>
  <c r="G12" i="61"/>
  <c r="I12" i="61" s="1"/>
  <c r="J77" i="61"/>
  <c r="M77" i="61" s="1"/>
  <c r="H78" i="61"/>
  <c r="G78" i="61" s="1"/>
  <c r="H77" i="61"/>
  <c r="G77" i="61" s="1"/>
  <c r="J78" i="61"/>
  <c r="M78" i="61" s="1"/>
  <c r="G73" i="61"/>
  <c r="I73" i="61" s="1"/>
  <c r="J74" i="61"/>
  <c r="M74" i="61" s="1"/>
  <c r="J71" i="61"/>
  <c r="M71" i="61" s="1"/>
  <c r="F39" i="56"/>
  <c r="H324" i="11"/>
  <c r="G324" i="11"/>
  <c r="H323" i="11"/>
  <c r="G323" i="11"/>
  <c r="H322" i="11"/>
  <c r="G322" i="11"/>
  <c r="H321" i="11"/>
  <c r="G321" i="11"/>
  <c r="H320" i="11"/>
  <c r="G320" i="11"/>
  <c r="H319" i="11"/>
  <c r="G319" i="11"/>
  <c r="H318" i="11"/>
  <c r="G318" i="11"/>
  <c r="H317" i="11"/>
  <c r="G317" i="11"/>
  <c r="H316" i="11"/>
  <c r="G316" i="11"/>
  <c r="H315" i="11"/>
  <c r="G315" i="11"/>
  <c r="H314" i="11"/>
  <c r="G314" i="11"/>
  <c r="H313" i="11"/>
  <c r="G313" i="11"/>
  <c r="H312" i="11"/>
  <c r="G312"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E35" i="11"/>
  <c r="M45" i="48"/>
  <c r="G25" i="46"/>
  <c r="F105" i="8"/>
  <c r="F100" i="8"/>
  <c r="E12" i="66"/>
  <c r="E18" i="66"/>
  <c r="B145" i="21"/>
  <c r="M106" i="21"/>
  <c r="L106" i="21"/>
  <c r="K106" i="21"/>
  <c r="J106" i="21"/>
  <c r="I106" i="21"/>
  <c r="H106" i="21"/>
  <c r="G106" i="21"/>
  <c r="F106" i="21"/>
  <c r="E106" i="21"/>
  <c r="D106" i="21"/>
  <c r="E45" i="21"/>
  <c r="F58" i="21" s="1"/>
  <c r="E44" i="21"/>
  <c r="A35" i="21"/>
  <c r="A44" i="21"/>
  <c r="A13" i="21"/>
  <c r="A14" i="21"/>
  <c r="A15" i="21"/>
  <c r="A16" i="21" s="1"/>
  <c r="A17" i="21" s="1"/>
  <c r="A18" i="21" s="1"/>
  <c r="A19" i="21" s="1"/>
  <c r="A20" i="21" s="1"/>
  <c r="A21" i="21" s="1"/>
  <c r="A22" i="21" s="1"/>
  <c r="A23" i="21" s="1"/>
  <c r="A24" i="21" s="1"/>
  <c r="E24" i="4"/>
  <c r="F24" i="4"/>
  <c r="F24" i="64" s="1"/>
  <c r="C122" i="48" s="1"/>
  <c r="E122" i="48" s="1"/>
  <c r="G24" i="4"/>
  <c r="G24" i="64" s="1"/>
  <c r="C123" i="48" s="1"/>
  <c r="E123" i="48" s="1"/>
  <c r="H24" i="4"/>
  <c r="H183" i="4" s="1"/>
  <c r="I24" i="4"/>
  <c r="I183" i="4" s="1"/>
  <c r="J24" i="4"/>
  <c r="K24" i="4"/>
  <c r="K183" i="4" s="1"/>
  <c r="L24" i="4"/>
  <c r="L183" i="4" s="1"/>
  <c r="L104" i="4"/>
  <c r="K104" i="4"/>
  <c r="K161" i="4" s="1"/>
  <c r="H104" i="4"/>
  <c r="D183" i="4"/>
  <c r="C183" i="4"/>
  <c r="J97" i="4"/>
  <c r="H54" i="4"/>
  <c r="F62" i="4" s="1"/>
  <c r="H53" i="4"/>
  <c r="F36" i="4"/>
  <c r="F35" i="4"/>
  <c r="F37" i="4" s="1"/>
  <c r="A13" i="4"/>
  <c r="A14" i="4"/>
  <c r="A15" i="4"/>
  <c r="A16" i="4" s="1"/>
  <c r="A17" i="4" s="1"/>
  <c r="A18" i="4" s="1"/>
  <c r="A19" i="4" s="1"/>
  <c r="A20" i="4" s="1"/>
  <c r="A21" i="4" s="1"/>
  <c r="A22" i="4" s="1"/>
  <c r="A23" i="4" s="1"/>
  <c r="A24" i="4" s="1"/>
  <c r="M12" i="4"/>
  <c r="M12" i="64" s="1"/>
  <c r="G159" i="4"/>
  <c r="C153" i="4"/>
  <c r="C160" i="4"/>
  <c r="J156" i="4"/>
  <c r="L159" i="4"/>
  <c r="C154" i="4"/>
  <c r="F159" i="4"/>
  <c r="J319" i="49"/>
  <c r="C12" i="46"/>
  <c r="C57" i="22"/>
  <c r="D19" i="71"/>
  <c r="D18" i="71"/>
  <c r="G69" i="22"/>
  <c r="G63" i="22"/>
  <c r="G22" i="45"/>
  <c r="G20" i="45"/>
  <c r="K12" i="1" s="1"/>
  <c r="G19" i="45"/>
  <c r="G18" i="45"/>
  <c r="K130" i="1" s="1"/>
  <c r="J128" i="53"/>
  <c r="I128" i="53"/>
  <c r="F128" i="53"/>
  <c r="J127" i="53"/>
  <c r="I127" i="53"/>
  <c r="F127" i="53"/>
  <c r="J126" i="53"/>
  <c r="I126" i="53"/>
  <c r="K126" i="53" s="1"/>
  <c r="F126" i="53"/>
  <c r="J125" i="53"/>
  <c r="I125" i="53"/>
  <c r="F125" i="53"/>
  <c r="J124" i="53"/>
  <c r="I124" i="53"/>
  <c r="F124" i="53"/>
  <c r="J123" i="53"/>
  <c r="I123" i="53"/>
  <c r="K123" i="53" s="1"/>
  <c r="F123" i="53"/>
  <c r="J122" i="53"/>
  <c r="I122" i="53"/>
  <c r="F122" i="53"/>
  <c r="J121" i="53"/>
  <c r="I121" i="53"/>
  <c r="F121" i="53"/>
  <c r="J120" i="53"/>
  <c r="I120" i="53"/>
  <c r="F120" i="53"/>
  <c r="J119" i="53"/>
  <c r="I119" i="53"/>
  <c r="F119" i="53"/>
  <c r="J118" i="53"/>
  <c r="I118" i="53"/>
  <c r="F118" i="53"/>
  <c r="J117" i="53"/>
  <c r="I117" i="53"/>
  <c r="F117" i="53"/>
  <c r="J116" i="53"/>
  <c r="I116" i="53"/>
  <c r="F116" i="53"/>
  <c r="J115" i="53"/>
  <c r="I115" i="53"/>
  <c r="K115" i="53" s="1"/>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K119"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E29" i="55"/>
  <c r="D29" i="55"/>
  <c r="C29" i="55"/>
  <c r="H42" i="8"/>
  <c r="H33" i="8"/>
  <c r="F26" i="65"/>
  <c r="F27" i="65"/>
  <c r="F28" i="65"/>
  <c r="F29" i="65"/>
  <c r="F30" i="65"/>
  <c r="F31" i="65"/>
  <c r="F32" i="65"/>
  <c r="F33" i="65"/>
  <c r="F34" i="65"/>
  <c r="F35" i="65"/>
  <c r="F36" i="65"/>
  <c r="E222" i="49"/>
  <c r="F222" i="49" s="1"/>
  <c r="O34" i="48"/>
  <c r="O35" i="48"/>
  <c r="O36" i="48"/>
  <c r="J20" i="61"/>
  <c r="M20" i="61" s="1"/>
  <c r="G20" i="61"/>
  <c r="I20" i="61" s="1"/>
  <c r="P97" i="48"/>
  <c r="P98" i="48"/>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F110" i="49" s="1"/>
  <c r="E111" i="49"/>
  <c r="F111" i="49" s="1"/>
  <c r="E112" i="49"/>
  <c r="F112" i="49" s="1"/>
  <c r="D128" i="48"/>
  <c r="D127" i="48"/>
  <c r="D126" i="48"/>
  <c r="D125" i="48"/>
  <c r="D124" i="48"/>
  <c r="D123" i="48"/>
  <c r="D122" i="48"/>
  <c r="D121" i="48"/>
  <c r="D120" i="48"/>
  <c r="D119" i="48"/>
  <c r="F268" i="61"/>
  <c r="F72" i="64"/>
  <c r="E72" i="64"/>
  <c r="D72" i="64"/>
  <c r="F67" i="64"/>
  <c r="F66" i="64"/>
  <c r="E67" i="64"/>
  <c r="E66" i="64"/>
  <c r="D67" i="64"/>
  <c r="D66" i="64"/>
  <c r="D24" i="64"/>
  <c r="C120" i="48" s="1"/>
  <c r="E120" i="48" s="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D12" i="64"/>
  <c r="C24" i="64"/>
  <c r="C119" i="48" s="1"/>
  <c r="E119" i="48" s="1"/>
  <c r="C12" i="64"/>
  <c r="C48" i="64" s="1"/>
  <c r="D70" i="21" s="1"/>
  <c r="B97" i="64"/>
  <c r="A43" i="64"/>
  <c r="A44" i="64"/>
  <c r="A45" i="64"/>
  <c r="A46" i="64"/>
  <c r="A47" i="64"/>
  <c r="A48" i="64"/>
  <c r="A13" i="64"/>
  <c r="A14" i="64"/>
  <c r="A15" i="64"/>
  <c r="A16" i="64"/>
  <c r="A17" i="64"/>
  <c r="A18" i="64"/>
  <c r="A19" i="64"/>
  <c r="A20" i="64"/>
  <c r="A21" i="64"/>
  <c r="A22" i="64"/>
  <c r="A23" i="64"/>
  <c r="A24" i="64"/>
  <c r="A25" i="64"/>
  <c r="A26" i="64"/>
  <c r="A28" i="64"/>
  <c r="D48" i="64"/>
  <c r="E70" i="21" s="1"/>
  <c r="A49" i="64"/>
  <c r="A50" i="64"/>
  <c r="A51" i="64"/>
  <c r="A52" i="64"/>
  <c r="A53" i="64"/>
  <c r="A54" i="64"/>
  <c r="A55" i="64"/>
  <c r="A56" i="64"/>
  <c r="A57" i="64"/>
  <c r="A58" i="64"/>
  <c r="A59" i="64"/>
  <c r="A60" i="64"/>
  <c r="A61" i="64"/>
  <c r="A62" i="64"/>
  <c r="A63" i="64"/>
  <c r="A64" i="64"/>
  <c r="A65" i="64"/>
  <c r="A66" i="64"/>
  <c r="A67" i="64"/>
  <c r="A68" i="64"/>
  <c r="G91" i="64"/>
  <c r="B146" i="21"/>
  <c r="B98" i="64"/>
  <c r="A69" i="64"/>
  <c r="A70" i="64"/>
  <c r="A71" i="64"/>
  <c r="A72" i="64"/>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8" i="8"/>
  <c r="E89" i="8" s="1"/>
  <c r="C117" i="48"/>
  <c r="H26" i="8"/>
  <c r="I31" i="1"/>
  <c r="A33" i="79"/>
  <c r="A34" i="79"/>
  <c r="A35" i="79"/>
  <c r="A36" i="79"/>
  <c r="A37" i="79"/>
  <c r="A38" i="79"/>
  <c r="A39" i="79"/>
  <c r="D17" i="71"/>
  <c r="D16" i="71"/>
  <c r="D15" i="71"/>
  <c r="D14" i="71"/>
  <c r="D13" i="71"/>
  <c r="D12" i="71"/>
  <c r="D11" i="71"/>
  <c r="D10" i="71"/>
  <c r="D54" i="71" s="1"/>
  <c r="D9" i="71"/>
  <c r="D57" i="7"/>
  <c r="D53" i="7"/>
  <c r="E34" i="11"/>
  <c r="E33" i="11"/>
  <c r="E32" i="11"/>
  <c r="E31" i="11"/>
  <c r="E30" i="11"/>
  <c r="E29" i="11"/>
  <c r="E28" i="11"/>
  <c r="E27" i="11"/>
  <c r="E26" i="11"/>
  <c r="F50" i="11" s="1"/>
  <c r="I406" i="49"/>
  <c r="I405" i="49"/>
  <c r="I404" i="49"/>
  <c r="I403" i="49"/>
  <c r="I402" i="49"/>
  <c r="I401" i="49"/>
  <c r="I400" i="49"/>
  <c r="I399" i="49"/>
  <c r="I398" i="49"/>
  <c r="I397" i="49"/>
  <c r="I396" i="49"/>
  <c r="I395" i="49"/>
  <c r="I394" i="49"/>
  <c r="I393" i="49"/>
  <c r="I392" i="49"/>
  <c r="I391" i="49"/>
  <c r="I390" i="49"/>
  <c r="I389" i="49"/>
  <c r="I388" i="49"/>
  <c r="I387" i="49"/>
  <c r="I386" i="49"/>
  <c r="E406" i="49"/>
  <c r="F406" i="49" s="1"/>
  <c r="E405" i="49"/>
  <c r="F405" i="49" s="1"/>
  <c r="E404" i="49"/>
  <c r="F404" i="49" s="1"/>
  <c r="E403" i="49"/>
  <c r="F403" i="49" s="1"/>
  <c r="E402" i="49"/>
  <c r="F402" i="49" s="1"/>
  <c r="E401" i="49"/>
  <c r="F401" i="49" s="1"/>
  <c r="E400" i="49"/>
  <c r="F400" i="49" s="1"/>
  <c r="E399" i="49"/>
  <c r="F399" i="49" s="1"/>
  <c r="E398" i="49"/>
  <c r="E397" i="49"/>
  <c r="F397" i="49" s="1"/>
  <c r="E396" i="49"/>
  <c r="F396" i="49" s="1"/>
  <c r="E395" i="49"/>
  <c r="F395" i="49" s="1"/>
  <c r="E394" i="49"/>
  <c r="F394" i="49" s="1"/>
  <c r="E393" i="49"/>
  <c r="F393" i="49" s="1"/>
  <c r="E392" i="49"/>
  <c r="F392" i="49" s="1"/>
  <c r="E391" i="49"/>
  <c r="F391" i="49" s="1"/>
  <c r="E390" i="49"/>
  <c r="F390" i="49" s="1"/>
  <c r="E389" i="49"/>
  <c r="F389" i="49" s="1"/>
  <c r="E388" i="49"/>
  <c r="F388" i="49" s="1"/>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F372" i="49" s="1"/>
  <c r="E371" i="49"/>
  <c r="F371" i="49" s="1"/>
  <c r="E370" i="49"/>
  <c r="F370" i="49" s="1"/>
  <c r="E369" i="49"/>
  <c r="E368" i="49"/>
  <c r="F368" i="49" s="1"/>
  <c r="E367" i="49"/>
  <c r="F367" i="49" s="1"/>
  <c r="E366" i="49"/>
  <c r="F366" i="49" s="1"/>
  <c r="E365" i="49"/>
  <c r="F365" i="49" s="1"/>
  <c r="E364" i="49"/>
  <c r="F364" i="49" s="1"/>
  <c r="E363" i="49"/>
  <c r="F363" i="49" s="1"/>
  <c r="E362" i="49"/>
  <c r="F362" i="49" s="1"/>
  <c r="E361" i="49"/>
  <c r="F361" i="49" s="1"/>
  <c r="E360" i="49"/>
  <c r="E359" i="49"/>
  <c r="E358" i="49"/>
  <c r="F358" i="49" s="1"/>
  <c r="E357" i="49"/>
  <c r="F357" i="49" s="1"/>
  <c r="E356" i="49"/>
  <c r="F356" i="49" s="1"/>
  <c r="E355" i="49"/>
  <c r="F355" i="49" s="1"/>
  <c r="E354" i="49"/>
  <c r="F354" i="49" s="1"/>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E337" i="49"/>
  <c r="F337" i="49" s="1"/>
  <c r="E336" i="49"/>
  <c r="F336" i="49" s="1"/>
  <c r="E335" i="49"/>
  <c r="F335" i="49" s="1"/>
  <c r="E334" i="49"/>
  <c r="F334" i="49" s="1"/>
  <c r="E333" i="49"/>
  <c r="F333" i="49" s="1"/>
  <c r="E332" i="49"/>
  <c r="F332" i="49" s="1"/>
  <c r="E331" i="49"/>
  <c r="F331" i="49" s="1"/>
  <c r="E330" i="49"/>
  <c r="E329" i="49"/>
  <c r="F329" i="49" s="1"/>
  <c r="E328" i="49"/>
  <c r="E327" i="49"/>
  <c r="F327" i="49" s="1"/>
  <c r="E326" i="49"/>
  <c r="E325" i="49"/>
  <c r="F325" i="49" s="1"/>
  <c r="E324" i="49"/>
  <c r="F324" i="49" s="1"/>
  <c r="E323" i="49"/>
  <c r="F323" i="49" s="1"/>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F304" i="49" s="1"/>
  <c r="E303" i="49"/>
  <c r="F303" i="49" s="1"/>
  <c r="E302" i="49"/>
  <c r="F302" i="49" s="1"/>
  <c r="E301" i="49"/>
  <c r="F301" i="49" s="1"/>
  <c r="E300" i="49"/>
  <c r="F300" i="49" s="1"/>
  <c r="E299" i="49"/>
  <c r="F299" i="49" s="1"/>
  <c r="E298" i="49"/>
  <c r="F298" i="49" s="1"/>
  <c r="E297" i="49"/>
  <c r="E296" i="49"/>
  <c r="F296" i="49" s="1"/>
  <c r="E295" i="49"/>
  <c r="E294" i="49"/>
  <c r="F294" i="49" s="1"/>
  <c r="E293" i="49"/>
  <c r="F293" i="49" s="1"/>
  <c r="E292" i="49"/>
  <c r="F292" i="49" s="1"/>
  <c r="E291" i="49"/>
  <c r="F291" i="49" s="1"/>
  <c r="E290" i="49"/>
  <c r="E289" i="49"/>
  <c r="E288" i="49"/>
  <c r="F288" i="49" s="1"/>
  <c r="E287" i="49"/>
  <c r="F287" i="49" s="1"/>
  <c r="I274" i="49"/>
  <c r="I273" i="49"/>
  <c r="I272" i="49"/>
  <c r="I271" i="49"/>
  <c r="I270" i="49"/>
  <c r="I269" i="49"/>
  <c r="I268" i="49"/>
  <c r="I267" i="49"/>
  <c r="I266" i="49"/>
  <c r="I265" i="49"/>
  <c r="I264" i="49"/>
  <c r="I263" i="49"/>
  <c r="I262" i="49"/>
  <c r="I261" i="49"/>
  <c r="I260" i="49"/>
  <c r="I259" i="49"/>
  <c r="I258" i="49"/>
  <c r="I257" i="49"/>
  <c r="I256" i="49"/>
  <c r="I255" i="49"/>
  <c r="I254" i="49"/>
  <c r="E274" i="49"/>
  <c r="F274" i="49" s="1"/>
  <c r="E273" i="49"/>
  <c r="F273" i="49" s="1"/>
  <c r="E272" i="49"/>
  <c r="F272" i="49" s="1"/>
  <c r="E271" i="49"/>
  <c r="F271" i="49" s="1"/>
  <c r="E270" i="49"/>
  <c r="F270" i="49" s="1"/>
  <c r="E269" i="49"/>
  <c r="F269" i="49" s="1"/>
  <c r="E268" i="49"/>
  <c r="E267" i="49"/>
  <c r="F267" i="49" s="1"/>
  <c r="E266" i="49"/>
  <c r="F266" i="49" s="1"/>
  <c r="E265" i="49"/>
  <c r="F265" i="49" s="1"/>
  <c r="E264" i="49"/>
  <c r="E263" i="49"/>
  <c r="F263" i="49" s="1"/>
  <c r="E262" i="49"/>
  <c r="F262" i="49" s="1"/>
  <c r="E261" i="49"/>
  <c r="F261" i="49" s="1"/>
  <c r="E260" i="49"/>
  <c r="E259" i="49"/>
  <c r="E258" i="49"/>
  <c r="E257" i="49"/>
  <c r="F257" i="49" s="1"/>
  <c r="E256" i="49"/>
  <c r="F256" i="49" s="1"/>
  <c r="E255" i="49"/>
  <c r="F255" i="49" s="1"/>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F239" i="49" s="1"/>
  <c r="E238" i="49"/>
  <c r="F238" i="49" s="1"/>
  <c r="E237" i="49"/>
  <c r="F237" i="49" s="1"/>
  <c r="E236" i="49"/>
  <c r="F236" i="49" s="1"/>
  <c r="E235" i="49"/>
  <c r="F235" i="49" s="1"/>
  <c r="E234" i="49"/>
  <c r="E233" i="49"/>
  <c r="F233" i="49" s="1"/>
  <c r="E232" i="49"/>
  <c r="F232" i="49" s="1"/>
  <c r="E231" i="49"/>
  <c r="F231" i="49" s="1"/>
  <c r="E230" i="49"/>
  <c r="F230" i="49" s="1"/>
  <c r="E229" i="49"/>
  <c r="E228" i="49"/>
  <c r="F228" i="49" s="1"/>
  <c r="E227" i="49"/>
  <c r="F227" i="49" s="1"/>
  <c r="E226" i="49"/>
  <c r="F226" i="49" s="1"/>
  <c r="E225" i="49"/>
  <c r="F225" i="49" s="1"/>
  <c r="E224" i="49"/>
  <c r="F224" i="49" s="1"/>
  <c r="E223" i="49"/>
  <c r="F223" i="49" s="1"/>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F189" i="49" s="1"/>
  <c r="E190" i="49"/>
  <c r="F190" i="49" s="1"/>
  <c r="E191" i="49"/>
  <c r="F191" i="49" s="1"/>
  <c r="E192" i="49"/>
  <c r="F192" i="49" s="1"/>
  <c r="E193" i="49"/>
  <c r="E194" i="49"/>
  <c r="E195" i="49"/>
  <c r="F195" i="49" s="1"/>
  <c r="E196" i="49"/>
  <c r="F196" i="49" s="1"/>
  <c r="E197" i="49"/>
  <c r="F197" i="49" s="1"/>
  <c r="E198" i="49"/>
  <c r="F198" i="49" s="1"/>
  <c r="E199" i="49"/>
  <c r="F199" i="49" s="1"/>
  <c r="E200" i="49"/>
  <c r="F200" i="49" s="1"/>
  <c r="E201" i="49"/>
  <c r="F201" i="49" s="1"/>
  <c r="E202" i="49"/>
  <c r="E203" i="49"/>
  <c r="F203" i="49" s="1"/>
  <c r="E204" i="49"/>
  <c r="F204" i="49" s="1"/>
  <c r="E205" i="49"/>
  <c r="F205" i="49" s="1"/>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F170" i="49" s="1"/>
  <c r="E169" i="49"/>
  <c r="F169" i="49" s="1"/>
  <c r="E168" i="49"/>
  <c r="F168" i="49" s="1"/>
  <c r="E167" i="49"/>
  <c r="F167" i="49" s="1"/>
  <c r="E166" i="49"/>
  <c r="F166" i="49" s="1"/>
  <c r="E165" i="49"/>
  <c r="E164" i="49"/>
  <c r="E163" i="49"/>
  <c r="F163" i="49" s="1"/>
  <c r="E162" i="49"/>
  <c r="F162" i="49" s="1"/>
  <c r="E161" i="49"/>
  <c r="F161" i="49" s="1"/>
  <c r="E160" i="49"/>
  <c r="F160" i="49" s="1"/>
  <c r="E159" i="49"/>
  <c r="F159" i="49" s="1"/>
  <c r="E158" i="49"/>
  <c r="F158" i="49" s="1"/>
  <c r="E157" i="49"/>
  <c r="F157" i="49" s="1"/>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F142" i="49" s="1"/>
  <c r="E141" i="49"/>
  <c r="F141" i="49" s="1"/>
  <c r="E140" i="49"/>
  <c r="F140" i="49" s="1"/>
  <c r="E139" i="49"/>
  <c r="F139" i="49" s="1"/>
  <c r="E138" i="49"/>
  <c r="F138" i="49" s="1"/>
  <c r="E137" i="49"/>
  <c r="F137" i="49" s="1"/>
  <c r="E136" i="49"/>
  <c r="E135" i="49"/>
  <c r="F135" i="49" s="1"/>
  <c r="E134" i="49"/>
  <c r="F134" i="49" s="1"/>
  <c r="E133" i="49"/>
  <c r="E132" i="49"/>
  <c r="E131" i="49"/>
  <c r="F131" i="49" s="1"/>
  <c r="E130" i="49"/>
  <c r="F130" i="49" s="1"/>
  <c r="E129" i="49"/>
  <c r="F129" i="49" s="1"/>
  <c r="E128" i="49"/>
  <c r="E127" i="49"/>
  <c r="F127" i="49" s="1"/>
  <c r="E126" i="49"/>
  <c r="F126" i="49" s="1"/>
  <c r="E125" i="49"/>
  <c r="E124" i="49"/>
  <c r="F124" i="49" s="1"/>
  <c r="E123" i="49"/>
  <c r="F123" i="49" s="1"/>
  <c r="E122" i="49"/>
  <c r="F122" i="49" s="1"/>
  <c r="I109" i="49"/>
  <c r="I108" i="49"/>
  <c r="I107" i="49"/>
  <c r="I106" i="49"/>
  <c r="I105" i="49"/>
  <c r="I104" i="49"/>
  <c r="I103" i="49"/>
  <c r="I102" i="49"/>
  <c r="I101" i="49"/>
  <c r="I100" i="49"/>
  <c r="I99" i="49"/>
  <c r="I98" i="49"/>
  <c r="I97" i="49"/>
  <c r="I96" i="49"/>
  <c r="I95" i="49"/>
  <c r="I94" i="49"/>
  <c r="I93" i="49"/>
  <c r="I92" i="49"/>
  <c r="I91" i="49"/>
  <c r="I90" i="49"/>
  <c r="I89" i="49"/>
  <c r="E109" i="49"/>
  <c r="F109" i="49" s="1"/>
  <c r="E108" i="49"/>
  <c r="F108" i="49" s="1"/>
  <c r="E107" i="49"/>
  <c r="E106" i="49"/>
  <c r="F106" i="49" s="1"/>
  <c r="E105" i="49"/>
  <c r="F105" i="49" s="1"/>
  <c r="E104" i="49"/>
  <c r="F104" i="49" s="1"/>
  <c r="E103" i="49"/>
  <c r="F103" i="49" s="1"/>
  <c r="E102" i="49"/>
  <c r="F102" i="49" s="1"/>
  <c r="E101" i="49"/>
  <c r="F101" i="49" s="1"/>
  <c r="E100" i="49"/>
  <c r="E99" i="49"/>
  <c r="F99" i="49" s="1"/>
  <c r="E98" i="49"/>
  <c r="F98" i="49" s="1"/>
  <c r="E97" i="49"/>
  <c r="F97" i="49" s="1"/>
  <c r="E96" i="49"/>
  <c r="F96" i="49" s="1"/>
  <c r="E95" i="49"/>
  <c r="F95" i="49" s="1"/>
  <c r="E94" i="49"/>
  <c r="F94" i="49" s="1"/>
  <c r="E93" i="49"/>
  <c r="F93" i="49" s="1"/>
  <c r="E92" i="49"/>
  <c r="F92" i="49" s="1"/>
  <c r="E91" i="49"/>
  <c r="F91" i="49" s="1"/>
  <c r="E90" i="49"/>
  <c r="F90" i="49" s="1"/>
  <c r="E89" i="49"/>
  <c r="F89" i="49" s="1"/>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F398" i="49"/>
  <c r="K384" i="49"/>
  <c r="J384" i="49"/>
  <c r="I384" i="49"/>
  <c r="H384" i="49"/>
  <c r="G384" i="49"/>
  <c r="F384" i="49"/>
  <c r="E384" i="49"/>
  <c r="D384" i="49"/>
  <c r="K383" i="49"/>
  <c r="J383" i="49"/>
  <c r="I383" i="49"/>
  <c r="H383" i="49"/>
  <c r="G383" i="49"/>
  <c r="F383" i="49"/>
  <c r="E383" i="49"/>
  <c r="D383" i="49"/>
  <c r="G382" i="49"/>
  <c r="F369" i="49"/>
  <c r="F360" i="49"/>
  <c r="F359" i="49"/>
  <c r="F353" i="49"/>
  <c r="J352" i="49"/>
  <c r="K351" i="49"/>
  <c r="J351" i="49"/>
  <c r="I351" i="49"/>
  <c r="H351" i="49"/>
  <c r="G351" i="49"/>
  <c r="F351" i="49"/>
  <c r="E351" i="49"/>
  <c r="D351" i="49"/>
  <c r="K350" i="49"/>
  <c r="J350" i="49"/>
  <c r="I350" i="49"/>
  <c r="H350" i="49"/>
  <c r="G350" i="49"/>
  <c r="F350" i="49"/>
  <c r="E350" i="49"/>
  <c r="D350" i="49"/>
  <c r="G349" i="49"/>
  <c r="F338" i="49"/>
  <c r="F330" i="49"/>
  <c r="F328" i="49"/>
  <c r="F326" i="49"/>
  <c r="K318" i="49"/>
  <c r="J318" i="49"/>
  <c r="I318" i="49"/>
  <c r="H318" i="49"/>
  <c r="G318" i="49"/>
  <c r="F318" i="49"/>
  <c r="E318" i="49"/>
  <c r="D318" i="49"/>
  <c r="K317" i="49"/>
  <c r="J317" i="49"/>
  <c r="I317" i="49"/>
  <c r="H317" i="49"/>
  <c r="G317" i="49"/>
  <c r="F317" i="49"/>
  <c r="E317" i="49"/>
  <c r="D317" i="49"/>
  <c r="G316" i="49"/>
  <c r="F305" i="49"/>
  <c r="F297" i="49"/>
  <c r="F295" i="49"/>
  <c r="F289" i="49"/>
  <c r="J286" i="49"/>
  <c r="K285" i="49"/>
  <c r="J285" i="49"/>
  <c r="I285" i="49"/>
  <c r="H285" i="49"/>
  <c r="G285" i="49"/>
  <c r="F285" i="49"/>
  <c r="E285" i="49"/>
  <c r="D285" i="49"/>
  <c r="K284" i="49"/>
  <c r="J284" i="49"/>
  <c r="I284" i="49"/>
  <c r="H284" i="49"/>
  <c r="G284" i="49"/>
  <c r="F284" i="49"/>
  <c r="E284" i="49"/>
  <c r="D284" i="49"/>
  <c r="G283" i="49"/>
  <c r="F268" i="49"/>
  <c r="F264" i="49"/>
  <c r="F260" i="49"/>
  <c r="F259" i="49"/>
  <c r="F258" i="49"/>
  <c r="J253" i="49"/>
  <c r="K252" i="49"/>
  <c r="J252" i="49"/>
  <c r="I252" i="49"/>
  <c r="H252" i="49"/>
  <c r="F252" i="49"/>
  <c r="E252" i="49"/>
  <c r="D252" i="49"/>
  <c r="K251" i="49"/>
  <c r="J251" i="49"/>
  <c r="I251" i="49"/>
  <c r="H251" i="49"/>
  <c r="F251" i="49"/>
  <c r="E251" i="49"/>
  <c r="D251" i="49"/>
  <c r="J220" i="49"/>
  <c r="K219" i="49"/>
  <c r="J219" i="49"/>
  <c r="I219" i="49"/>
  <c r="H219" i="49"/>
  <c r="G219" i="49"/>
  <c r="F219" i="49"/>
  <c r="E219" i="49"/>
  <c r="D219" i="49"/>
  <c r="K218" i="49"/>
  <c r="J218" i="49"/>
  <c r="I218" i="49"/>
  <c r="H218" i="49"/>
  <c r="G218" i="49"/>
  <c r="F218" i="49"/>
  <c r="E218" i="49"/>
  <c r="D218" i="49"/>
  <c r="G217" i="49"/>
  <c r="F202" i="49"/>
  <c r="F194" i="49"/>
  <c r="F193" i="49"/>
  <c r="J187" i="49"/>
  <c r="K186" i="49"/>
  <c r="J186" i="49"/>
  <c r="I186" i="49"/>
  <c r="H186" i="49"/>
  <c r="G186" i="49"/>
  <c r="F186" i="49"/>
  <c r="E186" i="49"/>
  <c r="D186" i="49"/>
  <c r="K185" i="49"/>
  <c r="J185" i="49"/>
  <c r="I185" i="49"/>
  <c r="H185" i="49"/>
  <c r="G185" i="49"/>
  <c r="F185" i="49"/>
  <c r="E185" i="49"/>
  <c r="D185" i="49"/>
  <c r="G184" i="49"/>
  <c r="G516" i="49" s="1"/>
  <c r="F172" i="49"/>
  <c r="F165" i="49"/>
  <c r="F164" i="49"/>
  <c r="F156" i="49"/>
  <c r="J154" i="49"/>
  <c r="K153" i="49"/>
  <c r="J153" i="49"/>
  <c r="I153" i="49"/>
  <c r="H153" i="49"/>
  <c r="G153" i="49"/>
  <c r="F153" i="49"/>
  <c r="E153" i="49"/>
  <c r="D153" i="49"/>
  <c r="K152" i="49"/>
  <c r="J152" i="49"/>
  <c r="I152" i="49"/>
  <c r="H152" i="49"/>
  <c r="G152" i="49"/>
  <c r="G483" i="49" s="1"/>
  <c r="F152" i="49"/>
  <c r="E152" i="49"/>
  <c r="D152" i="49"/>
  <c r="G151" i="49"/>
  <c r="G482" i="49" s="1"/>
  <c r="F133" i="49"/>
  <c r="F132" i="49"/>
  <c r="F128" i="49"/>
  <c r="F125" i="49"/>
  <c r="J121" i="49"/>
  <c r="K120" i="49"/>
  <c r="J120" i="49"/>
  <c r="I120" i="49"/>
  <c r="H120" i="49"/>
  <c r="G120" i="49"/>
  <c r="G450" i="49" s="1"/>
  <c r="F120" i="49"/>
  <c r="E120" i="49"/>
  <c r="D120" i="49"/>
  <c r="K119" i="49"/>
  <c r="J119" i="49"/>
  <c r="I119" i="49"/>
  <c r="H119" i="49"/>
  <c r="G119" i="49"/>
  <c r="G449" i="49" s="1"/>
  <c r="F119" i="49"/>
  <c r="E119" i="49"/>
  <c r="D119" i="49"/>
  <c r="G118" i="49"/>
  <c r="G448" i="49" s="1"/>
  <c r="J88" i="49"/>
  <c r="K87" i="49"/>
  <c r="J87" i="49"/>
  <c r="I87" i="49"/>
  <c r="H87" i="49"/>
  <c r="G87" i="49"/>
  <c r="G417" i="49" s="1"/>
  <c r="F87" i="49"/>
  <c r="E87" i="49"/>
  <c r="D87" i="49"/>
  <c r="K86" i="49"/>
  <c r="J86" i="49"/>
  <c r="I86" i="49"/>
  <c r="H86" i="49"/>
  <c r="G86" i="49"/>
  <c r="G416" i="49" s="1"/>
  <c r="F86" i="49"/>
  <c r="E86" i="49"/>
  <c r="D86" i="49"/>
  <c r="G85" i="49"/>
  <c r="G415" i="49" s="1"/>
  <c r="A14" i="49"/>
  <c r="A15" i="49" s="1"/>
  <c r="A16" i="49" s="1"/>
  <c r="A17" i="49" s="1"/>
  <c r="A18" i="49" s="1"/>
  <c r="A19" i="49" s="1"/>
  <c r="A20" i="49" s="1"/>
  <c r="A21" i="49" s="1"/>
  <c r="A22" i="49" s="1"/>
  <c r="A23" i="49" s="1"/>
  <c r="A24" i="49" s="1"/>
  <c r="A25" i="49" s="1"/>
  <c r="A45" i="48"/>
  <c r="A46" i="48"/>
  <c r="A47" i="48"/>
  <c r="A48" i="48"/>
  <c r="A49" i="48"/>
  <c r="A50" i="48"/>
  <c r="A51" i="48"/>
  <c r="A52" i="48"/>
  <c r="A53" i="48"/>
  <c r="A54" i="48"/>
  <c r="A55" i="48"/>
  <c r="A56" i="48"/>
  <c r="A57" i="48"/>
  <c r="A58" i="48"/>
  <c r="A59" i="48"/>
  <c r="A60" i="48"/>
  <c r="A61" i="48"/>
  <c r="A62" i="48"/>
  <c r="A63" i="48"/>
  <c r="A64" i="48"/>
  <c r="A65" i="48"/>
  <c r="G41" i="57"/>
  <c r="E78" i="7"/>
  <c r="F34" i="11"/>
  <c r="D46" i="7"/>
  <c r="F28" i="11"/>
  <c r="P95" i="48"/>
  <c r="P78" i="48"/>
  <c r="F74" i="48"/>
  <c r="E44" i="48"/>
  <c r="P92" i="48"/>
  <c r="P79" i="48"/>
  <c r="P87" i="48"/>
  <c r="P94" i="48"/>
  <c r="P54" i="48"/>
  <c r="G44" i="48"/>
  <c r="P50" i="48"/>
  <c r="P57" i="48"/>
  <c r="P84" i="48"/>
  <c r="P93" i="48"/>
  <c r="P49" i="48"/>
  <c r="P56" i="48"/>
  <c r="P58" i="48"/>
  <c r="P85" i="48"/>
  <c r="P91" i="48"/>
  <c r="F75" i="48"/>
  <c r="F44" i="48"/>
  <c r="O15" i="48"/>
  <c r="P89" i="48"/>
  <c r="P60" i="48"/>
  <c r="P28" i="48" s="1"/>
  <c r="P65" i="48"/>
  <c r="P76" i="48"/>
  <c r="P82" i="48"/>
  <c r="P83" i="48"/>
  <c r="O28" i="48"/>
  <c r="E42" i="48"/>
  <c r="P46" i="48"/>
  <c r="P64" i="48"/>
  <c r="P77" i="48"/>
  <c r="P14" i="48" s="1"/>
  <c r="O14" i="48"/>
  <c r="O20" i="48"/>
  <c r="P48" i="48"/>
  <c r="P62" i="48"/>
  <c r="P80" i="48"/>
  <c r="P61" i="48"/>
  <c r="P53" i="48"/>
  <c r="P45" i="48"/>
  <c r="P96" i="48"/>
  <c r="P88" i="48"/>
  <c r="P59" i="48"/>
  <c r="P51" i="48"/>
  <c r="P63" i="48"/>
  <c r="P47" i="48"/>
  <c r="P15" i="48" s="1"/>
  <c r="P86" i="48"/>
  <c r="P23" i="48" s="1"/>
  <c r="P90" i="48"/>
  <c r="E74" i="48"/>
  <c r="E43" i="48"/>
  <c r="P81" i="48"/>
  <c r="O16" i="48"/>
  <c r="O32" i="48"/>
  <c r="G43" i="48"/>
  <c r="O22" i="48"/>
  <c r="O30" i="48"/>
  <c r="M13" i="48"/>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P13" i="48"/>
  <c r="A107" i="48"/>
  <c r="A111" i="48"/>
  <c r="G72" i="48"/>
  <c r="H72" i="48"/>
  <c r="A119" i="48"/>
  <c r="J72" i="48"/>
  <c r="A120" i="48"/>
  <c r="A121" i="48"/>
  <c r="A122" i="48"/>
  <c r="A123" i="48"/>
  <c r="A124" i="48"/>
  <c r="A125" i="48"/>
  <c r="A126" i="48"/>
  <c r="A127" i="48"/>
  <c r="A128" i="48"/>
  <c r="A129" i="48"/>
  <c r="A130" i="48"/>
  <c r="F130" i="48"/>
  <c r="A131" i="48"/>
  <c r="A132" i="48"/>
  <c r="A133" i="48"/>
  <c r="F131" i="48"/>
  <c r="F133" i="48"/>
  <c r="I131" i="15"/>
  <c r="A131" i="15"/>
  <c r="E136" i="15" s="1"/>
  <c r="I118" i="15"/>
  <c r="E92" i="15"/>
  <c r="A88" i="15"/>
  <c r="A89" i="15" s="1"/>
  <c r="I87" i="15"/>
  <c r="I68" i="15"/>
  <c r="E73" i="15"/>
  <c r="I66" i="15"/>
  <c r="A11" i="15"/>
  <c r="A12" i="15" s="1"/>
  <c r="A13" i="15" s="1"/>
  <c r="E14" i="15" s="1"/>
  <c r="I54" i="15"/>
  <c r="G56" i="46"/>
  <c r="A10" i="22"/>
  <c r="A11" i="22"/>
  <c r="A12" i="22"/>
  <c r="A13" i="22"/>
  <c r="A14" i="22"/>
  <c r="A15" i="22"/>
  <c r="A16" i="22"/>
  <c r="A17" i="22"/>
  <c r="A18" i="22"/>
  <c r="A19" i="22"/>
  <c r="A20" i="22"/>
  <c r="A21" i="22"/>
  <c r="G23" i="22"/>
  <c r="D47" i="2"/>
  <c r="D48" i="2" s="1"/>
  <c r="D41" i="2"/>
  <c r="D42" i="2" s="1"/>
  <c r="F101" i="46" s="1"/>
  <c r="D35" i="2"/>
  <c r="D36" i="2" s="1"/>
  <c r="F82" i="46" s="1"/>
  <c r="C29" i="46"/>
  <c r="G29" i="46"/>
  <c r="E12" i="2"/>
  <c r="E11" i="2"/>
  <c r="E42" i="71"/>
  <c r="H27" i="8"/>
  <c r="H25" i="8"/>
  <c r="H9" i="8"/>
  <c r="H8" i="8"/>
  <c r="G27" i="32"/>
  <c r="G21" i="32"/>
  <c r="G13" i="32"/>
  <c r="B200" i="71"/>
  <c r="F145" i="71"/>
  <c r="F144" i="71"/>
  <c r="D64" i="46"/>
  <c r="G70" i="8"/>
  <c r="G72" i="8"/>
  <c r="E51" i="7"/>
  <c r="E39" i="7"/>
  <c r="I136" i="1"/>
  <c r="I135" i="1"/>
  <c r="I132" i="1"/>
  <c r="I130" i="1"/>
  <c r="I128" i="1"/>
  <c r="I102" i="1"/>
  <c r="I32" i="1"/>
  <c r="I30" i="1"/>
  <c r="I22" i="1"/>
  <c r="I12" i="1"/>
  <c r="I11" i="1"/>
  <c r="F265" i="61"/>
  <c r="F266" i="61"/>
  <c r="F263" i="61"/>
  <c r="F269" i="61"/>
  <c r="J46" i="8"/>
  <c r="C104" i="26"/>
  <c r="E19" i="55"/>
  <c r="E17" i="55"/>
  <c r="E18" i="55"/>
  <c r="I21" i="45"/>
  <c r="H58" i="26"/>
  <c r="F65" i="26"/>
  <c r="B112" i="12"/>
  <c r="K135" i="1"/>
  <c r="E27" i="12"/>
  <c r="D58" i="7" s="1"/>
  <c r="E26" i="12"/>
  <c r="H305" i="11"/>
  <c r="G305" i="11"/>
  <c r="H304" i="11"/>
  <c r="G304" i="11"/>
  <c r="H303" i="11"/>
  <c r="G303" i="11"/>
  <c r="H302" i="11"/>
  <c r="G302" i="11"/>
  <c r="H301" i="11"/>
  <c r="G301" i="11"/>
  <c r="H300" i="11"/>
  <c r="G300" i="11"/>
  <c r="H299" i="11"/>
  <c r="G299" i="11"/>
  <c r="H298" i="11"/>
  <c r="G298" i="11"/>
  <c r="H297" i="11"/>
  <c r="G297" i="11"/>
  <c r="H296" i="11"/>
  <c r="G296" i="11"/>
  <c r="H295" i="11"/>
  <c r="G295" i="11"/>
  <c r="H294" i="11"/>
  <c r="G294" i="11"/>
  <c r="H293" i="11"/>
  <c r="G293" i="11"/>
  <c r="H286" i="11"/>
  <c r="G286" i="11"/>
  <c r="H285" i="11"/>
  <c r="G285" i="11"/>
  <c r="H284" i="11"/>
  <c r="G284" i="11"/>
  <c r="H283" i="11"/>
  <c r="G283" i="11"/>
  <c r="H282" i="11"/>
  <c r="G282" i="11"/>
  <c r="H281" i="11"/>
  <c r="G281" i="11"/>
  <c r="H280" i="11"/>
  <c r="G280" i="11"/>
  <c r="H279" i="11"/>
  <c r="G279" i="11"/>
  <c r="H278" i="11"/>
  <c r="G278" i="11"/>
  <c r="H277" i="11"/>
  <c r="G277" i="11"/>
  <c r="H276" i="11"/>
  <c r="G276" i="11"/>
  <c r="H275" i="11"/>
  <c r="G275" i="11"/>
  <c r="H274" i="11"/>
  <c r="G274" i="11"/>
  <c r="H267" i="11"/>
  <c r="G267" i="11"/>
  <c r="H266" i="11"/>
  <c r="G266" i="11"/>
  <c r="H265" i="11"/>
  <c r="G265" i="11"/>
  <c r="H264" i="11"/>
  <c r="G264" i="11"/>
  <c r="H263" i="11"/>
  <c r="G263" i="11"/>
  <c r="H262" i="11"/>
  <c r="G262" i="11"/>
  <c r="H261" i="11"/>
  <c r="G261" i="11"/>
  <c r="H260" i="11"/>
  <c r="G260" i="11"/>
  <c r="H259" i="11"/>
  <c r="G259" i="11"/>
  <c r="H258" i="11"/>
  <c r="G258" i="11"/>
  <c r="H257" i="11"/>
  <c r="G257" i="11"/>
  <c r="H256" i="11"/>
  <c r="G256" i="11"/>
  <c r="H255" i="11"/>
  <c r="G255" i="11"/>
  <c r="H248" i="11"/>
  <c r="G248" i="11"/>
  <c r="H247" i="11"/>
  <c r="G247" i="11"/>
  <c r="H246" i="11"/>
  <c r="G246" i="11"/>
  <c r="H245" i="11"/>
  <c r="G245" i="11"/>
  <c r="H244" i="11"/>
  <c r="G244" i="11"/>
  <c r="H243" i="11"/>
  <c r="G243" i="11"/>
  <c r="H242" i="11"/>
  <c r="G242" i="11"/>
  <c r="H241" i="11"/>
  <c r="G241" i="11"/>
  <c r="H240" i="11"/>
  <c r="G240" i="11"/>
  <c r="H239" i="11"/>
  <c r="G239" i="11"/>
  <c r="H238" i="11"/>
  <c r="G238" i="11"/>
  <c r="H237" i="11"/>
  <c r="G237" i="11"/>
  <c r="H236" i="11"/>
  <c r="G236" i="11"/>
  <c r="H229" i="11"/>
  <c r="G229" i="11"/>
  <c r="H228" i="11"/>
  <c r="G228" i="11"/>
  <c r="H227" i="11"/>
  <c r="G227" i="11"/>
  <c r="H226" i="11"/>
  <c r="G226" i="11"/>
  <c r="H225" i="11"/>
  <c r="G225" i="11"/>
  <c r="H224" i="11"/>
  <c r="G224" i="11"/>
  <c r="H223" i="11"/>
  <c r="G223" i="11"/>
  <c r="H222" i="11"/>
  <c r="G222" i="11"/>
  <c r="H221" i="11"/>
  <c r="G221" i="11"/>
  <c r="H220" i="11"/>
  <c r="G220" i="11"/>
  <c r="H219" i="11"/>
  <c r="G219" i="11"/>
  <c r="H218" i="11"/>
  <c r="G218" i="11"/>
  <c r="H217" i="11"/>
  <c r="G217" i="11"/>
  <c r="H210" i="11"/>
  <c r="G210" i="11"/>
  <c r="H209" i="11"/>
  <c r="G209" i="11"/>
  <c r="H208" i="11"/>
  <c r="G208" i="11"/>
  <c r="H207" i="11"/>
  <c r="G207" i="11"/>
  <c r="H206" i="11"/>
  <c r="G206" i="11"/>
  <c r="H205" i="11"/>
  <c r="G205" i="11"/>
  <c r="H204" i="11"/>
  <c r="G204" i="11"/>
  <c r="H203" i="11"/>
  <c r="G203" i="11"/>
  <c r="H202" i="11"/>
  <c r="G202" i="11"/>
  <c r="H201" i="11"/>
  <c r="G201" i="11"/>
  <c r="H200" i="11"/>
  <c r="G200" i="11"/>
  <c r="H199" i="11"/>
  <c r="G199" i="11"/>
  <c r="H198" i="11"/>
  <c r="G198" i="11"/>
  <c r="H191" i="11"/>
  <c r="G191" i="11"/>
  <c r="H190" i="11"/>
  <c r="G190" i="11"/>
  <c r="H189" i="11"/>
  <c r="G189" i="11"/>
  <c r="H188" i="11"/>
  <c r="G188" i="11"/>
  <c r="H187" i="11"/>
  <c r="G187" i="11"/>
  <c r="H186" i="11"/>
  <c r="G186" i="11"/>
  <c r="H185" i="11"/>
  <c r="G185" i="11"/>
  <c r="H184" i="11"/>
  <c r="G184" i="11"/>
  <c r="H183" i="11"/>
  <c r="G183" i="11"/>
  <c r="H182" i="11"/>
  <c r="G182" i="11"/>
  <c r="H181" i="11"/>
  <c r="G181" i="11"/>
  <c r="H180" i="11"/>
  <c r="G180" i="11"/>
  <c r="H179" i="11"/>
  <c r="G179" i="11"/>
  <c r="H172" i="11"/>
  <c r="G172" i="11"/>
  <c r="G87" i="11" s="1"/>
  <c r="G51" i="11" s="1"/>
  <c r="H171" i="11"/>
  <c r="G171" i="11"/>
  <c r="G86" i="11" s="1"/>
  <c r="H170" i="11"/>
  <c r="G170" i="11"/>
  <c r="G85"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2" i="11"/>
  <c r="G152" i="11"/>
  <c r="H87" i="11" s="1"/>
  <c r="G49" i="11" s="1"/>
  <c r="E49" i="11" s="1"/>
  <c r="E39" i="12" s="1"/>
  <c r="H151" i="11"/>
  <c r="G151" i="11"/>
  <c r="H86" i="11" s="1"/>
  <c r="H150" i="11"/>
  <c r="G150" i="11"/>
  <c r="H85"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2" i="11"/>
  <c r="G132" i="11"/>
  <c r="F87" i="11" s="1"/>
  <c r="H131" i="11"/>
  <c r="G131" i="11"/>
  <c r="F86"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F110" i="11"/>
  <c r="D37" i="7"/>
  <c r="G24" i="2"/>
  <c r="G22" i="2"/>
  <c r="F100" i="12"/>
  <c r="B108" i="12"/>
  <c r="B34" i="31"/>
  <c r="G14" i="26"/>
  <c r="F47" i="71"/>
  <c r="A10" i="71"/>
  <c r="A11" i="71"/>
  <c r="A12" i="71"/>
  <c r="A13" i="71"/>
  <c r="A14" i="71"/>
  <c r="A15" i="71"/>
  <c r="A16" i="71"/>
  <c r="A17" i="71"/>
  <c r="A18" i="71"/>
  <c r="A19" i="71"/>
  <c r="A20" i="71"/>
  <c r="D47" i="71"/>
  <c r="J56" i="61"/>
  <c r="M56" i="61" s="1"/>
  <c r="G12" i="2"/>
  <c r="C64" i="46"/>
  <c r="G58" i="26"/>
  <c r="G59" i="26" s="1"/>
  <c r="C56" i="46"/>
  <c r="L57" i="46"/>
  <c r="E120" i="46"/>
  <c r="I120" i="46"/>
  <c r="K56" i="46"/>
  <c r="D119" i="46" s="1"/>
  <c r="H119" i="46" s="1"/>
  <c r="G55" i="46"/>
  <c r="L55" i="46"/>
  <c r="E118" i="46" s="1"/>
  <c r="K55" i="46"/>
  <c r="D118" i="46" s="1"/>
  <c r="C55" i="46"/>
  <c r="G54" i="46"/>
  <c r="L54" i="46"/>
  <c r="E117" i="46" s="1"/>
  <c r="K54" i="46"/>
  <c r="D117" i="46" s="1"/>
  <c r="C54" i="46"/>
  <c r="G53" i="46"/>
  <c r="L53" i="46"/>
  <c r="E116" i="46" s="1"/>
  <c r="K53" i="46"/>
  <c r="C53" i="46"/>
  <c r="G52" i="46"/>
  <c r="L56" i="46"/>
  <c r="K52" i="46"/>
  <c r="D115" i="46" s="1"/>
  <c r="C52" i="46"/>
  <c r="G41" i="46"/>
  <c r="G40" i="46"/>
  <c r="C40" i="46"/>
  <c r="G39" i="46"/>
  <c r="C39" i="46"/>
  <c r="G38" i="46"/>
  <c r="C38" i="46"/>
  <c r="G37" i="46"/>
  <c r="C37" i="46"/>
  <c r="G36" i="46"/>
  <c r="C36" i="46"/>
  <c r="G35" i="46"/>
  <c r="C35" i="46"/>
  <c r="G34" i="46"/>
  <c r="C34" i="46"/>
  <c r="G33" i="46"/>
  <c r="C33" i="46"/>
  <c r="G32" i="46"/>
  <c r="C32" i="46"/>
  <c r="G31" i="46"/>
  <c r="D94" i="46"/>
  <c r="H94" i="46" s="1"/>
  <c r="C31" i="46"/>
  <c r="G30" i="46"/>
  <c r="C30" i="46"/>
  <c r="G28" i="46"/>
  <c r="C28" i="46"/>
  <c r="G27" i="46"/>
  <c r="C27" i="46"/>
  <c r="G26" i="46"/>
  <c r="C26" i="46"/>
  <c r="C25" i="46"/>
  <c r="G24" i="46"/>
  <c r="C24" i="46"/>
  <c r="G23" i="46"/>
  <c r="C23" i="46"/>
  <c r="G22" i="46"/>
  <c r="C22" i="46"/>
  <c r="G21" i="46"/>
  <c r="C21" i="46"/>
  <c r="C20" i="46"/>
  <c r="G19" i="46"/>
  <c r="C19" i="46"/>
  <c r="G18" i="46"/>
  <c r="C18" i="46"/>
  <c r="G17" i="46"/>
  <c r="C17" i="46"/>
  <c r="G16" i="46"/>
  <c r="C16" i="46"/>
  <c r="G15" i="46"/>
  <c r="C15" i="46"/>
  <c r="G14" i="46"/>
  <c r="C14" i="46"/>
  <c r="G13" i="46"/>
  <c r="C13" i="46"/>
  <c r="G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G11" i="46"/>
  <c r="B55" i="54"/>
  <c r="C10" i="9"/>
  <c r="A5" i="31"/>
  <c r="E15" i="66"/>
  <c r="J25" i="8" s="1"/>
  <c r="F15" i="66"/>
  <c r="D54" i="7"/>
  <c r="F42" i="54"/>
  <c r="F39" i="54"/>
  <c r="F30" i="54"/>
  <c r="A8" i="2"/>
  <c r="A9" i="2"/>
  <c r="A10" i="2"/>
  <c r="A11" i="2"/>
  <c r="K128" i="1"/>
  <c r="A11" i="7"/>
  <c r="A12" i="7"/>
  <c r="A13" i="7"/>
  <c r="A14" i="7"/>
  <c r="A15" i="7"/>
  <c r="A16" i="7"/>
  <c r="K32" i="1"/>
  <c r="A14" i="65"/>
  <c r="A15" i="65" s="1"/>
  <c r="A16" i="65" s="1"/>
  <c r="A17" i="65" s="1"/>
  <c r="A18" i="65" s="1"/>
  <c r="A19" i="65" s="1"/>
  <c r="A20" i="65" s="1"/>
  <c r="A21" i="65" s="1"/>
  <c r="A22" i="65" s="1"/>
  <c r="A23" i="65" s="1"/>
  <c r="A24" i="65" s="1"/>
  <c r="A25" i="12"/>
  <c r="A26" i="12"/>
  <c r="E267" i="61"/>
  <c r="N214" i="61"/>
  <c r="N211" i="61"/>
  <c r="N209" i="61"/>
  <c r="N206" i="61"/>
  <c r="N205" i="61"/>
  <c r="N200" i="61"/>
  <c r="M200" i="61"/>
  <c r="L200" i="61"/>
  <c r="J200" i="61"/>
  <c r="I200" i="61"/>
  <c r="H200" i="61"/>
  <c r="G200" i="61"/>
  <c r="J177" i="61"/>
  <c r="M177" i="61" s="1"/>
  <c r="N125" i="61"/>
  <c r="H63" i="61"/>
  <c r="G63" i="61"/>
  <c r="J62" i="61"/>
  <c r="M62" i="61" s="1"/>
  <c r="N61" i="61"/>
  <c r="N60" i="61"/>
  <c r="J59" i="61"/>
  <c r="M59" i="61" s="1"/>
  <c r="J58" i="61"/>
  <c r="M58" i="61" s="1"/>
  <c r="J57" i="61"/>
  <c r="M57" i="61" s="1"/>
  <c r="G18" i="61"/>
  <c r="I18" i="61" s="1"/>
  <c r="J17" i="61"/>
  <c r="M17" i="61" s="1"/>
  <c r="N16" i="61"/>
  <c r="J15" i="61"/>
  <c r="M15" i="61" s="1"/>
  <c r="G14" i="61"/>
  <c r="I14" i="61" s="1"/>
  <c r="J13" i="61"/>
  <c r="M13" i="61" s="1"/>
  <c r="J12" i="61"/>
  <c r="M12" i="61" s="1"/>
  <c r="J11" i="61"/>
  <c r="M11" i="61" s="1"/>
  <c r="J5" i="61"/>
  <c r="M5" i="61" s="1"/>
  <c r="G4" i="61"/>
  <c r="I4" i="61" s="1"/>
  <c r="A8" i="17"/>
  <c r="A9" i="17"/>
  <c r="A10" i="17"/>
  <c r="A11" i="17"/>
  <c r="A12" i="17"/>
  <c r="A13" i="17"/>
  <c r="A14" i="17"/>
  <c r="I103" i="1"/>
  <c r="D51" i="26"/>
  <c r="G20" i="26" s="1"/>
  <c r="D50" i="26"/>
  <c r="G19" i="26" s="1"/>
  <c r="I19" i="26" s="1"/>
  <c r="D49" i="26"/>
  <c r="G18" i="26" s="1"/>
  <c r="I18" i="26" s="1"/>
  <c r="D48" i="26"/>
  <c r="G17" i="26" s="1"/>
  <c r="I17" i="26" s="1"/>
  <c r="D47" i="26"/>
  <c r="G16" i="26" s="1"/>
  <c r="I16" i="26" s="1"/>
  <c r="D46" i="26"/>
  <c r="G15" i="26" s="1"/>
  <c r="I15" i="26" s="1"/>
  <c r="D43" i="26"/>
  <c r="G12" i="26" s="1"/>
  <c r="D42" i="26"/>
  <c r="G11" i="26" s="1"/>
  <c r="D41" i="26"/>
  <c r="G10" i="26" s="1"/>
  <c r="D40" i="26"/>
  <c r="G9" i="26" s="1"/>
  <c r="D39" i="26"/>
  <c r="G8" i="26" s="1"/>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A13" i="32"/>
  <c r="G14" i="32"/>
  <c r="A8" i="26"/>
  <c r="A9" i="26" s="1"/>
  <c r="A10" i="26" s="1"/>
  <c r="A11" i="26" s="1"/>
  <c r="A27" i="11"/>
  <c r="K102" i="1"/>
  <c r="A7" i="8"/>
  <c r="A8" i="8" s="1"/>
  <c r="A9" i="8" s="1"/>
  <c r="A12" i="8" s="1"/>
  <c r="E27" i="32"/>
  <c r="F25" i="26"/>
  <c r="F26" i="12"/>
  <c r="F40" i="12" s="1"/>
  <c r="F25" i="12"/>
  <c r="F39" i="12" s="1"/>
  <c r="F22" i="31"/>
  <c r="E22" i="31"/>
  <c r="D22" i="31"/>
  <c r="F15" i="56"/>
  <c r="L52" i="46"/>
  <c r="E115" i="46" s="1"/>
  <c r="A10" i="1"/>
  <c r="A11" i="1" s="1"/>
  <c r="A12" i="1" s="1"/>
  <c r="A21" i="71"/>
  <c r="G21" i="71"/>
  <c r="F54" i="71"/>
  <c r="J14" i="61"/>
  <c r="M14" i="61" s="1"/>
  <c r="G16" i="61"/>
  <c r="I16" i="61" s="1"/>
  <c r="J16" i="61"/>
  <c r="M16" i="61" s="1"/>
  <c r="J54" i="61"/>
  <c r="M54" i="61" s="1"/>
  <c r="G15" i="61"/>
  <c r="I15" i="61" s="1"/>
  <c r="N12" i="61"/>
  <c r="N212" i="61"/>
  <c r="E10" i="2"/>
  <c r="F48" i="71"/>
  <c r="E54" i="7"/>
  <c r="A29" i="57"/>
  <c r="J60" i="61"/>
  <c r="M60" i="61" s="1"/>
  <c r="N59" i="61"/>
  <c r="G176" i="61"/>
  <c r="I176" i="61" s="1"/>
  <c r="N15" i="61"/>
  <c r="G58" i="61"/>
  <c r="I58" i="61" s="1"/>
  <c r="G11" i="61"/>
  <c r="I11" i="61" s="1"/>
  <c r="N216" i="61"/>
  <c r="N5" i="61"/>
  <c r="I66" i="61"/>
  <c r="G59" i="61"/>
  <c r="I59" i="61" s="1"/>
  <c r="N17" i="61"/>
  <c r="N14" i="61"/>
  <c r="N18" i="61"/>
  <c r="G5" i="61"/>
  <c r="I5" i="61" s="1"/>
  <c r="N4" i="61"/>
  <c r="N210" i="61"/>
  <c r="N213" i="61"/>
  <c r="J55" i="61"/>
  <c r="M55" i="61" s="1"/>
  <c r="J63" i="61"/>
  <c r="M63" i="61" s="1"/>
  <c r="N13" i="61"/>
  <c r="N126" i="61"/>
  <c r="G17" i="61"/>
  <c r="I17" i="61" s="1"/>
  <c r="G13" i="61"/>
  <c r="I13" i="61" s="1"/>
  <c r="N207" i="61"/>
  <c r="N11" i="61"/>
  <c r="N208" i="61"/>
  <c r="N58" i="61"/>
  <c r="G57" i="61"/>
  <c r="I57" i="61" s="1"/>
  <c r="N63" i="61"/>
  <c r="N215" i="61"/>
  <c r="G60" i="61"/>
  <c r="I60" i="61" s="1"/>
  <c r="J4" i="61"/>
  <c r="J65" i="61"/>
  <c r="M65" i="61" s="1"/>
  <c r="A12" i="2"/>
  <c r="A13" i="2"/>
  <c r="J27" i="8"/>
  <c r="K103" i="1"/>
  <c r="A15" i="17"/>
  <c r="A16" i="17"/>
  <c r="A17" i="17"/>
  <c r="A18" i="17"/>
  <c r="A19" i="17"/>
  <c r="A20" i="17"/>
  <c r="A21" i="17"/>
  <c r="A22" i="17"/>
  <c r="A23" i="17"/>
  <c r="A17" i="7"/>
  <c r="A18" i="7"/>
  <c r="A19" i="7"/>
  <c r="A20" i="7"/>
  <c r="A21" i="7"/>
  <c r="A22" i="7"/>
  <c r="A23" i="7"/>
  <c r="A24" i="7"/>
  <c r="A25" i="7"/>
  <c r="B197" i="71"/>
  <c r="D93" i="46"/>
  <c r="A11" i="56"/>
  <c r="A12" i="56"/>
  <c r="A23" i="22"/>
  <c r="A14" i="32"/>
  <c r="A20" i="32"/>
  <c r="A27" i="12"/>
  <c r="D48" i="71"/>
  <c r="E48" i="71"/>
  <c r="A6" i="31"/>
  <c r="A7" i="31"/>
  <c r="A8" i="31"/>
  <c r="B39" i="31"/>
  <c r="A30" i="57"/>
  <c r="A31" i="57"/>
  <c r="G31" i="57"/>
  <c r="F55" i="71"/>
  <c r="E58" i="7"/>
  <c r="F115" i="71"/>
  <c r="E25" i="7"/>
  <c r="E13" i="2"/>
  <c r="E14" i="2"/>
  <c r="A14" i="2"/>
  <c r="A25" i="71"/>
  <c r="F114" i="71"/>
  <c r="F32" i="71"/>
  <c r="F25" i="71"/>
  <c r="A9" i="31"/>
  <c r="H22" i="31"/>
  <c r="A28" i="12"/>
  <c r="A29" i="12"/>
  <c r="A39" i="12"/>
  <c r="A40" i="12"/>
  <c r="A41" i="12"/>
  <c r="A42" i="12"/>
  <c r="A43" i="12"/>
  <c r="A44" i="12"/>
  <c r="I137" i="1"/>
  <c r="E83" i="7"/>
  <c r="E47" i="7"/>
  <c r="A26" i="7"/>
  <c r="A27" i="7"/>
  <c r="A28" i="7"/>
  <c r="A29" i="7"/>
  <c r="A30" i="7"/>
  <c r="A31" i="7"/>
  <c r="A32" i="7"/>
  <c r="A33" i="7"/>
  <c r="A34" i="7"/>
  <c r="A35" i="7"/>
  <c r="A36" i="7"/>
  <c r="D12" i="56"/>
  <c r="A24" i="22"/>
  <c r="G27" i="22"/>
  <c r="A13" i="56"/>
  <c r="A14" i="56"/>
  <c r="A15" i="56"/>
  <c r="A16" i="56"/>
  <c r="A17" i="56"/>
  <c r="D17" i="56"/>
  <c r="A32" i="57"/>
  <c r="A33" i="57"/>
  <c r="E15" i="2"/>
  <c r="A15" i="2"/>
  <c r="A26" i="71"/>
  <c r="A27" i="71"/>
  <c r="A37" i="7"/>
  <c r="A38" i="7"/>
  <c r="A39" i="7"/>
  <c r="A40" i="7"/>
  <c r="A41" i="7"/>
  <c r="A42" i="7"/>
  <c r="A43" i="7"/>
  <c r="A44" i="7"/>
  <c r="A45" i="7"/>
  <c r="A46" i="7"/>
  <c r="A54" i="12"/>
  <c r="B40" i="31"/>
  <c r="B35" i="31"/>
  <c r="A10" i="31"/>
  <c r="A18" i="56"/>
  <c r="A19" i="56"/>
  <c r="A20" i="56"/>
  <c r="A26" i="22"/>
  <c r="I15" i="1"/>
  <c r="G26" i="22"/>
  <c r="A21" i="32"/>
  <c r="A22" i="32"/>
  <c r="A26" i="32"/>
  <c r="G52" i="21"/>
  <c r="G59" i="21"/>
  <c r="G63" i="4"/>
  <c r="G58" i="4"/>
  <c r="A34" i="57"/>
  <c r="A35" i="57"/>
  <c r="A36" i="57"/>
  <c r="A37" i="57"/>
  <c r="A38" i="57"/>
  <c r="A39" i="57"/>
  <c r="A40" i="57"/>
  <c r="A41" i="57"/>
  <c r="A42" i="57"/>
  <c r="A43" i="57"/>
  <c r="A44" i="57"/>
  <c r="A45" i="57"/>
  <c r="G40" i="57"/>
  <c r="G33" i="57"/>
  <c r="I85" i="64"/>
  <c r="A47" i="7"/>
  <c r="A48" i="7"/>
  <c r="A49" i="7"/>
  <c r="A50" i="7"/>
  <c r="A51" i="7"/>
  <c r="A52" i="7"/>
  <c r="A53" i="7"/>
  <c r="A54" i="7"/>
  <c r="A55" i="7"/>
  <c r="G27" i="26"/>
  <c r="G50" i="22"/>
  <c r="F29" i="54"/>
  <c r="G54" i="22"/>
  <c r="G24" i="22"/>
  <c r="I55" i="1"/>
  <c r="A16" i="2"/>
  <c r="A17" i="2"/>
  <c r="A18" i="2"/>
  <c r="A19" i="2"/>
  <c r="A20" i="2"/>
  <c r="A21" i="2"/>
  <c r="A22" i="2"/>
  <c r="G22" i="32"/>
  <c r="A55" i="12"/>
  <c r="A56" i="12"/>
  <c r="A57" i="12"/>
  <c r="A58" i="12"/>
  <c r="A59" i="12"/>
  <c r="H62" i="8"/>
  <c r="B191" i="71"/>
  <c r="B194" i="71"/>
  <c r="F27" i="71"/>
  <c r="F65" i="71"/>
  <c r="A32" i="71"/>
  <c r="A33" i="71"/>
  <c r="A27" i="22"/>
  <c r="H12" i="8"/>
  <c r="A27" i="32"/>
  <c r="A28" i="32"/>
  <c r="A21" i="56"/>
  <c r="A22" i="56"/>
  <c r="A23" i="56"/>
  <c r="A24" i="56"/>
  <c r="A25" i="56"/>
  <c r="A26" i="56"/>
  <c r="B41" i="31"/>
  <c r="B36" i="31"/>
  <c r="A18" i="31"/>
  <c r="E40" i="7"/>
  <c r="G43" i="57"/>
  <c r="G45" i="57"/>
  <c r="A34" i="71"/>
  <c r="A35" i="71"/>
  <c r="F66" i="71"/>
  <c r="A46" i="57"/>
  <c r="A47" i="57"/>
  <c r="G9" i="31"/>
  <c r="G10" i="31"/>
  <c r="E48" i="7"/>
  <c r="E23" i="2"/>
  <c r="A23" i="2"/>
  <c r="B109" i="12"/>
  <c r="A68" i="12"/>
  <c r="A19" i="31"/>
  <c r="A20" i="31"/>
  <c r="A22" i="31"/>
  <c r="A24" i="31"/>
  <c r="A27" i="31"/>
  <c r="A56" i="7"/>
  <c r="A57" i="7"/>
  <c r="A58" i="7"/>
  <c r="A59" i="7"/>
  <c r="A60" i="7"/>
  <c r="A61" i="7"/>
  <c r="E55" i="7"/>
  <c r="D26" i="56"/>
  <c r="G28" i="32"/>
  <c r="A34" i="22"/>
  <c r="A27" i="56"/>
  <c r="A28" i="56"/>
  <c r="D28" i="56"/>
  <c r="A36" i="71"/>
  <c r="A37" i="71"/>
  <c r="C37" i="71"/>
  <c r="B192" i="71"/>
  <c r="B195" i="71"/>
  <c r="G12" i="32"/>
  <c r="G26" i="32"/>
  <c r="G20" i="32"/>
  <c r="E20" i="2"/>
  <c r="A38" i="71"/>
  <c r="A39" i="71"/>
  <c r="A42" i="71"/>
  <c r="A47" i="71"/>
  <c r="A48" i="71"/>
  <c r="A49" i="71"/>
  <c r="F35" i="71"/>
  <c r="A35" i="22"/>
  <c r="A36" i="22"/>
  <c r="A37" i="22"/>
  <c r="A38" i="22"/>
  <c r="A39" i="22"/>
  <c r="A40" i="22"/>
  <c r="A41" i="22"/>
  <c r="A42" i="22"/>
  <c r="A43" i="22"/>
  <c r="A44" i="22"/>
  <c r="A45" i="22"/>
  <c r="A46" i="22"/>
  <c r="G49" i="22"/>
  <c r="A24" i="2"/>
  <c r="A34" i="56"/>
  <c r="A35" i="56"/>
  <c r="A36" i="56"/>
  <c r="A37" i="56"/>
  <c r="A38" i="56"/>
  <c r="E63" i="7"/>
  <c r="A69" i="12"/>
  <c r="A70" i="12"/>
  <c r="A71" i="12"/>
  <c r="A81" i="12"/>
  <c r="A82" i="12"/>
  <c r="A83" i="12"/>
  <c r="A84" i="12"/>
  <c r="A85" i="12"/>
  <c r="A86" i="12"/>
  <c r="B38" i="31"/>
  <c r="H27" i="31"/>
  <c r="A62" i="7"/>
  <c r="A63" i="7"/>
  <c r="E59" i="7"/>
  <c r="E64" i="7"/>
  <c r="E69" i="7"/>
  <c r="E25" i="2"/>
  <c r="A25" i="2"/>
  <c r="G53" i="22"/>
  <c r="A64" i="7"/>
  <c r="A65" i="7"/>
  <c r="B110" i="12"/>
  <c r="A90" i="12"/>
  <c r="A54" i="71"/>
  <c r="A55" i="71"/>
  <c r="A56" i="71"/>
  <c r="F67" i="71"/>
  <c r="A49" i="22"/>
  <c r="A39" i="56"/>
  <c r="A40" i="56"/>
  <c r="A26" i="2"/>
  <c r="A27" i="2"/>
  <c r="A28" i="2"/>
  <c r="E65" i="7"/>
  <c r="D40" i="56"/>
  <c r="A66" i="7"/>
  <c r="A67" i="7"/>
  <c r="A68" i="7"/>
  <c r="A69" i="7"/>
  <c r="A70" i="7"/>
  <c r="A50" i="22"/>
  <c r="A51" i="22"/>
  <c r="H13" i="8"/>
  <c r="A91" i="12"/>
  <c r="A92" i="12"/>
  <c r="A57" i="71"/>
  <c r="A58" i="71"/>
  <c r="F68" i="71"/>
  <c r="A41" i="56"/>
  <c r="A42" i="56"/>
  <c r="E21" i="2"/>
  <c r="D42" i="56"/>
  <c r="A53" i="22"/>
  <c r="I132" i="15"/>
  <c r="I88" i="15"/>
  <c r="I69" i="15"/>
  <c r="A65" i="71"/>
  <c r="A66" i="71"/>
  <c r="F49" i="71"/>
  <c r="F56" i="71"/>
  <c r="E28" i="2"/>
  <c r="A29" i="2"/>
  <c r="A30" i="2"/>
  <c r="A31" i="2"/>
  <c r="A32" i="2"/>
  <c r="I40" i="1"/>
  <c r="G29" i="26"/>
  <c r="G92" i="12"/>
  <c r="A71" i="7"/>
  <c r="E71" i="7"/>
  <c r="A54" i="22"/>
  <c r="A55" i="22"/>
  <c r="I16" i="1"/>
  <c r="G51" i="22"/>
  <c r="A93" i="12"/>
  <c r="A94" i="12"/>
  <c r="G98" i="12"/>
  <c r="C22" i="17"/>
  <c r="A72" i="7"/>
  <c r="A73" i="7"/>
  <c r="A74" i="7"/>
  <c r="A75" i="7"/>
  <c r="A76" i="7"/>
  <c r="A77" i="7"/>
  <c r="A78" i="7"/>
  <c r="A79" i="7"/>
  <c r="A80" i="7"/>
  <c r="A81" i="7"/>
  <c r="A82" i="7"/>
  <c r="A83" i="7"/>
  <c r="A84" i="7"/>
  <c r="A85" i="7"/>
  <c r="A86" i="7"/>
  <c r="E88" i="7"/>
  <c r="A87" i="7"/>
  <c r="A88" i="7"/>
  <c r="A89" i="7"/>
  <c r="C23" i="17"/>
  <c r="I53" i="1"/>
  <c r="G55" i="22"/>
  <c r="A98" i="12"/>
  <c r="G94" i="12"/>
  <c r="A67" i="71"/>
  <c r="E73" i="7"/>
  <c r="E89" i="7"/>
  <c r="E79" i="7"/>
  <c r="A90" i="7"/>
  <c r="A91" i="7"/>
  <c r="I150" i="1"/>
  <c r="A99" i="12"/>
  <c r="A100" i="12"/>
  <c r="A101" i="12"/>
  <c r="A68" i="71"/>
  <c r="B193" i="71"/>
  <c r="E91" i="7"/>
  <c r="E80" i="7"/>
  <c r="E86" i="7"/>
  <c r="E84" i="7"/>
  <c r="B189" i="71"/>
  <c r="B190" i="71"/>
  <c r="B196" i="71"/>
  <c r="G101" i="12"/>
  <c r="F141" i="71"/>
  <c r="A69" i="71"/>
  <c r="A70" i="71"/>
  <c r="A78" i="71"/>
  <c r="F70" i="71"/>
  <c r="A79" i="71"/>
  <c r="A80" i="71"/>
  <c r="A81" i="71"/>
  <c r="A82" i="71"/>
  <c r="A83" i="71"/>
  <c r="A84" i="71"/>
  <c r="A85" i="71"/>
  <c r="A86" i="71"/>
  <c r="A87" i="71"/>
  <c r="A88" i="71"/>
  <c r="A89" i="71"/>
  <c r="A33" i="2"/>
  <c r="B198" i="71"/>
  <c r="A90" i="71"/>
  <c r="A96" i="71"/>
  <c r="I90" i="71"/>
  <c r="A34" i="2"/>
  <c r="A35" i="2"/>
  <c r="A36" i="2"/>
  <c r="A97" i="71"/>
  <c r="A98" i="71"/>
  <c r="A99" i="71"/>
  <c r="A100" i="71"/>
  <c r="A101" i="71"/>
  <c r="A102" i="71"/>
  <c r="A103" i="71"/>
  <c r="A104" i="71"/>
  <c r="A105" i="71"/>
  <c r="A106" i="71"/>
  <c r="A107" i="71"/>
  <c r="A108" i="71"/>
  <c r="A114" i="71"/>
  <c r="A115" i="71"/>
  <c r="A116" i="71"/>
  <c r="F117" i="71"/>
  <c r="I108" i="71"/>
  <c r="E36" i="2"/>
  <c r="E35" i="2"/>
  <c r="A37" i="2"/>
  <c r="A38" i="2"/>
  <c r="A39" i="2"/>
  <c r="A40" i="2"/>
  <c r="A41" i="2"/>
  <c r="A42" i="2"/>
  <c r="F116" i="71"/>
  <c r="A117" i="71"/>
  <c r="A118" i="71"/>
  <c r="A123" i="71"/>
  <c r="F142" i="71"/>
  <c r="E41" i="2"/>
  <c r="E42" i="2"/>
  <c r="A43" i="2"/>
  <c r="F118" i="71"/>
  <c r="A124" i="71"/>
  <c r="A125" i="71"/>
  <c r="A126" i="71"/>
  <c r="A127" i="71"/>
  <c r="A128" i="71"/>
  <c r="A129" i="71"/>
  <c r="A130" i="71"/>
  <c r="A131" i="71"/>
  <c r="A132" i="71"/>
  <c r="A141" i="71"/>
  <c r="A142" i="71"/>
  <c r="A143" i="71"/>
  <c r="A133" i="71"/>
  <c r="A134" i="71"/>
  <c r="A135" i="71"/>
  <c r="A44" i="2"/>
  <c r="A45" i="2"/>
  <c r="A46" i="2"/>
  <c r="A47" i="2"/>
  <c r="A48" i="2"/>
  <c r="A49" i="2"/>
  <c r="F135" i="71"/>
  <c r="B199" i="71"/>
  <c r="A50" i="2"/>
  <c r="A51" i="2"/>
  <c r="A52" i="2"/>
  <c r="A53" i="2"/>
  <c r="A54" i="2"/>
  <c r="F143" i="71"/>
  <c r="A144" i="71"/>
  <c r="A145" i="71"/>
  <c r="A146" i="71"/>
  <c r="A147" i="71"/>
  <c r="A148" i="71"/>
  <c r="A149" i="71"/>
  <c r="B37" i="31"/>
  <c r="A155" i="71"/>
  <c r="A156" i="71"/>
  <c r="A157" i="71"/>
  <c r="A158" i="71"/>
  <c r="A159" i="71"/>
  <c r="A160" i="71"/>
  <c r="A161" i="71"/>
  <c r="A162" i="71"/>
  <c r="A163" i="71"/>
  <c r="A164" i="71"/>
  <c r="F146" i="71"/>
  <c r="F149" i="71"/>
  <c r="F148" i="71"/>
  <c r="F147" i="71"/>
  <c r="A174" i="71"/>
  <c r="A175" i="71"/>
  <c r="A176" i="71"/>
  <c r="A177" i="71"/>
  <c r="A178" i="71"/>
  <c r="A179" i="71"/>
  <c r="A180" i="71"/>
  <c r="A181" i="71"/>
  <c r="A182" i="71"/>
  <c r="A183" i="71"/>
  <c r="A165" i="71"/>
  <c r="A166" i="71"/>
  <c r="A167" i="71"/>
  <c r="E48" i="2"/>
  <c r="E47" i="2"/>
  <c r="E54" i="2"/>
  <c r="E53" i="2"/>
  <c r="E183" i="4"/>
  <c r="E24" i="64"/>
  <c r="C121" i="48" s="1"/>
  <c r="A45" i="21"/>
  <c r="A46" i="21" s="1"/>
  <c r="H46" i="21"/>
  <c r="H19" i="8"/>
  <c r="E104" i="4"/>
  <c r="E13" i="32"/>
  <c r="F30" i="11"/>
  <c r="G183" i="4"/>
  <c r="H155" i="4"/>
  <c r="L26" i="82"/>
  <c r="K64" i="1"/>
  <c r="L32" i="84"/>
  <c r="M32" i="84"/>
  <c r="A97" i="85"/>
  <c r="A98" i="85"/>
  <c r="A44" i="46"/>
  <c r="A52" i="46"/>
  <c r="A53" i="46"/>
  <c r="A54" i="46"/>
  <c r="A55" i="46"/>
  <c r="A56" i="46"/>
  <c r="A57" i="46"/>
  <c r="A58" i="46"/>
  <c r="E62" i="46"/>
  <c r="D116" i="46"/>
  <c r="G58" i="21"/>
  <c r="A99" i="85"/>
  <c r="A100" i="85"/>
  <c r="A101" i="85"/>
  <c r="A102" i="85"/>
  <c r="A103" i="85"/>
  <c r="A104" i="85"/>
  <c r="A105" i="85"/>
  <c r="A106" i="85"/>
  <c r="A107" i="85"/>
  <c r="A108" i="85"/>
  <c r="A109" i="85"/>
  <c r="A110" i="85"/>
  <c r="A111" i="85"/>
  <c r="A112" i="85"/>
  <c r="A113" i="85"/>
  <c r="A59" i="46"/>
  <c r="A60" i="46"/>
  <c r="E63" i="46"/>
  <c r="D145" i="46"/>
  <c r="G74" i="8"/>
  <c r="I152" i="1"/>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D144" i="46"/>
  <c r="A107" i="46"/>
  <c r="A115" i="46"/>
  <c r="A116" i="46"/>
  <c r="A117" i="46"/>
  <c r="A118" i="46"/>
  <c r="A119" i="46"/>
  <c r="A120" i="46"/>
  <c r="A121" i="46"/>
  <c r="A122" i="46"/>
  <c r="A123" i="46"/>
  <c r="A124" i="46"/>
  <c r="I126" i="1"/>
  <c r="A125" i="46"/>
  <c r="E7" i="2"/>
  <c r="D55" i="71" l="1"/>
  <c r="E55" i="71"/>
  <c r="F27" i="12"/>
  <c r="F41" i="12" s="1"/>
  <c r="J452" i="49"/>
  <c r="F27" i="11"/>
  <c r="F65" i="11" s="1"/>
  <c r="F26" i="11"/>
  <c r="F64" i="11" s="1"/>
  <c r="E57" i="7"/>
  <c r="E46" i="7"/>
  <c r="A26" i="49"/>
  <c r="A33" i="49" s="1"/>
  <c r="A34" i="49" s="1"/>
  <c r="A35" i="49" s="1"/>
  <c r="A36" i="49" s="1"/>
  <c r="A37" i="49" s="1"/>
  <c r="A38" i="49" s="1"/>
  <c r="A39" i="49" s="1"/>
  <c r="A40" i="49" s="1"/>
  <c r="A41" i="49" s="1"/>
  <c r="A42" i="49" s="1"/>
  <c r="A43" i="49" s="1"/>
  <c r="A44" i="49" s="1"/>
  <c r="A45" i="49" s="1"/>
  <c r="E53" i="7"/>
  <c r="K452" i="49"/>
  <c r="J453" i="49"/>
  <c r="A28" i="11"/>
  <c r="A29" i="11" s="1"/>
  <c r="A30" i="11" s="1"/>
  <c r="A31" i="11" s="1"/>
  <c r="A32" i="11" s="1"/>
  <c r="A33" i="11" s="1"/>
  <c r="A34" i="11" s="1"/>
  <c r="A35" i="11" s="1"/>
  <c r="A36" i="11" s="1"/>
  <c r="A37" i="11" s="1"/>
  <c r="A38" i="11" s="1"/>
  <c r="A39" i="11" s="1"/>
  <c r="A40" i="11" s="1"/>
  <c r="F56" i="12"/>
  <c r="P29" i="48"/>
  <c r="P18" i="48"/>
  <c r="F32" i="11"/>
  <c r="L256" i="61"/>
  <c r="C15" i="57"/>
  <c r="E18" i="57"/>
  <c r="J53" i="46"/>
  <c r="C116" i="46" s="1"/>
  <c r="J54" i="46"/>
  <c r="C117" i="46" s="1"/>
  <c r="G151" i="4"/>
  <c r="E155" i="4"/>
  <c r="J153" i="4"/>
  <c r="E158" i="4"/>
  <c r="E68" i="64"/>
  <c r="E77" i="64" s="1"/>
  <c r="K122" i="53"/>
  <c r="F68" i="15"/>
  <c r="F70" i="15" s="1"/>
  <c r="I8" i="26"/>
  <c r="E68" i="15"/>
  <c r="E46" i="21"/>
  <c r="F51" i="21" s="1"/>
  <c r="G51" i="21"/>
  <c r="A51" i="21"/>
  <c r="B148" i="21"/>
  <c r="I21" i="1"/>
  <c r="A25" i="21"/>
  <c r="E38" i="7"/>
  <c r="F40" i="56"/>
  <c r="F12" i="56"/>
  <c r="M53" i="61"/>
  <c r="M87" i="61" s="1"/>
  <c r="J87" i="61"/>
  <c r="P30" i="48"/>
  <c r="P16" i="48"/>
  <c r="P22" i="48"/>
  <c r="P32" i="48"/>
  <c r="P24" i="48"/>
  <c r="P17" i="48"/>
  <c r="C10" i="57"/>
  <c r="L126" i="53"/>
  <c r="K121" i="53"/>
  <c r="K125" i="53"/>
  <c r="K128" i="53"/>
  <c r="I20" i="26"/>
  <c r="D39" i="7"/>
  <c r="D38" i="7"/>
  <c r="F68" i="64"/>
  <c r="F77" i="64" s="1"/>
  <c r="H161" i="4"/>
  <c r="F155" i="4"/>
  <c r="E151" i="4"/>
  <c r="F156" i="4"/>
  <c r="G153" i="4"/>
  <c r="K150" i="4"/>
  <c r="K159" i="4"/>
  <c r="G25" i="26"/>
  <c r="A12" i="26"/>
  <c r="A13" i="26" s="1"/>
  <c r="A14" i="26" s="1"/>
  <c r="A15" i="26" s="1"/>
  <c r="A16" i="26" s="1"/>
  <c r="A17" i="26" s="1"/>
  <c r="A18" i="26" s="1"/>
  <c r="A19" i="26" s="1"/>
  <c r="A20" i="26" s="1"/>
  <c r="I12" i="26"/>
  <c r="I14" i="26"/>
  <c r="G38" i="26"/>
  <c r="D38" i="26" s="1"/>
  <c r="G7" i="26" s="1"/>
  <c r="I7" i="26" s="1"/>
  <c r="I9" i="26"/>
  <c r="I10" i="26"/>
  <c r="I11" i="26"/>
  <c r="J51" i="8"/>
  <c r="A13" i="8"/>
  <c r="A14" i="8" s="1"/>
  <c r="A15" i="8" s="1"/>
  <c r="A18" i="8" s="1"/>
  <c r="F55" i="12"/>
  <c r="J155" i="49"/>
  <c r="K155" i="49" s="1"/>
  <c r="F35" i="11"/>
  <c r="F33" i="11"/>
  <c r="F29" i="11"/>
  <c r="B231" i="4"/>
  <c r="E36" i="7"/>
  <c r="A25" i="4"/>
  <c r="M137" i="4"/>
  <c r="G152" i="4"/>
  <c r="F153" i="4"/>
  <c r="G150" i="4"/>
  <c r="L152" i="4"/>
  <c r="L160" i="4"/>
  <c r="I24" i="64"/>
  <c r="C125" i="48" s="1"/>
  <c r="E125" i="48" s="1"/>
  <c r="D155" i="4"/>
  <c r="H152" i="4"/>
  <c r="E152" i="4"/>
  <c r="M86" i="4"/>
  <c r="I154" i="4"/>
  <c r="L161" i="4"/>
  <c r="L155" i="4"/>
  <c r="D150" i="4"/>
  <c r="J160" i="4"/>
  <c r="J158" i="4"/>
  <c r="C105" i="4"/>
  <c r="M97" i="4"/>
  <c r="L154" i="4"/>
  <c r="H160" i="4"/>
  <c r="P26" i="48"/>
  <c r="P21" i="48"/>
  <c r="I91" i="48"/>
  <c r="J91" i="48" s="1"/>
  <c r="J28" i="48" s="1"/>
  <c r="H28" i="48"/>
  <c r="I99" i="48"/>
  <c r="J99" i="48" s="1"/>
  <c r="J36" i="48" s="1"/>
  <c r="H20" i="48"/>
  <c r="P19" i="48"/>
  <c r="D21" i="71"/>
  <c r="D32" i="71" s="1"/>
  <c r="J353" i="49"/>
  <c r="J354" i="49" s="1"/>
  <c r="E70" i="8"/>
  <c r="E144" i="71"/>
  <c r="D108" i="85"/>
  <c r="D113" i="85" s="1"/>
  <c r="K152" i="1" s="1"/>
  <c r="I13" i="26"/>
  <c r="E90" i="46"/>
  <c r="K27" i="46"/>
  <c r="C90" i="46" s="1"/>
  <c r="M12" i="46"/>
  <c r="E75" i="46" s="1"/>
  <c r="I75" i="46" s="1"/>
  <c r="J43" i="46"/>
  <c r="K26" i="46"/>
  <c r="C89" i="46" s="1"/>
  <c r="K11" i="46"/>
  <c r="C74" i="46" s="1"/>
  <c r="G94" i="46"/>
  <c r="K16" i="46"/>
  <c r="C79" i="46" s="1"/>
  <c r="K18" i="46"/>
  <c r="C81" i="46" s="1"/>
  <c r="G65" i="61"/>
  <c r="H87" i="61"/>
  <c r="G50" i="61"/>
  <c r="N244" i="61"/>
  <c r="G244" i="61"/>
  <c r="N232" i="61"/>
  <c r="G8" i="61"/>
  <c r="I8" i="61"/>
  <c r="J8" i="61"/>
  <c r="N8" i="61"/>
  <c r="L38" i="84"/>
  <c r="M38" i="84"/>
  <c r="H28" i="84"/>
  <c r="H48" i="84" s="1"/>
  <c r="I49" i="84" s="1"/>
  <c r="K107" i="1" s="1"/>
  <c r="K110" i="1" s="1"/>
  <c r="J46" i="84"/>
  <c r="L18" i="84"/>
  <c r="M35" i="84"/>
  <c r="L26" i="84"/>
  <c r="M43" i="84"/>
  <c r="H49" i="83"/>
  <c r="H27" i="83"/>
  <c r="K20" i="57"/>
  <c r="D12" i="57"/>
  <c r="C11" i="57"/>
  <c r="C12" i="57" s="1"/>
  <c r="J20" i="57"/>
  <c r="D27" i="57" s="1"/>
  <c r="L44" i="84"/>
  <c r="M44" i="84"/>
  <c r="L33" i="84"/>
  <c r="M33" i="84"/>
  <c r="L40" i="84"/>
  <c r="M40" i="84"/>
  <c r="L20" i="84"/>
  <c r="M20" i="84"/>
  <c r="M36" i="84"/>
  <c r="L36" i="84"/>
  <c r="M41" i="84"/>
  <c r="L41" i="84"/>
  <c r="K46" i="84"/>
  <c r="M31" i="84"/>
  <c r="M46" i="84" s="1"/>
  <c r="L31" i="84"/>
  <c r="L39" i="84"/>
  <c r="M39" i="84"/>
  <c r="L35" i="84"/>
  <c r="F48" i="84"/>
  <c r="M42" i="84"/>
  <c r="I49" i="83"/>
  <c r="J14" i="84"/>
  <c r="J28" i="84" s="1"/>
  <c r="J48" i="84" s="1"/>
  <c r="L34" i="84"/>
  <c r="M37" i="84"/>
  <c r="M34" i="84"/>
  <c r="D48" i="84"/>
  <c r="M18" i="84"/>
  <c r="A132" i="15"/>
  <c r="A133" i="15" s="1"/>
  <c r="E12" i="15" s="1"/>
  <c r="A52" i="15"/>
  <c r="A70" i="15"/>
  <c r="I70" i="15"/>
  <c r="E11" i="15"/>
  <c r="A92" i="15"/>
  <c r="A14" i="15"/>
  <c r="I89" i="15"/>
  <c r="G68" i="15"/>
  <c r="E131" i="15"/>
  <c r="E28" i="84"/>
  <c r="E48" i="84" s="1"/>
  <c r="E49" i="84" s="1"/>
  <c r="H17" i="83"/>
  <c r="H131" i="15"/>
  <c r="H68" i="15"/>
  <c r="F54" i="12"/>
  <c r="G35" i="21"/>
  <c r="J19" i="8" s="1"/>
  <c r="K38" i="46"/>
  <c r="C101" i="46" s="1"/>
  <c r="K14" i="46"/>
  <c r="C77" i="46" s="1"/>
  <c r="K24" i="46"/>
  <c r="C87" i="46" s="1"/>
  <c r="D79" i="46"/>
  <c r="K32" i="46"/>
  <c r="C95" i="46" s="1"/>
  <c r="K30" i="46"/>
  <c r="C93" i="46" s="1"/>
  <c r="K28" i="46"/>
  <c r="C91" i="46" s="1"/>
  <c r="D89" i="46"/>
  <c r="H89" i="46" s="1"/>
  <c r="G89" i="46" s="1"/>
  <c r="E60" i="46"/>
  <c r="L122" i="53"/>
  <c r="K116" i="53"/>
  <c r="K124" i="53"/>
  <c r="L123" i="53"/>
  <c r="I130" i="53"/>
  <c r="K118" i="53"/>
  <c r="L118" i="53" s="1"/>
  <c r="I150" i="4"/>
  <c r="L157" i="4"/>
  <c r="M134" i="4"/>
  <c r="M133" i="4"/>
  <c r="H143" i="4"/>
  <c r="H187" i="4" s="1"/>
  <c r="H191" i="4" s="1"/>
  <c r="H150" i="4"/>
  <c r="G161" i="4"/>
  <c r="M136" i="4"/>
  <c r="M132" i="4"/>
  <c r="K143" i="4"/>
  <c r="K187" i="4" s="1"/>
  <c r="F157" i="4"/>
  <c r="G155" i="4"/>
  <c r="K160" i="4"/>
  <c r="L156" i="4"/>
  <c r="E153" i="4"/>
  <c r="F161" i="4"/>
  <c r="C151" i="4"/>
  <c r="F158" i="4"/>
  <c r="D68" i="64"/>
  <c r="D77" i="64" s="1"/>
  <c r="K24" i="64"/>
  <c r="C127" i="48" s="1"/>
  <c r="E127" i="48" s="1"/>
  <c r="L24" i="64"/>
  <c r="C128" i="48" s="1"/>
  <c r="E128" i="48" s="1"/>
  <c r="F183" i="4"/>
  <c r="P33" i="48"/>
  <c r="P27" i="48"/>
  <c r="F26" i="56"/>
  <c r="F57" i="4"/>
  <c r="F130" i="53"/>
  <c r="L115" i="53"/>
  <c r="L125" i="53"/>
  <c r="K127" i="53"/>
  <c r="L127" i="53" s="1"/>
  <c r="J130" i="53"/>
  <c r="K120" i="53"/>
  <c r="L119" i="53"/>
  <c r="J28" i="53"/>
  <c r="K117" i="53"/>
  <c r="I20" i="57"/>
  <c r="C27" i="57" s="1"/>
  <c r="C28" i="57" s="1"/>
  <c r="C16" i="57"/>
  <c r="C18" i="57" s="1"/>
  <c r="H20" i="57"/>
  <c r="D26" i="57" s="1"/>
  <c r="E12" i="57"/>
  <c r="E20" i="57" s="1"/>
  <c r="F83" i="46"/>
  <c r="I83" i="46" s="1"/>
  <c r="M244" i="61"/>
  <c r="G232" i="61"/>
  <c r="J232" i="61"/>
  <c r="G13" i="2"/>
  <c r="G14" i="2" s="1"/>
  <c r="J52" i="46"/>
  <c r="C115" i="46" s="1"/>
  <c r="C58" i="46"/>
  <c r="L58" i="46"/>
  <c r="K23" i="46"/>
  <c r="C86" i="46" s="1"/>
  <c r="K22" i="46"/>
  <c r="C85" i="46" s="1"/>
  <c r="K19" i="46"/>
  <c r="C82" i="46" s="1"/>
  <c r="K37" i="46"/>
  <c r="C100" i="46" s="1"/>
  <c r="K13" i="46"/>
  <c r="C76" i="46" s="1"/>
  <c r="C43" i="46"/>
  <c r="C60" i="46" s="1"/>
  <c r="K31" i="46"/>
  <c r="C94" i="46" s="1"/>
  <c r="K39" i="46"/>
  <c r="C102" i="46" s="1"/>
  <c r="K15" i="46"/>
  <c r="C78" i="46" s="1"/>
  <c r="I95" i="48"/>
  <c r="J95" i="48" s="1"/>
  <c r="J32" i="48" s="1"/>
  <c r="H32" i="48"/>
  <c r="I79" i="48"/>
  <c r="I82" i="48"/>
  <c r="I19" i="48" s="1"/>
  <c r="H17" i="48"/>
  <c r="I85" i="48"/>
  <c r="J85" i="48" s="1"/>
  <c r="J22" i="48" s="1"/>
  <c r="I86" i="48"/>
  <c r="I77" i="48"/>
  <c r="J77" i="48" s="1"/>
  <c r="J14" i="48" s="1"/>
  <c r="I96" i="48"/>
  <c r="I33" i="48" s="1"/>
  <c r="P35" i="48"/>
  <c r="P31" i="48"/>
  <c r="G108" i="11"/>
  <c r="G97" i="11"/>
  <c r="G104" i="11"/>
  <c r="G100" i="11"/>
  <c r="H88" i="11"/>
  <c r="G63" i="11" s="1"/>
  <c r="E63" i="11" s="1"/>
  <c r="E83" i="11"/>
  <c r="G101" i="11"/>
  <c r="G98" i="11"/>
  <c r="E81" i="11"/>
  <c r="G109" i="11"/>
  <c r="F49" i="22"/>
  <c r="J386" i="49"/>
  <c r="J387" i="49" s="1"/>
  <c r="G62" i="48"/>
  <c r="G30" i="48" s="1"/>
  <c r="J188" i="49"/>
  <c r="J189" i="49" s="1"/>
  <c r="G52" i="48"/>
  <c r="G20" i="48" s="1"/>
  <c r="G68" i="48"/>
  <c r="G36" i="48" s="1"/>
  <c r="G47" i="48"/>
  <c r="G15" i="48" s="1"/>
  <c r="G55" i="48"/>
  <c r="G23" i="48" s="1"/>
  <c r="F107" i="49"/>
  <c r="F31" i="11"/>
  <c r="K28" i="1"/>
  <c r="M26" i="84"/>
  <c r="M19" i="84"/>
  <c r="L19" i="84"/>
  <c r="K17" i="84"/>
  <c r="L22" i="84"/>
  <c r="M22" i="84"/>
  <c r="I24" i="83"/>
  <c r="K21" i="84" s="1"/>
  <c r="G28" i="84"/>
  <c r="G48" i="84" s="1"/>
  <c r="H31" i="83"/>
  <c r="H51" i="83" s="1"/>
  <c r="L11" i="84"/>
  <c r="M11" i="84"/>
  <c r="L12" i="84"/>
  <c r="M12" i="84"/>
  <c r="L10" i="84"/>
  <c r="M10" i="84"/>
  <c r="I12" i="83"/>
  <c r="G131" i="15"/>
  <c r="D131" i="15"/>
  <c r="F131" i="15"/>
  <c r="F133" i="15" s="1"/>
  <c r="D68" i="15"/>
  <c r="N106" i="21"/>
  <c r="H105" i="4"/>
  <c r="H24" i="64"/>
  <c r="C124" i="48" s="1"/>
  <c r="E124" i="48" s="1"/>
  <c r="I143" i="4"/>
  <c r="I187" i="4" s="1"/>
  <c r="I191" i="4" s="1"/>
  <c r="F150" i="4"/>
  <c r="J155" i="4"/>
  <c r="K152" i="4"/>
  <c r="K155" i="4"/>
  <c r="E143" i="4"/>
  <c r="E187" i="4" s="1"/>
  <c r="E191" i="4" s="1"/>
  <c r="C152" i="4"/>
  <c r="D156" i="4"/>
  <c r="G157" i="4"/>
  <c r="M131" i="4"/>
  <c r="D143" i="4"/>
  <c r="D187" i="4" s="1"/>
  <c r="L143" i="4"/>
  <c r="L187" i="4" s="1"/>
  <c r="D158" i="4"/>
  <c r="J154" i="4"/>
  <c r="M142" i="4"/>
  <c r="G143" i="4"/>
  <c r="G187" i="4" s="1"/>
  <c r="G191" i="4" s="1"/>
  <c r="F154" i="4"/>
  <c r="G158" i="4"/>
  <c r="I153" i="4"/>
  <c r="K157" i="4"/>
  <c r="L153" i="4"/>
  <c r="E159" i="4"/>
  <c r="M140" i="4"/>
  <c r="M139" i="4"/>
  <c r="M138" i="4"/>
  <c r="J143" i="4"/>
  <c r="J187" i="4" s="1"/>
  <c r="M135" i="4"/>
  <c r="F143" i="4"/>
  <c r="F187" i="4" s="1"/>
  <c r="M141" i="4"/>
  <c r="M104" i="4"/>
  <c r="M101" i="4"/>
  <c r="H157" i="4"/>
  <c r="M96" i="4"/>
  <c r="J150" i="4"/>
  <c r="I156" i="4"/>
  <c r="J161" i="4"/>
  <c r="M100" i="4"/>
  <c r="I105" i="4"/>
  <c r="I157" i="4"/>
  <c r="M102" i="4"/>
  <c r="M99" i="4"/>
  <c r="D105" i="4"/>
  <c r="M95" i="4"/>
  <c r="M93" i="4"/>
  <c r="M98" i="4"/>
  <c r="I89" i="65"/>
  <c r="A25" i="65"/>
  <c r="B8" i="65"/>
  <c r="E72" i="8"/>
  <c r="E145" i="71"/>
  <c r="A15" i="1"/>
  <c r="K44" i="1"/>
  <c r="J59" i="8"/>
  <c r="J53" i="8"/>
  <c r="K104" i="1"/>
  <c r="J58" i="8"/>
  <c r="G21" i="45"/>
  <c r="J9" i="8" s="1"/>
  <c r="N77" i="61"/>
  <c r="I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91" i="46"/>
  <c r="D75" i="46"/>
  <c r="H75" i="46" s="1"/>
  <c r="G92" i="46"/>
  <c r="G85" i="46"/>
  <c r="G98" i="46"/>
  <c r="G80" i="46"/>
  <c r="G102" i="46"/>
  <c r="G78" i="46"/>
  <c r="G88" i="46"/>
  <c r="G100" i="46"/>
  <c r="G86" i="46"/>
  <c r="K40" i="46"/>
  <c r="C103" i="46" s="1"/>
  <c r="K25" i="46"/>
  <c r="C88" i="46" s="1"/>
  <c r="K21" i="46"/>
  <c r="C84" i="46" s="1"/>
  <c r="K17" i="46"/>
  <c r="C80" i="46" s="1"/>
  <c r="D96" i="46"/>
  <c r="H96" i="46" s="1"/>
  <c r="G96" i="46" s="1"/>
  <c r="K34" i="46"/>
  <c r="C97" i="46" s="1"/>
  <c r="K29" i="46"/>
  <c r="C92" i="46" s="1"/>
  <c r="K35" i="46"/>
  <c r="C98" i="46" s="1"/>
  <c r="L124" i="53"/>
  <c r="L120" i="53"/>
  <c r="L121" i="53"/>
  <c r="L128" i="53"/>
  <c r="L116" i="53"/>
  <c r="N64" i="61"/>
  <c r="I63" i="61"/>
  <c r="I87" i="61" s="1"/>
  <c r="G64" i="61"/>
  <c r="N78" i="61"/>
  <c r="I241" i="61"/>
  <c r="I244" i="61" s="1"/>
  <c r="J244" i="61"/>
  <c r="I232" i="61"/>
  <c r="M232" i="61"/>
  <c r="H189" i="61"/>
  <c r="I169" i="61"/>
  <c r="I189" i="61" s="1"/>
  <c r="N189" i="61"/>
  <c r="M189" i="61"/>
  <c r="G189" i="61"/>
  <c r="J189" i="61"/>
  <c r="M249" i="61"/>
  <c r="M251" i="61" s="1"/>
  <c r="I45" i="61"/>
  <c r="I50" i="61" s="1"/>
  <c r="E251" i="61"/>
  <c r="G251" i="61"/>
  <c r="N62" i="61"/>
  <c r="M50" i="61"/>
  <c r="J50" i="61"/>
  <c r="I42" i="61"/>
  <c r="J42" i="61"/>
  <c r="N42" i="61"/>
  <c r="M42" i="61"/>
  <c r="G42" i="61"/>
  <c r="M4" i="61"/>
  <c r="M8" i="61" s="1"/>
  <c r="F118" i="46"/>
  <c r="F115" i="46"/>
  <c r="F117" i="46"/>
  <c r="F116" i="46"/>
  <c r="F79" i="46"/>
  <c r="F74" i="46"/>
  <c r="F87" i="46"/>
  <c r="F76" i="46"/>
  <c r="F97" i="46"/>
  <c r="F95" i="46"/>
  <c r="F93" i="46"/>
  <c r="F103" i="46"/>
  <c r="I101" i="46"/>
  <c r="H101" i="46"/>
  <c r="H82" i="46"/>
  <c r="I82" i="46"/>
  <c r="F90" i="46"/>
  <c r="F99" i="46"/>
  <c r="P36" i="48"/>
  <c r="P25" i="48"/>
  <c r="P20" i="48"/>
  <c r="P34" i="48"/>
  <c r="H27" i="48"/>
  <c r="I90" i="48"/>
  <c r="H34" i="48"/>
  <c r="I97" i="48"/>
  <c r="I20" i="48"/>
  <c r="J83" i="48"/>
  <c r="J20" i="48" s="1"/>
  <c r="J80" i="48"/>
  <c r="J17" i="48" s="1"/>
  <c r="I17" i="48"/>
  <c r="I25" i="48"/>
  <c r="J88" i="48"/>
  <c r="J25" i="48" s="1"/>
  <c r="I94" i="48"/>
  <c r="H31" i="48"/>
  <c r="I76" i="48"/>
  <c r="H13" i="48"/>
  <c r="H24" i="48"/>
  <c r="I87" i="48"/>
  <c r="I81" i="48"/>
  <c r="H18" i="48"/>
  <c r="J92" i="48"/>
  <c r="J29" i="48" s="1"/>
  <c r="I29" i="48"/>
  <c r="I78" i="48"/>
  <c r="H93" i="48"/>
  <c r="H30" i="48" s="1"/>
  <c r="H25" i="48"/>
  <c r="H89" i="48"/>
  <c r="H26" i="48" s="1"/>
  <c r="H29" i="48"/>
  <c r="H98" i="48"/>
  <c r="H35" i="48" s="1"/>
  <c r="H84" i="48"/>
  <c r="H21" i="48" s="1"/>
  <c r="G102" i="11"/>
  <c r="G107" i="11"/>
  <c r="G99" i="11"/>
  <c r="G103" i="11"/>
  <c r="G106" i="11"/>
  <c r="G88" i="11"/>
  <c r="G65" i="11" s="1"/>
  <c r="E70" i="12" s="1"/>
  <c r="E84" i="11"/>
  <c r="E75" i="11"/>
  <c r="E79" i="11"/>
  <c r="E76" i="11"/>
  <c r="E82" i="11"/>
  <c r="E86" i="11"/>
  <c r="E80" i="11"/>
  <c r="E77" i="11"/>
  <c r="G105" i="11"/>
  <c r="E78" i="11"/>
  <c r="E85" i="11"/>
  <c r="G50" i="11"/>
  <c r="E50" i="11" s="1"/>
  <c r="E40" i="12" s="1"/>
  <c r="E87" i="11"/>
  <c r="F88" i="11"/>
  <c r="G64" i="11" s="1"/>
  <c r="E69" i="12" s="1"/>
  <c r="J419" i="49"/>
  <c r="K419" i="49" s="1"/>
  <c r="G63" i="48"/>
  <c r="G31" i="48" s="1"/>
  <c r="G49" i="48"/>
  <c r="G17" i="48" s="1"/>
  <c r="G57" i="48"/>
  <c r="G25" i="48" s="1"/>
  <c r="G58" i="48"/>
  <c r="G26" i="48" s="1"/>
  <c r="G65" i="48"/>
  <c r="G33" i="48" s="1"/>
  <c r="G61" i="48"/>
  <c r="G29" i="48" s="1"/>
  <c r="G54" i="48"/>
  <c r="G22" i="48" s="1"/>
  <c r="J320" i="49"/>
  <c r="J321" i="49" s="1"/>
  <c r="K321" i="49" s="1"/>
  <c r="J287" i="49"/>
  <c r="J288" i="49" s="1"/>
  <c r="F290" i="49"/>
  <c r="G59" i="48"/>
  <c r="G27" i="48" s="1"/>
  <c r="G66" i="48"/>
  <c r="G34" i="48" s="1"/>
  <c r="J254" i="49"/>
  <c r="K254" i="49" s="1"/>
  <c r="G64" i="48"/>
  <c r="G32" i="48" s="1"/>
  <c r="G56" i="48"/>
  <c r="G24" i="48" s="1"/>
  <c r="G48" i="48"/>
  <c r="G16" i="48" s="1"/>
  <c r="J221" i="49"/>
  <c r="J222" i="49" s="1"/>
  <c r="F229" i="49"/>
  <c r="F234" i="49"/>
  <c r="G46" i="48"/>
  <c r="G14" i="48" s="1"/>
  <c r="G51" i="48"/>
  <c r="G19" i="48" s="1"/>
  <c r="G45" i="48"/>
  <c r="K45" i="48" s="1"/>
  <c r="G53" i="48"/>
  <c r="G21" i="48" s="1"/>
  <c r="G67" i="48"/>
  <c r="G35" i="48" s="1"/>
  <c r="F171" i="49"/>
  <c r="G50" i="48"/>
  <c r="G18" i="48" s="1"/>
  <c r="J122" i="49"/>
  <c r="J123" i="49" s="1"/>
  <c r="K123" i="49" s="1"/>
  <c r="G60" i="48"/>
  <c r="G28" i="48" s="1"/>
  <c r="F136" i="49"/>
  <c r="F100" i="49"/>
  <c r="J89" i="49"/>
  <c r="E19" i="71"/>
  <c r="E21" i="71" s="1"/>
  <c r="E25" i="71" s="1"/>
  <c r="D26" i="49"/>
  <c r="F51" i="11"/>
  <c r="E51" i="11" s="1"/>
  <c r="E41" i="12" s="1"/>
  <c r="L35" i="82"/>
  <c r="K69" i="1" s="1"/>
  <c r="L45" i="82"/>
  <c r="K73" i="1" s="1"/>
  <c r="L29" i="82"/>
  <c r="K68" i="1" s="1"/>
  <c r="L12" i="82"/>
  <c r="L23" i="82" s="1"/>
  <c r="K65" i="1" s="1"/>
  <c r="C155" i="4"/>
  <c r="D191" i="4"/>
  <c r="D159" i="4"/>
  <c r="E160" i="4"/>
  <c r="I161" i="4"/>
  <c r="C143" i="4"/>
  <c r="C187" i="4" s="1"/>
  <c r="C191" i="4" s="1"/>
  <c r="E157" i="4"/>
  <c r="E150" i="4"/>
  <c r="D160" i="4"/>
  <c r="G160" i="4"/>
  <c r="L191" i="4"/>
  <c r="I152" i="4"/>
  <c r="L150" i="4"/>
  <c r="E154" i="4"/>
  <c r="F160" i="4"/>
  <c r="L151" i="4"/>
  <c r="L158" i="4"/>
  <c r="D154" i="4"/>
  <c r="J151" i="4"/>
  <c r="J159" i="4"/>
  <c r="K156" i="4"/>
  <c r="H151" i="4"/>
  <c r="H156" i="4"/>
  <c r="J152" i="4"/>
  <c r="K191" i="4"/>
  <c r="C161" i="4"/>
  <c r="F152" i="4"/>
  <c r="G156" i="4"/>
  <c r="H159" i="4"/>
  <c r="K158" i="4"/>
  <c r="J105" i="4"/>
  <c r="C150" i="4"/>
  <c r="L105" i="4"/>
  <c r="F105" i="4"/>
  <c r="E161" i="4"/>
  <c r="K105" i="4"/>
  <c r="M103" i="4"/>
  <c r="G105" i="4"/>
  <c r="E105" i="4"/>
  <c r="C159" i="4"/>
  <c r="I155" i="4"/>
  <c r="D152" i="4"/>
  <c r="C157" i="4"/>
  <c r="M94" i="4"/>
  <c r="D151" i="4"/>
  <c r="G77" i="64"/>
  <c r="F92" i="64" s="1"/>
  <c r="F70" i="21"/>
  <c r="N70" i="21" s="1"/>
  <c r="M48" i="64"/>
  <c r="D18" i="57"/>
  <c r="D20" i="57" s="1"/>
  <c r="G20" i="57"/>
  <c r="C26" i="57" s="1"/>
  <c r="G21" i="2"/>
  <c r="F42" i="56"/>
  <c r="J24" i="64"/>
  <c r="C126" i="48" s="1"/>
  <c r="E126" i="48" s="1"/>
  <c r="J183" i="4"/>
  <c r="M24" i="4"/>
  <c r="E121" i="48"/>
  <c r="F17" i="56"/>
  <c r="E28" i="56"/>
  <c r="E54" i="12" l="1"/>
  <c r="K453" i="49"/>
  <c r="J454"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H24" i="8"/>
  <c r="I28" i="1"/>
  <c r="A49" i="11"/>
  <c r="K353" i="49"/>
  <c r="J156" i="49"/>
  <c r="K156" i="49" s="1"/>
  <c r="K221" i="49"/>
  <c r="E259" i="61"/>
  <c r="E260" i="61" s="1"/>
  <c r="N87" i="61"/>
  <c r="E26" i="57"/>
  <c r="A136" i="15"/>
  <c r="I133" i="15"/>
  <c r="E74" i="8"/>
  <c r="K12" i="46"/>
  <c r="C75" i="46" s="1"/>
  <c r="A33" i="21"/>
  <c r="H18" i="8"/>
  <c r="A52" i="21"/>
  <c r="A53" i="21" s="1"/>
  <c r="I36" i="48"/>
  <c r="J82" i="48"/>
  <c r="J19" i="48" s="1"/>
  <c r="E68" i="12"/>
  <c r="J24" i="8"/>
  <c r="F91" i="12" s="1"/>
  <c r="E31" i="57"/>
  <c r="F191" i="4"/>
  <c r="C81" i="26"/>
  <c r="A21" i="26"/>
  <c r="I21" i="26"/>
  <c r="F24" i="26" s="1"/>
  <c r="F26" i="26" s="1"/>
  <c r="C9" i="9"/>
  <c r="J44" i="8"/>
  <c r="A19" i="8"/>
  <c r="A20" i="8" s="1"/>
  <c r="A21" i="8" s="1"/>
  <c r="H15" i="8"/>
  <c r="I32" i="48"/>
  <c r="I28" i="48"/>
  <c r="J96" i="48"/>
  <c r="J33" i="48" s="1"/>
  <c r="I14" i="48"/>
  <c r="K386" i="49"/>
  <c r="K188" i="49"/>
  <c r="M153" i="4"/>
  <c r="A35" i="4"/>
  <c r="G162" i="4"/>
  <c r="G174" i="4" s="1"/>
  <c r="H96" i="21" s="1"/>
  <c r="J191" i="4"/>
  <c r="M143" i="4"/>
  <c r="D25" i="71"/>
  <c r="I22" i="48"/>
  <c r="I84" i="48"/>
  <c r="I21" i="48" s="1"/>
  <c r="J124" i="49"/>
  <c r="J125" i="49" s="1"/>
  <c r="M43" i="46"/>
  <c r="L60" i="46" s="1"/>
  <c r="E106" i="46"/>
  <c r="G75" i="46"/>
  <c r="G87" i="61"/>
  <c r="C20" i="57"/>
  <c r="D28" i="57"/>
  <c r="E28" i="57" s="1"/>
  <c r="C29" i="57" s="1"/>
  <c r="E27" i="57"/>
  <c r="L46" i="84"/>
  <c r="A15" i="15"/>
  <c r="A16" i="15" s="1"/>
  <c r="A17" i="15" s="1"/>
  <c r="A18" i="15" s="1"/>
  <c r="A19" i="15" s="1"/>
  <c r="A20" i="15" s="1"/>
  <c r="A21" i="15" s="1"/>
  <c r="A22" i="15" s="1"/>
  <c r="A23" i="15" s="1"/>
  <c r="A24" i="15" s="1"/>
  <c r="H23" i="8" s="1"/>
  <c r="E19" i="15"/>
  <c r="I26" i="1"/>
  <c r="A73" i="15"/>
  <c r="E10" i="15"/>
  <c r="E64" i="11"/>
  <c r="E55" i="12" s="1"/>
  <c r="K130" i="53"/>
  <c r="K162" i="4"/>
  <c r="K178" i="4" s="1"/>
  <c r="M158" i="4"/>
  <c r="M160" i="4"/>
  <c r="M156" i="4"/>
  <c r="P37" i="48"/>
  <c r="D41" i="57" s="1"/>
  <c r="L117" i="53"/>
  <c r="L130" i="53" s="1"/>
  <c r="M120" i="53" s="1"/>
  <c r="C18" i="53" s="1"/>
  <c r="H83" i="46"/>
  <c r="G83" i="46" s="1"/>
  <c r="G101" i="46"/>
  <c r="J79" i="48"/>
  <c r="J16" i="48" s="1"/>
  <c r="I16" i="48"/>
  <c r="I23" i="48"/>
  <c r="J86" i="48"/>
  <c r="J23" i="48" s="1"/>
  <c r="J322" i="49"/>
  <c r="K322" i="49" s="1"/>
  <c r="K320" i="49"/>
  <c r="J255" i="49"/>
  <c r="K255" i="49" s="1"/>
  <c r="K122" i="49"/>
  <c r="M21" i="84"/>
  <c r="L21" i="84"/>
  <c r="K24" i="84"/>
  <c r="M17" i="84"/>
  <c r="L17" i="84"/>
  <c r="L24" i="84" s="1"/>
  <c r="I27" i="83"/>
  <c r="K9" i="84"/>
  <c r="I17" i="83"/>
  <c r="M154" i="4"/>
  <c r="G171" i="4"/>
  <c r="H93" i="21" s="1"/>
  <c r="H162" i="4"/>
  <c r="H176" i="4" s="1"/>
  <c r="I98" i="21" s="1"/>
  <c r="L162" i="4"/>
  <c r="L172" i="4" s="1"/>
  <c r="M105" i="4"/>
  <c r="F162" i="4"/>
  <c r="F172" i="4" s="1"/>
  <c r="J162" i="4"/>
  <c r="J167" i="4" s="1"/>
  <c r="A26" i="65"/>
  <c r="A27" i="65" s="1"/>
  <c r="A28" i="65" s="1"/>
  <c r="A29" i="65" s="1"/>
  <c r="A30" i="65" s="1"/>
  <c r="A31" i="65" s="1"/>
  <c r="A32" i="65" s="1"/>
  <c r="A33" i="65" s="1"/>
  <c r="A34" i="65" s="1"/>
  <c r="A35" i="65" s="1"/>
  <c r="A36" i="65" s="1"/>
  <c r="B98" i="65" s="1"/>
  <c r="B103" i="65"/>
  <c r="K52" i="1"/>
  <c r="L51" i="84"/>
  <c r="D23" i="7"/>
  <c r="J43" i="8"/>
  <c r="E34" i="71"/>
  <c r="D34" i="71"/>
  <c r="G16" i="12"/>
  <c r="M51" i="84"/>
  <c r="A16" i="1"/>
  <c r="A17" i="1" s="1"/>
  <c r="C144" i="46"/>
  <c r="H42" i="46" s="1"/>
  <c r="L42" i="46" s="1"/>
  <c r="E121" i="46"/>
  <c r="G82" i="46"/>
  <c r="H58" i="46"/>
  <c r="G57" i="46"/>
  <c r="G58" i="46" s="1"/>
  <c r="J57" i="46"/>
  <c r="K58" i="46"/>
  <c r="D120" i="46"/>
  <c r="H116" i="46"/>
  <c r="I116" i="46"/>
  <c r="I117" i="46"/>
  <c r="H117" i="46"/>
  <c r="G117" i="46" s="1"/>
  <c r="I115" i="46"/>
  <c r="H115" i="46"/>
  <c r="I118" i="46"/>
  <c r="H118" i="46"/>
  <c r="H93" i="46"/>
  <c r="I93" i="46"/>
  <c r="H95" i="46"/>
  <c r="I95" i="46"/>
  <c r="I97" i="46"/>
  <c r="H97" i="46"/>
  <c r="I76" i="46"/>
  <c r="H76" i="46"/>
  <c r="I87" i="46"/>
  <c r="H87" i="46"/>
  <c r="I74" i="46"/>
  <c r="H74" i="46"/>
  <c r="H103" i="46"/>
  <c r="I103" i="46"/>
  <c r="H79" i="46"/>
  <c r="I79" i="46"/>
  <c r="I90" i="46"/>
  <c r="H90" i="46"/>
  <c r="I99" i="46"/>
  <c r="H99" i="46"/>
  <c r="J76" i="48"/>
  <c r="J13" i="48" s="1"/>
  <c r="I13" i="48"/>
  <c r="I18" i="48"/>
  <c r="J81" i="48"/>
  <c r="J18" i="48" s="1"/>
  <c r="J84" i="48"/>
  <c r="J21" i="48" s="1"/>
  <c r="I34" i="48"/>
  <c r="J97" i="48"/>
  <c r="J34" i="48" s="1"/>
  <c r="I98" i="48"/>
  <c r="I89" i="48"/>
  <c r="I15" i="48"/>
  <c r="J78" i="48"/>
  <c r="J15" i="48" s="1"/>
  <c r="I93" i="48"/>
  <c r="I31" i="48"/>
  <c r="J94" i="48"/>
  <c r="J31" i="48" s="1"/>
  <c r="J90" i="48"/>
  <c r="J27" i="48" s="1"/>
  <c r="I27" i="48"/>
  <c r="J87" i="48"/>
  <c r="J24" i="48" s="1"/>
  <c r="I24" i="48"/>
  <c r="E65" i="11"/>
  <c r="E56" i="12" s="1"/>
  <c r="E88" i="11"/>
  <c r="J420" i="49"/>
  <c r="J421" i="49" s="1"/>
  <c r="K387" i="49"/>
  <c r="J388" i="49"/>
  <c r="K354" i="49"/>
  <c r="J355" i="49"/>
  <c r="K287" i="49"/>
  <c r="G13" i="48"/>
  <c r="K46" i="48"/>
  <c r="K47" i="48" s="1"/>
  <c r="N45" i="48"/>
  <c r="K89" i="49"/>
  <c r="J90" i="49"/>
  <c r="J91" i="49" s="1"/>
  <c r="E32" i="71"/>
  <c r="J289" i="49"/>
  <c r="K288" i="49"/>
  <c r="K189" i="49"/>
  <c r="J190" i="49"/>
  <c r="K222" i="49"/>
  <c r="J223" i="49"/>
  <c r="E54" i="11"/>
  <c r="L37" i="82"/>
  <c r="K70" i="1" s="1"/>
  <c r="K63" i="1"/>
  <c r="K85" i="1"/>
  <c r="M157" i="4"/>
  <c r="M152" i="4"/>
  <c r="C162" i="4"/>
  <c r="M150" i="4"/>
  <c r="M159" i="4"/>
  <c r="I162" i="4"/>
  <c r="I172" i="4" s="1"/>
  <c r="D162" i="4"/>
  <c r="D169" i="4" s="1"/>
  <c r="M151" i="4"/>
  <c r="M161" i="4"/>
  <c r="E162" i="4"/>
  <c r="M155" i="4"/>
  <c r="M183" i="4"/>
  <c r="D36" i="7"/>
  <c r="D40" i="7" s="1"/>
  <c r="D44" i="4"/>
  <c r="K9" i="1" s="1"/>
  <c r="M24" i="64"/>
  <c r="E130" i="48"/>
  <c r="E131" i="48"/>
  <c r="F28" i="56"/>
  <c r="G20" i="2"/>
  <c r="E68" i="11" l="1"/>
  <c r="K124" i="49"/>
  <c r="J157" i="49"/>
  <c r="J158" i="49" s="1"/>
  <c r="G42" i="57"/>
  <c r="E82" i="7"/>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K454" i="49"/>
  <c r="J455" i="49"/>
  <c r="A50" i="11"/>
  <c r="H39" i="12"/>
  <c r="G97" i="46"/>
  <c r="G176" i="4"/>
  <c r="G177" i="4"/>
  <c r="G178" i="4"/>
  <c r="A58" i="21"/>
  <c r="H20" i="8"/>
  <c r="G53" i="21"/>
  <c r="B144" i="21"/>
  <c r="H35" i="21"/>
  <c r="J171" i="4"/>
  <c r="K93" i="21" s="1"/>
  <c r="J178" i="4"/>
  <c r="K100" i="21" s="1"/>
  <c r="H174" i="4"/>
  <c r="H205" i="4" s="1"/>
  <c r="H167" i="4"/>
  <c r="H198" i="4" s="1"/>
  <c r="H178" i="4"/>
  <c r="H171" i="4"/>
  <c r="H177" i="4"/>
  <c r="H169" i="4"/>
  <c r="H172" i="4"/>
  <c r="H175" i="4"/>
  <c r="H170" i="4"/>
  <c r="G170" i="4"/>
  <c r="G169" i="4"/>
  <c r="G200" i="4" s="1"/>
  <c r="G167" i="4"/>
  <c r="G198" i="4" s="1"/>
  <c r="G205" i="4"/>
  <c r="G172" i="4"/>
  <c r="H94" i="21" s="1"/>
  <c r="G173" i="4"/>
  <c r="H95" i="21" s="1"/>
  <c r="E124" i="46"/>
  <c r="C31" i="57"/>
  <c r="C33" i="57" s="1"/>
  <c r="C40" i="57" s="1"/>
  <c r="J175" i="4"/>
  <c r="K97" i="21" s="1"/>
  <c r="J174" i="4"/>
  <c r="K96" i="21" s="1"/>
  <c r="J176" i="4"/>
  <c r="K98" i="21" s="1"/>
  <c r="G175" i="4"/>
  <c r="H97" i="21" s="1"/>
  <c r="G168" i="4"/>
  <c r="G24" i="26"/>
  <c r="A24" i="26"/>
  <c r="H21" i="8"/>
  <c r="I18" i="1"/>
  <c r="A23" i="8"/>
  <c r="H29" i="8"/>
  <c r="K177" i="4"/>
  <c r="K208" i="4" s="1"/>
  <c r="B223" i="4"/>
  <c r="A36" i="4"/>
  <c r="K172" i="4"/>
  <c r="L94" i="21" s="1"/>
  <c r="J172" i="4"/>
  <c r="K94" i="21" s="1"/>
  <c r="K168" i="4"/>
  <c r="K199" i="4" s="1"/>
  <c r="J173" i="4"/>
  <c r="K95" i="21" s="1"/>
  <c r="K174" i="4"/>
  <c r="K205" i="4" s="1"/>
  <c r="K176" i="4"/>
  <c r="K207" i="4" s="1"/>
  <c r="K175" i="4"/>
  <c r="K206" i="4" s="1"/>
  <c r="K173" i="4"/>
  <c r="L95" i="21" s="1"/>
  <c r="K167" i="4"/>
  <c r="F173" i="4"/>
  <c r="F204" i="4" s="1"/>
  <c r="K170" i="4"/>
  <c r="L92" i="21" s="1"/>
  <c r="K169" i="4"/>
  <c r="L91" i="21" s="1"/>
  <c r="F177" i="4"/>
  <c r="G99" i="21" s="1"/>
  <c r="K171" i="4"/>
  <c r="K202" i="4" s="1"/>
  <c r="F168" i="4"/>
  <c r="F199" i="4" s="1"/>
  <c r="J168" i="4"/>
  <c r="K90" i="21" s="1"/>
  <c r="G202" i="4"/>
  <c r="M187" i="4"/>
  <c r="M191" i="4" s="1"/>
  <c r="J323" i="49"/>
  <c r="K323" i="49" s="1"/>
  <c r="J256" i="49"/>
  <c r="J257" i="49" s="1"/>
  <c r="K90" i="49"/>
  <c r="G99" i="46"/>
  <c r="M24" i="84"/>
  <c r="I31" i="83"/>
  <c r="I51" i="83" s="1"/>
  <c r="J170" i="4"/>
  <c r="K92" i="21" s="1"/>
  <c r="L175" i="4"/>
  <c r="M97" i="21" s="1"/>
  <c r="L174" i="4"/>
  <c r="M96" i="21" s="1"/>
  <c r="L169" i="4"/>
  <c r="M91" i="21" s="1"/>
  <c r="L178" i="4"/>
  <c r="M100" i="21" s="1"/>
  <c r="L171" i="4"/>
  <c r="M93" i="21" s="1"/>
  <c r="L176" i="4"/>
  <c r="M98" i="21" s="1"/>
  <c r="H207" i="4"/>
  <c r="H168" i="4"/>
  <c r="G204" i="4"/>
  <c r="F170" i="4"/>
  <c r="G92" i="21" s="1"/>
  <c r="F171" i="4"/>
  <c r="G93" i="21" s="1"/>
  <c r="F178" i="4"/>
  <c r="F209" i="4" s="1"/>
  <c r="M118" i="53"/>
  <c r="C16" i="53" s="1"/>
  <c r="M127" i="53"/>
  <c r="C25" i="53" s="1"/>
  <c r="M128" i="53"/>
  <c r="C26" i="53" s="1"/>
  <c r="M116" i="53"/>
  <c r="C13" i="53" s="1"/>
  <c r="M117" i="53"/>
  <c r="C15" i="53" s="1"/>
  <c r="M124" i="53"/>
  <c r="C22" i="53" s="1"/>
  <c r="K420" i="49"/>
  <c r="K14" i="84"/>
  <c r="K28" i="84" s="1"/>
  <c r="K48" i="84" s="1"/>
  <c r="M9" i="84"/>
  <c r="M14" i="84" s="1"/>
  <c r="M28" i="84" s="1"/>
  <c r="M48" i="84" s="1"/>
  <c r="L9" i="84"/>
  <c r="L14" i="84" s="1"/>
  <c r="L28" i="84" s="1"/>
  <c r="L48" i="84" s="1"/>
  <c r="L52" i="84" s="1"/>
  <c r="J207" i="4"/>
  <c r="J169" i="4"/>
  <c r="K89" i="21"/>
  <c r="J198" i="4"/>
  <c r="J13" i="4" s="1"/>
  <c r="F174" i="4"/>
  <c r="F205" i="4" s="1"/>
  <c r="F169" i="4"/>
  <c r="G91" i="21" s="1"/>
  <c r="F176" i="4"/>
  <c r="F207" i="4" s="1"/>
  <c r="F167" i="4"/>
  <c r="G89" i="21" s="1"/>
  <c r="J177" i="4"/>
  <c r="H173" i="4"/>
  <c r="F175" i="4"/>
  <c r="G97" i="21" s="1"/>
  <c r="L168" i="4"/>
  <c r="M90" i="21" s="1"/>
  <c r="J206" i="4"/>
  <c r="L170" i="4"/>
  <c r="M92" i="21" s="1"/>
  <c r="H90" i="21"/>
  <c r="G199" i="4"/>
  <c r="L177" i="4"/>
  <c r="M99" i="21" s="1"/>
  <c r="L167" i="4"/>
  <c r="M89" i="21" s="1"/>
  <c r="L173" i="4"/>
  <c r="B116" i="65"/>
  <c r="A38" i="65"/>
  <c r="A39" i="65" s="1"/>
  <c r="A40" i="65" s="1"/>
  <c r="F40" i="65"/>
  <c r="B9" i="65"/>
  <c r="B7" i="65"/>
  <c r="B94" i="65"/>
  <c r="G76" i="46"/>
  <c r="K75" i="1"/>
  <c r="K86" i="1"/>
  <c r="A18" i="1"/>
  <c r="H14" i="8"/>
  <c r="F20" i="17"/>
  <c r="F22" i="17"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K388" i="49"/>
  <c r="J389" i="49"/>
  <c r="J356" i="49"/>
  <c r="K355" i="49"/>
  <c r="K157" i="49"/>
  <c r="K48" i="48"/>
  <c r="K421" i="49"/>
  <c r="J422" i="49"/>
  <c r="J290" i="49"/>
  <c r="K289" i="49"/>
  <c r="J191" i="49"/>
  <c r="K190" i="49"/>
  <c r="K125" i="49"/>
  <c r="J126" i="49"/>
  <c r="K91" i="49"/>
  <c r="J92" i="49"/>
  <c r="K223" i="49"/>
  <c r="J224" i="49"/>
  <c r="K158" i="49"/>
  <c r="J159" i="49"/>
  <c r="H99" i="21"/>
  <c r="G208" i="4"/>
  <c r="J205" i="4"/>
  <c r="I91" i="21"/>
  <c r="H200" i="4"/>
  <c r="H98" i="21"/>
  <c r="G207" i="4"/>
  <c r="E91" i="21"/>
  <c r="D200" i="4"/>
  <c r="M94" i="21"/>
  <c r="L203" i="4"/>
  <c r="I100" i="21"/>
  <c r="H209" i="4"/>
  <c r="L99" i="21"/>
  <c r="C169" i="4"/>
  <c r="C177" i="4"/>
  <c r="C171" i="4"/>
  <c r="C170" i="4"/>
  <c r="C178" i="4"/>
  <c r="C175" i="4"/>
  <c r="C168" i="4"/>
  <c r="C173" i="4"/>
  <c r="C172" i="4"/>
  <c r="H91" i="21"/>
  <c r="I93" i="21"/>
  <c r="H202" i="4"/>
  <c r="D168" i="4"/>
  <c r="I176" i="4"/>
  <c r="I168" i="4"/>
  <c r="I174" i="4"/>
  <c r="I175" i="4"/>
  <c r="I171" i="4"/>
  <c r="I178" i="4"/>
  <c r="I173" i="4"/>
  <c r="I170" i="4"/>
  <c r="I167" i="4"/>
  <c r="I169" i="4"/>
  <c r="I177" i="4"/>
  <c r="F203" i="4"/>
  <c r="G94" i="21"/>
  <c r="H89" i="21"/>
  <c r="I97" i="21"/>
  <c r="H206" i="4"/>
  <c r="H201" i="4"/>
  <c r="I92" i="21"/>
  <c r="C176" i="4"/>
  <c r="C174" i="4"/>
  <c r="H92" i="21"/>
  <c r="G201" i="4"/>
  <c r="E168" i="4"/>
  <c r="E169" i="4"/>
  <c r="E174" i="4"/>
  <c r="E172" i="4"/>
  <c r="E167" i="4"/>
  <c r="E175" i="4"/>
  <c r="E171" i="4"/>
  <c r="E170" i="4"/>
  <c r="E176" i="4"/>
  <c r="E177" i="4"/>
  <c r="E173" i="4"/>
  <c r="C167" i="4"/>
  <c r="I99" i="21"/>
  <c r="H208" i="4"/>
  <c r="L100" i="21"/>
  <c r="K209" i="4"/>
  <c r="J94" i="21"/>
  <c r="I203" i="4"/>
  <c r="D172" i="4"/>
  <c r="D170" i="4"/>
  <c r="D178" i="4"/>
  <c r="D174" i="4"/>
  <c r="D173" i="4"/>
  <c r="D171" i="4"/>
  <c r="D175" i="4"/>
  <c r="D167" i="4"/>
  <c r="D176" i="4"/>
  <c r="D177" i="4"/>
  <c r="H100" i="21"/>
  <c r="G209" i="4"/>
  <c r="I94" i="21"/>
  <c r="H203" i="4"/>
  <c r="M95" i="21"/>
  <c r="L204" i="4"/>
  <c r="E178" i="4"/>
  <c r="L89" i="21"/>
  <c r="K198" i="4"/>
  <c r="M162" i="4"/>
  <c r="E33" i="57"/>
  <c r="E40" i="57" s="1"/>
  <c r="D29" i="57"/>
  <c r="D31" i="57" s="1"/>
  <c r="D33" i="57" s="1"/>
  <c r="D40" i="57" s="1"/>
  <c r="D43" i="57" s="1"/>
  <c r="E133" i="48"/>
  <c r="K455" i="49" l="1"/>
  <c r="J456"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H40" i="12"/>
  <c r="A51" i="11"/>
  <c r="L98" i="21"/>
  <c r="I96" i="21"/>
  <c r="L93" i="21"/>
  <c r="F202" i="4"/>
  <c r="G203" i="4"/>
  <c r="J201" i="4"/>
  <c r="J209" i="4"/>
  <c r="L96" i="21"/>
  <c r="I89" i="21"/>
  <c r="L97" i="21"/>
  <c r="A59" i="21"/>
  <c r="A60" i="21" s="1"/>
  <c r="L201" i="4"/>
  <c r="L200" i="4"/>
  <c r="K203" i="4"/>
  <c r="K201" i="4"/>
  <c r="L90" i="21"/>
  <c r="J202" i="4"/>
  <c r="G206" i="4"/>
  <c r="G210" i="4" s="1"/>
  <c r="F208" i="4"/>
  <c r="F201" i="4"/>
  <c r="G95" i="21"/>
  <c r="L206" i="4"/>
  <c r="J203" i="4"/>
  <c r="A25" i="26"/>
  <c r="A26" i="26" s="1"/>
  <c r="K81" i="1"/>
  <c r="K91" i="1" s="1"/>
  <c r="A24" i="8"/>
  <c r="K256" i="49"/>
  <c r="J324" i="49"/>
  <c r="K324" i="49" s="1"/>
  <c r="B224" i="4"/>
  <c r="E37" i="7"/>
  <c r="A37" i="4"/>
  <c r="E44" i="4"/>
  <c r="L209" i="4"/>
  <c r="G100" i="21"/>
  <c r="J204" i="4"/>
  <c r="K200" i="4"/>
  <c r="J199" i="4"/>
  <c r="J14" i="4" s="1"/>
  <c r="J14" i="64" s="1"/>
  <c r="J50" i="64" s="1"/>
  <c r="K72" i="21" s="1"/>
  <c r="K204" i="4"/>
  <c r="L207" i="4"/>
  <c r="G90" i="21"/>
  <c r="L199" i="4"/>
  <c r="L202" i="4"/>
  <c r="F206" i="4"/>
  <c r="G96" i="21"/>
  <c r="L205" i="4"/>
  <c r="G98" i="21"/>
  <c r="L198" i="4"/>
  <c r="L13" i="4" s="1"/>
  <c r="L13" i="64" s="1"/>
  <c r="L49" i="64" s="1"/>
  <c r="M71" i="21" s="1"/>
  <c r="I90" i="21"/>
  <c r="H199" i="4"/>
  <c r="F200" i="4"/>
  <c r="M49" i="84"/>
  <c r="D13" i="15" s="1"/>
  <c r="M52" i="84"/>
  <c r="K91" i="21"/>
  <c r="J200" i="4"/>
  <c r="F198" i="4"/>
  <c r="K99" i="21"/>
  <c r="J208" i="4"/>
  <c r="I95" i="21"/>
  <c r="H204" i="4"/>
  <c r="L208" i="4"/>
  <c r="A41" i="65"/>
  <c r="A21" i="1"/>
  <c r="F23" i="17"/>
  <c r="K53" i="1"/>
  <c r="K82" i="1"/>
  <c r="I124" i="46"/>
  <c r="D124" i="46"/>
  <c r="K43" i="46"/>
  <c r="J60" i="46" s="1"/>
  <c r="C105" i="46"/>
  <c r="C106" i="46" s="1"/>
  <c r="C124" i="46" s="1"/>
  <c r="H105" i="46"/>
  <c r="G105" i="46" s="1"/>
  <c r="G106" i="46" s="1"/>
  <c r="H121" i="46"/>
  <c r="M130" i="53"/>
  <c r="C12" i="53"/>
  <c r="C28" i="53" s="1"/>
  <c r="G121" i="46"/>
  <c r="K77" i="48"/>
  <c r="L78" i="48" s="1"/>
  <c r="N76" i="48"/>
  <c r="N13" i="48" s="1"/>
  <c r="K13" i="48"/>
  <c r="K389" i="49"/>
  <c r="J390" i="49"/>
  <c r="J357" i="49"/>
  <c r="K356" i="49"/>
  <c r="K49" i="48"/>
  <c r="L50" i="48" s="1"/>
  <c r="K290" i="49"/>
  <c r="J291" i="49"/>
  <c r="J423" i="49"/>
  <c r="K422" i="49"/>
  <c r="K257" i="49"/>
  <c r="J258" i="49"/>
  <c r="K126" i="49"/>
  <c r="J127" i="49"/>
  <c r="J225" i="49"/>
  <c r="K224" i="49"/>
  <c r="J192" i="49"/>
  <c r="K191" i="49"/>
  <c r="K159" i="49"/>
  <c r="J160" i="49"/>
  <c r="K92" i="49"/>
  <c r="J93" i="49"/>
  <c r="E89" i="21"/>
  <c r="D198" i="4"/>
  <c r="D89" i="21"/>
  <c r="C198" i="4"/>
  <c r="F92" i="21"/>
  <c r="E201" i="4"/>
  <c r="J92" i="21"/>
  <c r="I201" i="4"/>
  <c r="D92" i="21"/>
  <c r="C201" i="4"/>
  <c r="E95" i="21"/>
  <c r="D204" i="4"/>
  <c r="E198" i="4"/>
  <c r="F89" i="21"/>
  <c r="D96" i="21"/>
  <c r="C205" i="4"/>
  <c r="J93" i="21"/>
  <c r="I202" i="4"/>
  <c r="D94" i="21"/>
  <c r="C203" i="4"/>
  <c r="D91" i="21"/>
  <c r="C200" i="4"/>
  <c r="F100" i="21"/>
  <c r="E209" i="4"/>
  <c r="D93" i="21"/>
  <c r="C202" i="4"/>
  <c r="H13" i="4"/>
  <c r="J100" i="21"/>
  <c r="I209" i="4"/>
  <c r="E96" i="21"/>
  <c r="D205" i="4"/>
  <c r="F94" i="21"/>
  <c r="E203" i="4"/>
  <c r="J97" i="21"/>
  <c r="I206" i="4"/>
  <c r="E90" i="21"/>
  <c r="D199" i="4"/>
  <c r="D95" i="21"/>
  <c r="C204" i="4"/>
  <c r="E97" i="21"/>
  <c r="D206" i="4"/>
  <c r="J95" i="21"/>
  <c r="I204" i="4"/>
  <c r="E93" i="21"/>
  <c r="D202" i="4"/>
  <c r="D98" i="21"/>
  <c r="C207" i="4"/>
  <c r="D99" i="21"/>
  <c r="C208"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F93" i="21"/>
  <c r="E202" i="4"/>
  <c r="G13" i="4"/>
  <c r="K13" i="4"/>
  <c r="E98" i="21"/>
  <c r="D207" i="4"/>
  <c r="E94" i="21"/>
  <c r="D203" i="4"/>
  <c r="F98" i="21"/>
  <c r="E207" i="4"/>
  <c r="F90" i="21"/>
  <c r="E199" i="4"/>
  <c r="J89" i="21"/>
  <c r="I198" i="4"/>
  <c r="J98" i="21"/>
  <c r="I207" i="4"/>
  <c r="D100" i="21"/>
  <c r="C209" i="4"/>
  <c r="L77" i="48"/>
  <c r="M77" i="48" s="1"/>
  <c r="L47" i="48"/>
  <c r="L49" i="48"/>
  <c r="L48" i="48"/>
  <c r="L46" i="48"/>
  <c r="J13" i="64"/>
  <c r="J49" i="64" s="1"/>
  <c r="A154" i="49" l="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J457" i="49"/>
  <c r="K456" i="49"/>
  <c r="H41" i="12"/>
  <c r="A52" i="11"/>
  <c r="A53" i="11" s="1"/>
  <c r="A54" i="11" s="1"/>
  <c r="A63" i="11" s="1"/>
  <c r="K210" i="4"/>
  <c r="A70" i="21"/>
  <c r="A71" i="21" s="1"/>
  <c r="A72" i="21" s="1"/>
  <c r="A73" i="21" s="1"/>
  <c r="A74" i="21" s="1"/>
  <c r="A75" i="21" s="1"/>
  <c r="A76" i="21" s="1"/>
  <c r="A77" i="21" s="1"/>
  <c r="A78" i="21" s="1"/>
  <c r="A79" i="21" s="1"/>
  <c r="A80" i="21" s="1"/>
  <c r="A81" i="21" s="1"/>
  <c r="A82" i="21" s="1"/>
  <c r="I23" i="1"/>
  <c r="G60" i="21"/>
  <c r="A27" i="26"/>
  <c r="A28" i="26" s="1"/>
  <c r="G26" i="26"/>
  <c r="E98" i="8"/>
  <c r="G91" i="12"/>
  <c r="A25" i="8"/>
  <c r="J325" i="49"/>
  <c r="J326" i="49" s="1"/>
  <c r="A43" i="4"/>
  <c r="E43" i="4"/>
  <c r="J15" i="4"/>
  <c r="J15" i="64" s="1"/>
  <c r="J51" i="64" s="1"/>
  <c r="K73" i="21" s="1"/>
  <c r="H210" i="4"/>
  <c r="M209" i="4"/>
  <c r="L14" i="4"/>
  <c r="L14" i="64" s="1"/>
  <c r="L50" i="64" s="1"/>
  <c r="M72" i="21" s="1"/>
  <c r="L210" i="4"/>
  <c r="F210" i="4"/>
  <c r="J210" i="4"/>
  <c r="F13" i="4"/>
  <c r="F13" i="64" s="1"/>
  <c r="F49" i="64" s="1"/>
  <c r="G71" i="21" s="1"/>
  <c r="M206" i="4"/>
  <c r="B95" i="65"/>
  <c r="A42" i="65"/>
  <c r="F42" i="65"/>
  <c r="G15" i="12"/>
  <c r="G17" i="12" s="1"/>
  <c r="F93" i="12"/>
  <c r="E99" i="8"/>
  <c r="K92" i="1"/>
  <c r="K54" i="1"/>
  <c r="K80" i="1"/>
  <c r="A22" i="1"/>
  <c r="A23" i="1" s="1"/>
  <c r="A24" i="1" s="1"/>
  <c r="G124" i="46"/>
  <c r="K126" i="1" s="1"/>
  <c r="H106" i="46"/>
  <c r="H124" i="46" s="1"/>
  <c r="K78" i="48"/>
  <c r="K14" i="48"/>
  <c r="K390" i="49"/>
  <c r="J391" i="49"/>
  <c r="K357" i="49"/>
  <c r="J358" i="49"/>
  <c r="K50" i="48"/>
  <c r="J292" i="49"/>
  <c r="K291" i="49"/>
  <c r="K423" i="49"/>
  <c r="J424" i="49"/>
  <c r="K258" i="49"/>
  <c r="J259" i="49"/>
  <c r="J94" i="49"/>
  <c r="K93" i="49"/>
  <c r="J226" i="49"/>
  <c r="K225" i="49"/>
  <c r="J193" i="49"/>
  <c r="K192" i="49"/>
  <c r="J128" i="49"/>
  <c r="K127" i="49"/>
  <c r="K160" i="49"/>
  <c r="J161" i="49"/>
  <c r="M199" i="4"/>
  <c r="M207" i="4"/>
  <c r="M204" i="4"/>
  <c r="M205" i="4"/>
  <c r="I210" i="4"/>
  <c r="I13" i="4"/>
  <c r="I13" i="64" s="1"/>
  <c r="I49" i="64" s="1"/>
  <c r="J71" i="21" s="1"/>
  <c r="E13" i="4"/>
  <c r="E13" i="64" s="1"/>
  <c r="E49" i="64" s="1"/>
  <c r="F71" i="21" s="1"/>
  <c r="E210" i="4"/>
  <c r="K13" i="64"/>
  <c r="K49" i="64" s="1"/>
  <c r="L71" i="21" s="1"/>
  <c r="K14" i="4"/>
  <c r="G13" i="64"/>
  <c r="G49" i="64" s="1"/>
  <c r="H71" i="21" s="1"/>
  <c r="G14" i="4"/>
  <c r="M203" i="4"/>
  <c r="C210" i="4"/>
  <c r="C13" i="4"/>
  <c r="M198" i="4"/>
  <c r="M200" i="4"/>
  <c r="H14" i="4"/>
  <c r="H15" i="4" s="1"/>
  <c r="H13" i="64"/>
  <c r="H49" i="64" s="1"/>
  <c r="I71" i="21" s="1"/>
  <c r="M208" i="4"/>
  <c r="M202" i="4"/>
  <c r="M201" i="4"/>
  <c r="D13" i="4"/>
  <c r="D14" i="4" s="1"/>
  <c r="D210" i="4"/>
  <c r="L15" i="48"/>
  <c r="K71" i="21"/>
  <c r="N77" i="48"/>
  <c r="M78" i="48"/>
  <c r="M46" i="48"/>
  <c r="L14" i="48"/>
  <c r="J458" i="49" l="1"/>
  <c r="K457" i="49"/>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H54" i="12"/>
  <c r="A64" i="11"/>
  <c r="F68" i="12"/>
  <c r="A89" i="21"/>
  <c r="A90" i="21" s="1"/>
  <c r="A91" i="21" s="1"/>
  <c r="A92" i="21" s="1"/>
  <c r="A93" i="21" s="1"/>
  <c r="A94" i="21" s="1"/>
  <c r="A95" i="21" s="1"/>
  <c r="A96" i="21" s="1"/>
  <c r="A97" i="21" s="1"/>
  <c r="A98" i="21" s="1"/>
  <c r="A99" i="21" s="1"/>
  <c r="A100" i="21" s="1"/>
  <c r="A106" i="21" s="1"/>
  <c r="B149" i="21"/>
  <c r="J16" i="4"/>
  <c r="J16" i="64" s="1"/>
  <c r="J52" i="64" s="1"/>
  <c r="K74" i="21" s="1"/>
  <c r="E105" i="8"/>
  <c r="J42" i="8" s="1"/>
  <c r="K325" i="49"/>
  <c r="A29" i="26"/>
  <c r="G28" i="26"/>
  <c r="I24" i="1"/>
  <c r="A26" i="8"/>
  <c r="A27" i="8" s="1"/>
  <c r="A29" i="8" s="1"/>
  <c r="L15" i="4"/>
  <c r="L16" i="4" s="1"/>
  <c r="L16" i="64" s="1"/>
  <c r="L52" i="64" s="1"/>
  <c r="M74" i="21" s="1"/>
  <c r="H6" i="8"/>
  <c r="A44" i="4"/>
  <c r="F14" i="4"/>
  <c r="F14" i="64" s="1"/>
  <c r="F50" i="64" s="1"/>
  <c r="G72" i="21" s="1"/>
  <c r="E14" i="4"/>
  <c r="E14" i="64" s="1"/>
  <c r="E50" i="64" s="1"/>
  <c r="F72" i="21" s="1"/>
  <c r="A43" i="65"/>
  <c r="A44" i="65" s="1"/>
  <c r="F43" i="65"/>
  <c r="G7" i="2"/>
  <c r="G15" i="2" s="1"/>
  <c r="K95" i="1"/>
  <c r="J49" i="8"/>
  <c r="A26" i="1"/>
  <c r="I34" i="1"/>
  <c r="E83" i="12"/>
  <c r="F83" i="12" s="1"/>
  <c r="G39" i="12"/>
  <c r="G54" i="12"/>
  <c r="E82" i="12"/>
  <c r="F82" i="12" s="1"/>
  <c r="G56" i="12"/>
  <c r="D42" i="71"/>
  <c r="D51" i="7"/>
  <c r="G40" i="12"/>
  <c r="E81" i="12"/>
  <c r="F81" i="12" s="1"/>
  <c r="G41" i="12"/>
  <c r="G55" i="12"/>
  <c r="K90" i="1"/>
  <c r="K83" i="1"/>
  <c r="K79" i="48"/>
  <c r="K15" i="48"/>
  <c r="L79" i="48"/>
  <c r="L16" i="48" s="1"/>
  <c r="K391" i="49"/>
  <c r="J392" i="49"/>
  <c r="K358" i="49"/>
  <c r="J359" i="49"/>
  <c r="K51" i="48"/>
  <c r="L51" i="48"/>
  <c r="J293" i="49"/>
  <c r="K292" i="49"/>
  <c r="K259" i="49"/>
  <c r="J260" i="49"/>
  <c r="K424" i="49"/>
  <c r="J425" i="49"/>
  <c r="J327" i="49"/>
  <c r="K326" i="49"/>
  <c r="J129" i="49"/>
  <c r="K128" i="49"/>
  <c r="J95" i="49"/>
  <c r="K94" i="49"/>
  <c r="K193" i="49"/>
  <c r="J194" i="49"/>
  <c r="K161" i="49"/>
  <c r="J162" i="49"/>
  <c r="K226" i="49"/>
  <c r="J227" i="49"/>
  <c r="M210" i="4"/>
  <c r="I14" i="4"/>
  <c r="K14" i="64"/>
  <c r="K50" i="64" s="1"/>
  <c r="L72" i="21" s="1"/>
  <c r="K15" i="4"/>
  <c r="D14" i="64"/>
  <c r="D50" i="64" s="1"/>
  <c r="E72" i="21" s="1"/>
  <c r="D15" i="4"/>
  <c r="D13" i="64"/>
  <c r="D49" i="64" s="1"/>
  <c r="H14" i="64"/>
  <c r="H50" i="64" s="1"/>
  <c r="I72" i="21" s="1"/>
  <c r="G15" i="4"/>
  <c r="G14" i="64"/>
  <c r="G50" i="64" s="1"/>
  <c r="H72" i="21" s="1"/>
  <c r="M13" i="4"/>
  <c r="C13" i="64"/>
  <c r="C49" i="64" s="1"/>
  <c r="C14" i="4"/>
  <c r="N78" i="48"/>
  <c r="M14" i="48"/>
  <c r="M47" i="48"/>
  <c r="N46" i="48"/>
  <c r="N14" i="48" s="1"/>
  <c r="A220" i="49" l="1"/>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H29" i="11"/>
  <c r="G12" i="71"/>
  <c r="K458" i="49"/>
  <c r="J459" i="49"/>
  <c r="A65" i="11"/>
  <c r="H55" i="12"/>
  <c r="F69" i="12"/>
  <c r="J17" i="4"/>
  <c r="A109" i="21"/>
  <c r="A112" i="21" s="1"/>
  <c r="A119" i="21" s="1"/>
  <c r="A120" i="21" s="1"/>
  <c r="A121" i="21" s="1"/>
  <c r="A122" i="21" s="1"/>
  <c r="A123" i="21" s="1"/>
  <c r="A124" i="21" s="1"/>
  <c r="A125" i="21" s="1"/>
  <c r="A126" i="21" s="1"/>
  <c r="A127" i="21" s="1"/>
  <c r="A128" i="21" s="1"/>
  <c r="A129" i="21" s="1"/>
  <c r="A130" i="21" s="1"/>
  <c r="A131" i="21" s="1"/>
  <c r="B150" i="21"/>
  <c r="F15" i="4"/>
  <c r="F16" i="4" s="1"/>
  <c r="L17" i="4"/>
  <c r="L15" i="64"/>
  <c r="L51" i="64" s="1"/>
  <c r="M73" i="21" s="1"/>
  <c r="G23" i="2"/>
  <c r="H12" i="86"/>
  <c r="H13" i="86" s="1"/>
  <c r="H15" i="86" s="1"/>
  <c r="A30" i="26"/>
  <c r="G30" i="26"/>
  <c r="H30" i="8"/>
  <c r="H41" i="8"/>
  <c r="A33" i="8"/>
  <c r="A34" i="8" s="1"/>
  <c r="G90" i="12"/>
  <c r="E15" i="4"/>
  <c r="E15" i="64" s="1"/>
  <c r="E51" i="64" s="1"/>
  <c r="F73" i="21" s="1"/>
  <c r="A53" i="4"/>
  <c r="I9" i="1"/>
  <c r="F24" i="22"/>
  <c r="F26" i="22" s="1"/>
  <c r="K15" i="1" s="1"/>
  <c r="D29" i="54"/>
  <c r="D30" i="54" s="1"/>
  <c r="D39" i="54" s="1"/>
  <c r="E29" i="54"/>
  <c r="E30" i="54" s="1"/>
  <c r="E39" i="54" s="1"/>
  <c r="K11" i="1" s="1"/>
  <c r="G31" i="79"/>
  <c r="G32" i="79" s="1"/>
  <c r="G18" i="79" s="1"/>
  <c r="I26" i="79"/>
  <c r="I27" i="79" s="1"/>
  <c r="I17" i="79" s="1"/>
  <c r="F54" i="22"/>
  <c r="F55" i="22" s="1"/>
  <c r="K16" i="1" s="1"/>
  <c r="I38" i="79"/>
  <c r="I39" i="79" s="1"/>
  <c r="I19" i="79" s="1"/>
  <c r="H88" i="15"/>
  <c r="H89" i="15" s="1"/>
  <c r="H85" i="64"/>
  <c r="H86" i="64" s="1"/>
  <c r="F93" i="64" s="1"/>
  <c r="F58" i="4"/>
  <c r="F59" i="4" s="1"/>
  <c r="J7" i="8" s="1"/>
  <c r="F50" i="22"/>
  <c r="F51" i="22" s="1"/>
  <c r="J13" i="8" s="1"/>
  <c r="G38" i="79"/>
  <c r="G39" i="79" s="1"/>
  <c r="G19" i="79" s="1"/>
  <c r="H132" i="15"/>
  <c r="H133" i="15" s="1"/>
  <c r="K55" i="1"/>
  <c r="I31" i="79"/>
  <c r="I32" i="79" s="1"/>
  <c r="I18" i="79" s="1"/>
  <c r="F27" i="26"/>
  <c r="F28" i="26" s="1"/>
  <c r="G25" i="2"/>
  <c r="G28" i="2" s="1"/>
  <c r="F59" i="21"/>
  <c r="F60" i="21" s="1"/>
  <c r="K23" i="1" s="1"/>
  <c r="M79" i="48"/>
  <c r="N79" i="48" s="1"/>
  <c r="G44" i="12"/>
  <c r="K137" i="1" s="1"/>
  <c r="F86" i="12"/>
  <c r="F44" i="65"/>
  <c r="A45" i="65"/>
  <c r="A46" i="65" s="1"/>
  <c r="A47" i="65" s="1"/>
  <c r="A48" i="65" s="1"/>
  <c r="A49" i="65" s="1"/>
  <c r="A50" i="65" s="1"/>
  <c r="A51" i="65" s="1"/>
  <c r="A52" i="65" s="1"/>
  <c r="A53" i="65" s="1"/>
  <c r="A54" i="65" s="1"/>
  <c r="F41" i="65"/>
  <c r="I151" i="1"/>
  <c r="G26" i="79"/>
  <c r="G27" i="79" s="1"/>
  <c r="G17" i="79" s="1"/>
  <c r="F63" i="4"/>
  <c r="F64" i="4" s="1"/>
  <c r="K10" i="1" s="1"/>
  <c r="H69" i="15"/>
  <c r="H70" i="15" s="1"/>
  <c r="F52" i="21"/>
  <c r="F53" i="21" s="1"/>
  <c r="J20" i="8" s="1"/>
  <c r="D59" i="7"/>
  <c r="D55" i="7"/>
  <c r="A28" i="1"/>
  <c r="A30" i="1" s="1"/>
  <c r="A31" i="1" s="1"/>
  <c r="A32" i="1" s="1"/>
  <c r="A34" i="1" s="1"/>
  <c r="D56" i="71"/>
  <c r="E56" i="71"/>
  <c r="D49" i="71"/>
  <c r="E49" i="71"/>
  <c r="E97" i="8"/>
  <c r="E100" i="8" s="1"/>
  <c r="J33" i="8" s="1"/>
  <c r="D21" i="7"/>
  <c r="K93" i="1"/>
  <c r="D33" i="71"/>
  <c r="D35" i="71" s="1"/>
  <c r="E33" i="71"/>
  <c r="E35" i="71" s="1"/>
  <c r="D22" i="7"/>
  <c r="G59" i="12"/>
  <c r="J62" i="8" s="1"/>
  <c r="J63" i="8" s="1"/>
  <c r="K80" i="48"/>
  <c r="L80" i="48"/>
  <c r="L17" i="48" s="1"/>
  <c r="K16" i="48"/>
  <c r="J393" i="49"/>
  <c r="K392" i="49"/>
  <c r="K359" i="49"/>
  <c r="J360" i="49"/>
  <c r="K52" i="48"/>
  <c r="L52" i="48"/>
  <c r="K327" i="49"/>
  <c r="J328" i="49"/>
  <c r="J426" i="49"/>
  <c r="K425" i="49"/>
  <c r="K293" i="49"/>
  <c r="J294" i="49"/>
  <c r="J261" i="49"/>
  <c r="K260" i="49"/>
  <c r="K194" i="49"/>
  <c r="J195" i="49"/>
  <c r="K95" i="49"/>
  <c r="J96" i="49"/>
  <c r="J163" i="49"/>
  <c r="K162" i="49"/>
  <c r="K227" i="49"/>
  <c r="J228" i="49"/>
  <c r="K129" i="49"/>
  <c r="J130" i="49"/>
  <c r="G16" i="4"/>
  <c r="G15" i="64"/>
  <c r="G51" i="64" s="1"/>
  <c r="H73" i="21" s="1"/>
  <c r="D16" i="4"/>
  <c r="D15" i="64"/>
  <c r="D51" i="64" s="1"/>
  <c r="E73" i="21" s="1"/>
  <c r="K15" i="64"/>
  <c r="K51" i="64" s="1"/>
  <c r="L73" i="21" s="1"/>
  <c r="K16" i="4"/>
  <c r="C14" i="64"/>
  <c r="C50" i="64" s="1"/>
  <c r="M14" i="4"/>
  <c r="C15" i="4"/>
  <c r="H15" i="64"/>
  <c r="H51" i="64" s="1"/>
  <c r="I73" i="21" s="1"/>
  <c r="H16" i="4"/>
  <c r="I14" i="64"/>
  <c r="I50" i="64" s="1"/>
  <c r="J72" i="21" s="1"/>
  <c r="I15" i="4"/>
  <c r="D71" i="21"/>
  <c r="M49" i="64"/>
  <c r="L18" i="4"/>
  <c r="L17" i="64"/>
  <c r="L53" i="64" s="1"/>
  <c r="M75" i="21" s="1"/>
  <c r="M13" i="64"/>
  <c r="E71" i="21"/>
  <c r="J18" i="4"/>
  <c r="J17" i="64"/>
  <c r="J53" i="64" s="1"/>
  <c r="K75" i="21" s="1"/>
  <c r="M48" i="48"/>
  <c r="N47" i="48"/>
  <c r="N15" i="48" s="1"/>
  <c r="M15" i="48"/>
  <c r="K459" i="49" l="1"/>
  <c r="J460" i="49"/>
  <c r="A253" i="49"/>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G13" i="71"/>
  <c r="H30" i="11"/>
  <c r="H56" i="12"/>
  <c r="A66" i="11"/>
  <c r="A67" i="11" s="1"/>
  <c r="A68" i="11" s="1"/>
  <c r="A75" i="11" s="1"/>
  <c r="A76" i="11" s="1"/>
  <c r="A77" i="11" s="1"/>
  <c r="A78" i="11" s="1"/>
  <c r="A79" i="11" s="1"/>
  <c r="A80" i="11" s="1"/>
  <c r="A81" i="11" s="1"/>
  <c r="A82" i="11" s="1"/>
  <c r="A83" i="11" s="1"/>
  <c r="A84" i="11" s="1"/>
  <c r="A85" i="11" s="1"/>
  <c r="A86" i="11" s="1"/>
  <c r="A87" i="11" s="1"/>
  <c r="F70" i="12"/>
  <c r="F15" i="64"/>
  <c r="F51" i="64" s="1"/>
  <c r="G73" i="21" s="1"/>
  <c r="F27" i="22"/>
  <c r="J12" i="8" s="1"/>
  <c r="H19" i="86"/>
  <c r="H23" i="86" s="1"/>
  <c r="E16" i="4"/>
  <c r="A31" i="26"/>
  <c r="G31" i="26"/>
  <c r="K56" i="1"/>
  <c r="K138" i="1"/>
  <c r="K24" i="1"/>
  <c r="H34" i="8"/>
  <c r="H56" i="8"/>
  <c r="A38" i="8"/>
  <c r="M80" i="48"/>
  <c r="N80" i="48" s="1"/>
  <c r="A54" i="4"/>
  <c r="G57" i="4"/>
  <c r="M14" i="64"/>
  <c r="D42" i="54"/>
  <c r="J8" i="8" s="1"/>
  <c r="I20" i="79"/>
  <c r="K9" i="79" s="1"/>
  <c r="K31" i="1" s="1"/>
  <c r="K27" i="79"/>
  <c r="K18" i="79"/>
  <c r="K19" i="79"/>
  <c r="K39" i="79"/>
  <c r="K32" i="79"/>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79" i="71"/>
  <c r="D68" i="71"/>
  <c r="E68" i="71"/>
  <c r="F97" i="71"/>
  <c r="A39" i="1"/>
  <c r="I117" i="1"/>
  <c r="E101" i="71"/>
  <c r="E103" i="71"/>
  <c r="E66" i="71"/>
  <c r="E102" i="71"/>
  <c r="E99" i="71"/>
  <c r="E105" i="71"/>
  <c r="E104" i="71"/>
  <c r="E106" i="71"/>
  <c r="E100" i="71"/>
  <c r="E97" i="71"/>
  <c r="E96" i="71"/>
  <c r="E98" i="71"/>
  <c r="E79" i="71"/>
  <c r="E80" i="71"/>
  <c r="E88" i="71"/>
  <c r="E84" i="71"/>
  <c r="E86" i="71"/>
  <c r="E81" i="71"/>
  <c r="E85" i="71"/>
  <c r="E87" i="71"/>
  <c r="D66" i="71"/>
  <c r="E83" i="71"/>
  <c r="E78" i="71"/>
  <c r="E82" i="71"/>
  <c r="E67" i="71"/>
  <c r="F96" i="71"/>
  <c r="D26" i="71"/>
  <c r="D27" i="71" s="1"/>
  <c r="E26" i="71"/>
  <c r="E27" i="71" s="1"/>
  <c r="F78" i="71"/>
  <c r="D67" i="71"/>
  <c r="K17" i="79"/>
  <c r="G20" i="79"/>
  <c r="G88" i="15"/>
  <c r="G89" i="15" s="1"/>
  <c r="D89" i="15" s="1"/>
  <c r="D11" i="15" s="1"/>
  <c r="G132" i="15"/>
  <c r="G133" i="15" s="1"/>
  <c r="D133" i="15" s="1"/>
  <c r="D12" i="15" s="1"/>
  <c r="F29" i="26"/>
  <c r="F30" i="26" s="1"/>
  <c r="F31" i="26" s="1"/>
  <c r="K127" i="1" s="1"/>
  <c r="G69" i="15"/>
  <c r="G70" i="15" s="1"/>
  <c r="D70" i="15" s="1"/>
  <c r="D10" i="15" s="1"/>
  <c r="K40" i="1"/>
  <c r="K81" i="48"/>
  <c r="L81" i="48"/>
  <c r="L18" i="48" s="1"/>
  <c r="K17" i="48"/>
  <c r="J394" i="49"/>
  <c r="K393" i="49"/>
  <c r="J361" i="49"/>
  <c r="K360" i="49"/>
  <c r="K53" i="48"/>
  <c r="L53" i="48"/>
  <c r="K328" i="49"/>
  <c r="J329" i="49"/>
  <c r="J427" i="49"/>
  <c r="K426" i="49"/>
  <c r="J262" i="49"/>
  <c r="K261" i="49"/>
  <c r="J295" i="49"/>
  <c r="K294" i="49"/>
  <c r="J131" i="49"/>
  <c r="K130" i="49"/>
  <c r="K96" i="49"/>
  <c r="J97" i="49"/>
  <c r="K228" i="49"/>
  <c r="J229" i="49"/>
  <c r="K195" i="49"/>
  <c r="J196" i="49"/>
  <c r="J164" i="49"/>
  <c r="K163" i="49"/>
  <c r="F16" i="64"/>
  <c r="F52" i="64" s="1"/>
  <c r="G74" i="21" s="1"/>
  <c r="F17" i="4"/>
  <c r="I15" i="64"/>
  <c r="I51" i="64" s="1"/>
  <c r="J73" i="21" s="1"/>
  <c r="I16" i="4"/>
  <c r="H17" i="4"/>
  <c r="H16" i="64"/>
  <c r="H52" i="64" s="1"/>
  <c r="I74" i="21" s="1"/>
  <c r="L18" i="64"/>
  <c r="L54" i="64" s="1"/>
  <c r="M76" i="21" s="1"/>
  <c r="L19" i="4"/>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A286" i="49" l="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4" i="71"/>
  <c r="H31" i="11"/>
  <c r="K460" i="49"/>
  <c r="J461" i="49"/>
  <c r="H49" i="11"/>
  <c r="H50" i="11"/>
  <c r="H51" i="11"/>
  <c r="A88" i="11"/>
  <c r="E16" i="64"/>
  <c r="E52" i="64" s="1"/>
  <c r="F74" i="21" s="1"/>
  <c r="E17" i="4"/>
  <c r="I127" i="1"/>
  <c r="A38" i="26"/>
  <c r="H57" i="8"/>
  <c r="A41" i="8"/>
  <c r="A42" i="8" s="1"/>
  <c r="A43" i="8" s="1"/>
  <c r="A44" i="8" s="1"/>
  <c r="A46" i="8" s="1"/>
  <c r="A49" i="8" s="1"/>
  <c r="E22" i="2"/>
  <c r="G62" i="4"/>
  <c r="A57" i="4"/>
  <c r="E24" i="2"/>
  <c r="K20" i="79"/>
  <c r="K10" i="79" s="1"/>
  <c r="J26" i="8" s="1"/>
  <c r="E115" i="71"/>
  <c r="D47" i="7"/>
  <c r="D48" i="7" s="1"/>
  <c r="D63" i="7" s="1"/>
  <c r="D69" i="7" s="1"/>
  <c r="F108" i="71"/>
  <c r="F90" i="71"/>
  <c r="B115" i="65"/>
  <c r="A78" i="65"/>
  <c r="A79" i="65" s="1"/>
  <c r="A80" i="65" s="1"/>
  <c r="A81" i="65" s="1"/>
  <c r="A82" i="65" s="1"/>
  <c r="A83" i="65" s="1"/>
  <c r="A84" i="65" s="1"/>
  <c r="A85" i="65" s="1"/>
  <c r="A86" i="65" s="1"/>
  <c r="A87" i="65" s="1"/>
  <c r="A88" i="65" s="1"/>
  <c r="A89" i="65" s="1"/>
  <c r="A90" i="65" s="1"/>
  <c r="A91" i="65" s="1"/>
  <c r="B109" i="65" s="1"/>
  <c r="D14" i="15"/>
  <c r="K26" i="1" s="1"/>
  <c r="K41" i="1"/>
  <c r="D98" i="71"/>
  <c r="G98" i="71" s="1"/>
  <c r="H98" i="71" s="1"/>
  <c r="D102" i="71"/>
  <c r="E65" i="71"/>
  <c r="E69" i="71" s="1"/>
  <c r="E70" i="71" s="1"/>
  <c r="D103" i="71"/>
  <c r="G103" i="71" s="1"/>
  <c r="H103" i="71" s="1"/>
  <c r="D97" i="71"/>
  <c r="G97" i="71" s="1"/>
  <c r="H97" i="71" s="1"/>
  <c r="D106" i="71"/>
  <c r="G106" i="71" s="1"/>
  <c r="H106" i="71" s="1"/>
  <c r="D99" i="71"/>
  <c r="D101" i="71"/>
  <c r="G101" i="71" s="1"/>
  <c r="H101" i="71" s="1"/>
  <c r="D104" i="71"/>
  <c r="G104" i="71" s="1"/>
  <c r="H104" i="71" s="1"/>
  <c r="D96" i="71"/>
  <c r="D100" i="71"/>
  <c r="G100" i="71" s="1"/>
  <c r="H100" i="71" s="1"/>
  <c r="D105" i="71"/>
  <c r="G105" i="71" s="1"/>
  <c r="H105" i="71" s="1"/>
  <c r="D65" i="71"/>
  <c r="D82" i="71"/>
  <c r="D88" i="71"/>
  <c r="D87" i="71"/>
  <c r="D86" i="71"/>
  <c r="D81" i="71"/>
  <c r="D78" i="71"/>
  <c r="D83" i="71"/>
  <c r="D84" i="71"/>
  <c r="D79" i="71"/>
  <c r="D80" i="71"/>
  <c r="D85" i="71"/>
  <c r="A40" i="1"/>
  <c r="A41" i="1" s="1"/>
  <c r="E108" i="71"/>
  <c r="E90" i="71"/>
  <c r="D72" i="7"/>
  <c r="J50" i="8"/>
  <c r="K17" i="1"/>
  <c r="K82" i="48"/>
  <c r="L82" i="48"/>
  <c r="L19" i="48" s="1"/>
  <c r="K18" i="48"/>
  <c r="M81" i="48"/>
  <c r="N81" i="48" s="1"/>
  <c r="K394" i="49"/>
  <c r="J395" i="49"/>
  <c r="J362" i="49"/>
  <c r="K361" i="49"/>
  <c r="K54" i="48"/>
  <c r="L54" i="48"/>
  <c r="K427" i="49"/>
  <c r="J428" i="49"/>
  <c r="K295" i="49"/>
  <c r="J296" i="49"/>
  <c r="K329" i="49"/>
  <c r="J330" i="49"/>
  <c r="J263" i="49"/>
  <c r="K262" i="49"/>
  <c r="K229" i="49"/>
  <c r="J230" i="49"/>
  <c r="J165" i="49"/>
  <c r="K164" i="49"/>
  <c r="K131" i="49"/>
  <c r="J132" i="49"/>
  <c r="K97" i="49"/>
  <c r="J98" i="49"/>
  <c r="K196" i="49"/>
  <c r="J197" i="49"/>
  <c r="G17" i="64"/>
  <c r="G53" i="64" s="1"/>
  <c r="H75" i="21" s="1"/>
  <c r="G18" i="4"/>
  <c r="D18" i="4"/>
  <c r="D17" i="64"/>
  <c r="D53" i="64" s="1"/>
  <c r="H18" i="4"/>
  <c r="H17" i="64"/>
  <c r="H53" i="64" s="1"/>
  <c r="I75" i="21" s="1"/>
  <c r="M15" i="64"/>
  <c r="K17" i="64"/>
  <c r="K53" i="64" s="1"/>
  <c r="L75" i="21" s="1"/>
  <c r="K18" i="4"/>
  <c r="D73" i="21"/>
  <c r="M51" i="64"/>
  <c r="I16" i="64"/>
  <c r="I52" i="64" s="1"/>
  <c r="J74" i="21" s="1"/>
  <c r="I17" i="4"/>
  <c r="M16" i="4"/>
  <c r="C16" i="64"/>
  <c r="C52" i="64" s="1"/>
  <c r="C17" i="4"/>
  <c r="L19" i="64"/>
  <c r="L55" i="64" s="1"/>
  <c r="M77" i="21" s="1"/>
  <c r="L20" i="4"/>
  <c r="F17" i="64"/>
  <c r="F53" i="64" s="1"/>
  <c r="G75" i="21" s="1"/>
  <c r="F18" i="4"/>
  <c r="J20" i="4"/>
  <c r="J19" i="64"/>
  <c r="J55" i="64" s="1"/>
  <c r="K77" i="21" s="1"/>
  <c r="N49" i="48"/>
  <c r="N17" i="48" s="1"/>
  <c r="M50" i="48"/>
  <c r="M17" i="48"/>
  <c r="K461" i="49" l="1"/>
  <c r="J462" i="49"/>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H32" i="11"/>
  <c r="G15" i="71"/>
  <c r="A97" i="11"/>
  <c r="A98" i="11" s="1"/>
  <c r="A99" i="11" s="1"/>
  <c r="A100" i="11" s="1"/>
  <c r="A101" i="11" s="1"/>
  <c r="A102" i="11" s="1"/>
  <c r="A103" i="11" s="1"/>
  <c r="A104" i="11" s="1"/>
  <c r="A105" i="11" s="1"/>
  <c r="A106" i="11" s="1"/>
  <c r="A107" i="11" s="1"/>
  <c r="A108" i="11" s="1"/>
  <c r="A109" i="11" s="1"/>
  <c r="A110" i="11" s="1"/>
  <c r="A120" i="11" s="1"/>
  <c r="H63" i="11"/>
  <c r="H64" i="11"/>
  <c r="H65" i="11"/>
  <c r="E17" i="64"/>
  <c r="E53" i="64" s="1"/>
  <c r="F75" i="21" s="1"/>
  <c r="E18" i="4"/>
  <c r="A39" i="26"/>
  <c r="A40" i="26" s="1"/>
  <c r="A41" i="26" s="1"/>
  <c r="A42" i="26" s="1"/>
  <c r="A43" i="26" s="1"/>
  <c r="A44" i="26" s="1"/>
  <c r="G82" i="26"/>
  <c r="K18" i="1"/>
  <c r="A50" i="8"/>
  <c r="A51" i="8" s="1"/>
  <c r="A52" i="8" s="1"/>
  <c r="A53" i="8" s="1"/>
  <c r="A54" i="8" s="1"/>
  <c r="A55" i="8" s="1"/>
  <c r="A56" i="8" s="1"/>
  <c r="A57" i="8" s="1"/>
  <c r="A58" i="8" s="1"/>
  <c r="A59" i="8" s="1"/>
  <c r="A60" i="8" s="1"/>
  <c r="D64" i="7"/>
  <c r="D65" i="7" s="1"/>
  <c r="A58" i="4"/>
  <c r="A59" i="4" s="1"/>
  <c r="M16" i="64"/>
  <c r="M82" i="48"/>
  <c r="N82" i="48" s="1"/>
  <c r="B108" i="65"/>
  <c r="B119" i="65"/>
  <c r="D24" i="15"/>
  <c r="J23" i="8" s="1"/>
  <c r="D69" i="71"/>
  <c r="D70" i="71" s="1"/>
  <c r="E141" i="71"/>
  <c r="D159" i="71"/>
  <c r="D178" i="71"/>
  <c r="G82" i="71"/>
  <c r="H82" i="71" s="1"/>
  <c r="D179" i="71"/>
  <c r="D160" i="71"/>
  <c r="G83" i="71"/>
  <c r="H83" i="71" s="1"/>
  <c r="D161" i="71"/>
  <c r="D180" i="71"/>
  <c r="G84" i="71"/>
  <c r="H84" i="71" s="1"/>
  <c r="I41" i="1"/>
  <c r="G81" i="71"/>
  <c r="H81" i="71" s="1"/>
  <c r="D177" i="71"/>
  <c r="D158" i="71"/>
  <c r="G96" i="71"/>
  <c r="D108" i="71"/>
  <c r="G102" i="71"/>
  <c r="H102" i="71" s="1"/>
  <c r="D175" i="71"/>
  <c r="G79" i="71"/>
  <c r="H79" i="71" s="1"/>
  <c r="D156" i="71"/>
  <c r="D90" i="71"/>
  <c r="D174" i="71"/>
  <c r="D155" i="71"/>
  <c r="G78" i="71"/>
  <c r="H78" i="71" s="1"/>
  <c r="A43" i="1"/>
  <c r="A44" i="1" s="1"/>
  <c r="G86" i="71"/>
  <c r="H86" i="71" s="1"/>
  <c r="D163" i="71"/>
  <c r="D182" i="71"/>
  <c r="D181" i="71"/>
  <c r="D162" i="71"/>
  <c r="G85" i="71"/>
  <c r="H85" i="71" s="1"/>
  <c r="D183" i="71"/>
  <c r="D164" i="71"/>
  <c r="G87" i="71"/>
  <c r="H87" i="71" s="1"/>
  <c r="D157" i="71"/>
  <c r="D176" i="71"/>
  <c r="G80" i="71"/>
  <c r="H80" i="71" s="1"/>
  <c r="D184" i="71"/>
  <c r="D165" i="71"/>
  <c r="G88" i="71"/>
  <c r="H88" i="71" s="1"/>
  <c r="G99" i="71"/>
  <c r="H99" i="71" s="1"/>
  <c r="K58" i="1"/>
  <c r="J14" i="8"/>
  <c r="J15" i="8" s="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K98" i="49"/>
  <c r="K230" i="49"/>
  <c r="J231"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L20" i="64"/>
  <c r="L56" i="64" s="1"/>
  <c r="M78" i="21" s="1"/>
  <c r="L21" i="4"/>
  <c r="J20" i="64"/>
  <c r="J56" i="64" s="1"/>
  <c r="K78" i="21" s="1"/>
  <c r="J21" i="4"/>
  <c r="M51" i="48"/>
  <c r="M18" i="48"/>
  <c r="N50" i="48"/>
  <c r="N18" i="48" s="1"/>
  <c r="A352" i="49" l="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G16" i="71"/>
  <c r="H33" i="11"/>
  <c r="K462" i="49"/>
  <c r="J463" i="49"/>
  <c r="A121" i="11"/>
  <c r="A122" i="11" s="1"/>
  <c r="A123" i="11" s="1"/>
  <c r="A124" i="11" s="1"/>
  <c r="A125" i="11" s="1"/>
  <c r="A126" i="11" s="1"/>
  <c r="A127" i="11" s="1"/>
  <c r="A128" i="11" s="1"/>
  <c r="A129" i="11" s="1"/>
  <c r="A130" i="11" s="1"/>
  <c r="A131" i="11" s="1"/>
  <c r="A132" i="11" s="1"/>
  <c r="A140" i="11" s="1"/>
  <c r="E19" i="4"/>
  <c r="E18" i="64"/>
  <c r="E54" i="64" s="1"/>
  <c r="F76" i="21" s="1"/>
  <c r="A45" i="26"/>
  <c r="C83" i="26"/>
  <c r="H60" i="8"/>
  <c r="H65" i="8"/>
  <c r="A62" i="8"/>
  <c r="A65" i="8" s="1"/>
  <c r="H7" i="8"/>
  <c r="A62" i="4"/>
  <c r="G59" i="4"/>
  <c r="D186" i="71"/>
  <c r="H90" i="71"/>
  <c r="G108" i="71"/>
  <c r="H96" i="71"/>
  <c r="H108" i="71" s="1"/>
  <c r="A45" i="1"/>
  <c r="G90" i="71"/>
  <c r="K131" i="1"/>
  <c r="K34" i="1"/>
  <c r="K112" i="1" s="1"/>
  <c r="D167" i="71"/>
  <c r="K84" i="48"/>
  <c r="L84" i="48"/>
  <c r="L21" i="48" s="1"/>
  <c r="K20" i="48"/>
  <c r="M83" i="48"/>
  <c r="J397" i="49"/>
  <c r="K396" i="49"/>
  <c r="J364" i="49"/>
  <c r="K363" i="49"/>
  <c r="K56" i="48"/>
  <c r="L56" i="48"/>
  <c r="K264" i="49"/>
  <c r="J265" i="49"/>
  <c r="J298" i="49"/>
  <c r="K297" i="49"/>
  <c r="J430" i="49"/>
  <c r="K429" i="49"/>
  <c r="J332" i="49"/>
  <c r="K331" i="49"/>
  <c r="K231" i="49"/>
  <c r="J232" i="49"/>
  <c r="J134" i="49"/>
  <c r="K133" i="49"/>
  <c r="K99" i="49"/>
  <c r="J100" i="49"/>
  <c r="J167" i="49"/>
  <c r="K166" i="49"/>
  <c r="K198" i="49"/>
  <c r="J199" i="49"/>
  <c r="I19" i="4"/>
  <c r="I18" i="64"/>
  <c r="I54" i="64" s="1"/>
  <c r="J76" i="21" s="1"/>
  <c r="F20" i="4"/>
  <c r="F19" i="64"/>
  <c r="F55" i="64" s="1"/>
  <c r="G77" i="21" s="1"/>
  <c r="K19" i="64"/>
  <c r="K55" i="64" s="1"/>
  <c r="L77" i="21" s="1"/>
  <c r="K20" i="4"/>
  <c r="D19" i="64"/>
  <c r="D55" i="64" s="1"/>
  <c r="E77" i="21" s="1"/>
  <c r="D20" i="4"/>
  <c r="L21" i="64"/>
  <c r="L57" i="64" s="1"/>
  <c r="M79" i="21" s="1"/>
  <c r="L22" i="4"/>
  <c r="M17" i="64"/>
  <c r="D75" i="21"/>
  <c r="N75" i="21" s="1"/>
  <c r="M53" i="64"/>
  <c r="H20" i="4"/>
  <c r="H19" i="64"/>
  <c r="H55" i="64" s="1"/>
  <c r="I77" i="21" s="1"/>
  <c r="C18" i="64"/>
  <c r="C54" i="64" s="1"/>
  <c r="M18" i="4"/>
  <c r="C19" i="4"/>
  <c r="G19" i="64"/>
  <c r="G55" i="64" s="1"/>
  <c r="H77" i="21" s="1"/>
  <c r="G20" i="4"/>
  <c r="J22" i="4"/>
  <c r="J21" i="64"/>
  <c r="J57" i="64" s="1"/>
  <c r="K79" i="21" s="1"/>
  <c r="M52" i="48"/>
  <c r="M19" i="48"/>
  <c r="N51" i="48"/>
  <c r="N19" i="48" s="1"/>
  <c r="K463" i="49" l="1"/>
  <c r="J464" i="49"/>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H34" i="11"/>
  <c r="G17" i="71"/>
  <c r="F72" i="11"/>
  <c r="A141" i="11"/>
  <c r="A142" i="11" s="1"/>
  <c r="A143" i="11" s="1"/>
  <c r="A144" i="11" s="1"/>
  <c r="A145" i="11" s="1"/>
  <c r="A146" i="11" s="1"/>
  <c r="A147" i="11" s="1"/>
  <c r="A148" i="11" s="1"/>
  <c r="A149" i="11" s="1"/>
  <c r="A150" i="11" s="1"/>
  <c r="A151" i="11" s="1"/>
  <c r="A152" i="11" s="1"/>
  <c r="A160" i="11" s="1"/>
  <c r="E19" i="64"/>
  <c r="E55" i="64" s="1"/>
  <c r="F77" i="21" s="1"/>
  <c r="E20" i="4"/>
  <c r="C74" i="26"/>
  <c r="A46" i="26"/>
  <c r="A47" i="26" s="1"/>
  <c r="A48" i="26" s="1"/>
  <c r="A49" i="26" s="1"/>
  <c r="A50" i="26" s="1"/>
  <c r="A51" i="26" s="1"/>
  <c r="G69" i="8"/>
  <c r="A69" i="8"/>
  <c r="M84" i="48"/>
  <c r="N84" i="48" s="1"/>
  <c r="G64" i="4"/>
  <c r="A63" i="4"/>
  <c r="A64" i="4" s="1"/>
  <c r="M18" i="64"/>
  <c r="N83" i="48"/>
  <c r="K97" i="1"/>
  <c r="J54" i="8"/>
  <c r="A46" i="1"/>
  <c r="A47" i="1" s="1"/>
  <c r="A48" i="1" s="1"/>
  <c r="K85" i="48"/>
  <c r="L85" i="48"/>
  <c r="L22" i="48" s="1"/>
  <c r="K21" i="48"/>
  <c r="K397" i="49"/>
  <c r="J398" i="49"/>
  <c r="J365" i="49"/>
  <c r="K364" i="49"/>
  <c r="K57" i="48"/>
  <c r="L57" i="48"/>
  <c r="J266" i="49"/>
  <c r="K265" i="49"/>
  <c r="J333" i="49"/>
  <c r="K332" i="49"/>
  <c r="J299" i="49"/>
  <c r="K298" i="49"/>
  <c r="K430" i="49"/>
  <c r="J431" i="49"/>
  <c r="K167" i="49"/>
  <c r="J168" i="49"/>
  <c r="K100" i="49"/>
  <c r="J101" i="49"/>
  <c r="K134" i="49"/>
  <c r="J135" i="49"/>
  <c r="K199" i="49"/>
  <c r="J200" i="49"/>
  <c r="J233" i="49"/>
  <c r="K232" i="49"/>
  <c r="D20" i="64"/>
  <c r="D56" i="64" s="1"/>
  <c r="E78" i="21" s="1"/>
  <c r="D21" i="4"/>
  <c r="G21" i="4"/>
  <c r="G20" i="64"/>
  <c r="G56" i="64" s="1"/>
  <c r="H78" i="21" s="1"/>
  <c r="C19" i="64"/>
  <c r="C55" i="64" s="1"/>
  <c r="C20" i="4"/>
  <c r="M19" i="4"/>
  <c r="M54" i="64"/>
  <c r="D76" i="21"/>
  <c r="N76" i="21" s="1"/>
  <c r="K21" i="4"/>
  <c r="K20" i="64"/>
  <c r="K56" i="64" s="1"/>
  <c r="L78" i="21" s="1"/>
  <c r="H21" i="4"/>
  <c r="H20" i="64"/>
  <c r="H56" i="64" s="1"/>
  <c r="I78" i="21" s="1"/>
  <c r="L23" i="4"/>
  <c r="L22" i="64"/>
  <c r="L58" i="64" s="1"/>
  <c r="M80" i="21" s="1"/>
  <c r="F20" i="64"/>
  <c r="F56" i="64" s="1"/>
  <c r="G78" i="21" s="1"/>
  <c r="F21" i="4"/>
  <c r="I20" i="4"/>
  <c r="I19" i="64"/>
  <c r="I55" i="64" s="1"/>
  <c r="J77" i="21" s="1"/>
  <c r="J23" i="4"/>
  <c r="J22" i="64"/>
  <c r="J58" i="64" s="1"/>
  <c r="K80" i="21" s="1"/>
  <c r="M20" i="48"/>
  <c r="M53" i="48"/>
  <c r="N52" i="48"/>
  <c r="A418" i="49" l="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G18" i="71"/>
  <c r="H35" i="11"/>
  <c r="J465" i="49"/>
  <c r="K464" i="49"/>
  <c r="A161" i="11"/>
  <c r="A162" i="11" s="1"/>
  <c r="A163" i="11" s="1"/>
  <c r="A164" i="11" s="1"/>
  <c r="A165" i="11" s="1"/>
  <c r="A166" i="11" s="1"/>
  <c r="A167" i="11" s="1"/>
  <c r="A168" i="11" s="1"/>
  <c r="A169" i="11" s="1"/>
  <c r="A170" i="11" s="1"/>
  <c r="A171" i="11" s="1"/>
  <c r="A172" i="11" s="1"/>
  <c r="A179" i="11" s="1"/>
  <c r="A180" i="11" s="1"/>
  <c r="A181" i="11" s="1"/>
  <c r="A182" i="11" s="1"/>
  <c r="A183" i="11" s="1"/>
  <c r="A184" i="11" s="1"/>
  <c r="A185" i="11" s="1"/>
  <c r="A186" i="11" s="1"/>
  <c r="A187" i="11" s="1"/>
  <c r="A188" i="11" s="1"/>
  <c r="A189" i="11" s="1"/>
  <c r="A190" i="11" s="1"/>
  <c r="A191" i="11" s="1"/>
  <c r="A198" i="11" s="1"/>
  <c r="A199" i="11" s="1"/>
  <c r="A200" i="11" s="1"/>
  <c r="A201" i="11" s="1"/>
  <c r="A202" i="11" s="1"/>
  <c r="A203" i="11" s="1"/>
  <c r="A204" i="11" s="1"/>
  <c r="A205" i="11" s="1"/>
  <c r="A206" i="11" s="1"/>
  <c r="A207" i="11" s="1"/>
  <c r="A208" i="11" s="1"/>
  <c r="A209" i="11" s="1"/>
  <c r="A210" i="11" s="1"/>
  <c r="A217" i="11" s="1"/>
  <c r="A218" i="11" s="1"/>
  <c r="A219" i="11" s="1"/>
  <c r="A220" i="11" s="1"/>
  <c r="A221" i="11" s="1"/>
  <c r="A222" i="11" s="1"/>
  <c r="A223" i="11" s="1"/>
  <c r="A224" i="11" s="1"/>
  <c r="A225" i="11" s="1"/>
  <c r="A226" i="11" s="1"/>
  <c r="A227" i="11" s="1"/>
  <c r="A228" i="11" s="1"/>
  <c r="A229" i="11" s="1"/>
  <c r="A236" i="11" s="1"/>
  <c r="A237" i="11" s="1"/>
  <c r="A238" i="11" s="1"/>
  <c r="A239" i="11" s="1"/>
  <c r="A240" i="11" s="1"/>
  <c r="A241" i="11" s="1"/>
  <c r="A242" i="11" s="1"/>
  <c r="A243" i="11" s="1"/>
  <c r="A244" i="11" s="1"/>
  <c r="A245" i="11" s="1"/>
  <c r="A246" i="11" s="1"/>
  <c r="A247" i="11" s="1"/>
  <c r="A248" i="11" s="1"/>
  <c r="A255" i="11" s="1"/>
  <c r="A256" i="11" s="1"/>
  <c r="A257" i="11" s="1"/>
  <c r="A258" i="11" s="1"/>
  <c r="A259" i="11" s="1"/>
  <c r="A260" i="11" s="1"/>
  <c r="A261" i="11" s="1"/>
  <c r="A262" i="11" s="1"/>
  <c r="A263" i="11" s="1"/>
  <c r="A264" i="11" s="1"/>
  <c r="A265" i="11" s="1"/>
  <c r="A266" i="11" s="1"/>
  <c r="A267" i="11" s="1"/>
  <c r="A274" i="11" s="1"/>
  <c r="A275" i="11" s="1"/>
  <c r="A276" i="11" s="1"/>
  <c r="A277" i="11" s="1"/>
  <c r="A278" i="11" s="1"/>
  <c r="A279" i="11" s="1"/>
  <c r="A280" i="11" s="1"/>
  <c r="A281" i="11" s="1"/>
  <c r="A282" i="11" s="1"/>
  <c r="A283" i="11" s="1"/>
  <c r="A284" i="11" s="1"/>
  <c r="A285" i="11" s="1"/>
  <c r="A286" i="11" s="1"/>
  <c r="A293" i="11" s="1"/>
  <c r="A294" i="11" s="1"/>
  <c r="A295" i="11" s="1"/>
  <c r="A296" i="11" s="1"/>
  <c r="A297" i="11" s="1"/>
  <c r="A298" i="11" s="1"/>
  <c r="A299" i="11" s="1"/>
  <c r="A300" i="11" s="1"/>
  <c r="A301" i="11" s="1"/>
  <c r="A302" i="11" s="1"/>
  <c r="A303" i="11" s="1"/>
  <c r="A304" i="11" s="1"/>
  <c r="A305" i="11" s="1"/>
  <c r="A312" i="11" s="1"/>
  <c r="A313" i="11" s="1"/>
  <c r="A314" i="11" s="1"/>
  <c r="A315" i="11" s="1"/>
  <c r="A316" i="11" s="1"/>
  <c r="A317" i="11" s="1"/>
  <c r="A318" i="11" s="1"/>
  <c r="A319" i="11" s="1"/>
  <c r="A320" i="11" s="1"/>
  <c r="A321" i="11" s="1"/>
  <c r="A322" i="11" s="1"/>
  <c r="A323" i="11" s="1"/>
  <c r="A324" i="11" s="1"/>
  <c r="A332" i="11" s="1"/>
  <c r="A333" i="11" s="1"/>
  <c r="A334" i="11" s="1"/>
  <c r="A335" i="11" s="1"/>
  <c r="A336" i="11" s="1"/>
  <c r="A337" i="11" s="1"/>
  <c r="A338" i="11" s="1"/>
  <c r="A339" i="11" s="1"/>
  <c r="A340" i="11" s="1"/>
  <c r="A341" i="11" s="1"/>
  <c r="A342" i="11" s="1"/>
  <c r="A343" i="11" s="1"/>
  <c r="A344" i="11" s="1"/>
  <c r="H72" i="11"/>
  <c r="E21" i="4"/>
  <c r="E20" i="64"/>
  <c r="E56" i="64" s="1"/>
  <c r="F78" i="21" s="1"/>
  <c r="I44" i="1"/>
  <c r="A70" i="8"/>
  <c r="A71" i="8" s="1"/>
  <c r="A72" i="8" s="1"/>
  <c r="A73" i="8" s="1"/>
  <c r="A75" i="8" s="1"/>
  <c r="H14" i="65" s="1"/>
  <c r="G71" i="8"/>
  <c r="K133" i="1"/>
  <c r="K134" i="1"/>
  <c r="N20" i="48"/>
  <c r="A74" i="4"/>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I10" i="1"/>
  <c r="M19" i="64"/>
  <c r="A49" i="1"/>
  <c r="A50" i="1" s="1"/>
  <c r="A51" i="1" s="1"/>
  <c r="A52" i="1" s="1"/>
  <c r="K86" i="48"/>
  <c r="L86" i="48"/>
  <c r="L23" i="48" s="1"/>
  <c r="K22" i="48"/>
  <c r="M85" i="48"/>
  <c r="N85" i="48" s="1"/>
  <c r="K398" i="49"/>
  <c r="J399" i="49"/>
  <c r="K365" i="49"/>
  <c r="J366" i="49"/>
  <c r="K58" i="48"/>
  <c r="L58" i="48"/>
  <c r="J300" i="49"/>
  <c r="K299" i="49"/>
  <c r="K333" i="49"/>
  <c r="J334" i="49"/>
  <c r="K431" i="49"/>
  <c r="J432" i="49"/>
  <c r="K266" i="49"/>
  <c r="J267" i="49"/>
  <c r="J102" i="49"/>
  <c r="K101" i="49"/>
  <c r="J234" i="49"/>
  <c r="K233" i="49"/>
  <c r="K200" i="49"/>
  <c r="J201" i="49"/>
  <c r="J169" i="49"/>
  <c r="K168" i="49"/>
  <c r="K135" i="49"/>
  <c r="J136" i="49"/>
  <c r="F21" i="64"/>
  <c r="F57" i="64" s="1"/>
  <c r="G79" i="21" s="1"/>
  <c r="F22" i="4"/>
  <c r="K22" i="4"/>
  <c r="K21" i="64"/>
  <c r="K57" i="64" s="1"/>
  <c r="L79" i="21" s="1"/>
  <c r="G22" i="4"/>
  <c r="G21" i="64"/>
  <c r="G57" i="64" s="1"/>
  <c r="H79" i="21" s="1"/>
  <c r="L25" i="4"/>
  <c r="L23" i="64"/>
  <c r="L59" i="64"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21" i="48"/>
  <c r="M54" i="48"/>
  <c r="N53" i="48"/>
  <c r="N21" i="48" s="1"/>
  <c r="J466" i="49" l="1"/>
  <c r="K465" i="49"/>
  <c r="A451" i="49"/>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H36" i="11"/>
  <c r="G19" i="71"/>
  <c r="A407" i="11"/>
  <c r="A351" i="11"/>
  <c r="A352" i="11" s="1"/>
  <c r="A353" i="11" s="1"/>
  <c r="A354" i="11" s="1"/>
  <c r="A355" i="11" s="1"/>
  <c r="A356" i="11" s="1"/>
  <c r="A357" i="11" s="1"/>
  <c r="A358" i="11" s="1"/>
  <c r="A359" i="11" s="1"/>
  <c r="A360" i="11" s="1"/>
  <c r="A361" i="11" s="1"/>
  <c r="A362" i="11" s="1"/>
  <c r="G72" i="11"/>
  <c r="E22" i="4"/>
  <c r="E21" i="64"/>
  <c r="E57" i="64" s="1"/>
  <c r="F79" i="21" s="1"/>
  <c r="G75" i="8"/>
  <c r="G73" i="8"/>
  <c r="M86" i="48"/>
  <c r="N86" i="48" s="1"/>
  <c r="A150" i="4"/>
  <c r="B232" i="4"/>
  <c r="I52" i="1"/>
  <c r="A53" i="1"/>
  <c r="A54" i="1" s="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J137" i="49"/>
  <c r="K136" i="49"/>
  <c r="J103" i="49"/>
  <c r="K102" i="49"/>
  <c r="C22" i="4"/>
  <c r="M21" i="4"/>
  <c r="C21" i="64"/>
  <c r="C57" i="64" s="1"/>
  <c r="H22" i="64"/>
  <c r="H58" i="64" s="1"/>
  <c r="H23" i="4"/>
  <c r="H23" i="64" s="1"/>
  <c r="H59" i="64" s="1"/>
  <c r="I81" i="21" s="1"/>
  <c r="D78" i="21"/>
  <c r="M56" i="64"/>
  <c r="G22" i="64"/>
  <c r="G58" i="64" s="1"/>
  <c r="H80" i="21" s="1"/>
  <c r="G23" i="4"/>
  <c r="G23" i="64" s="1"/>
  <c r="G59" i="64" s="1"/>
  <c r="H81" i="21" s="1"/>
  <c r="D22" i="64"/>
  <c r="D58" i="64" s="1"/>
  <c r="E80" i="21" s="1"/>
  <c r="D23" i="4"/>
  <c r="I21" i="64"/>
  <c r="I57" i="64" s="1"/>
  <c r="J79" i="21" s="1"/>
  <c r="I22" i="4"/>
  <c r="K23" i="4"/>
  <c r="K22" i="64"/>
  <c r="K58" i="64" s="1"/>
  <c r="L80" i="21" s="1"/>
  <c r="J78" i="21"/>
  <c r="F22" i="64"/>
  <c r="F58" i="64" s="1"/>
  <c r="G80" i="21" s="1"/>
  <c r="F23" i="4"/>
  <c r="L60" i="64"/>
  <c r="M81" i="21"/>
  <c r="M82" i="21" s="1"/>
  <c r="M109" i="21" s="1"/>
  <c r="M112" i="21" s="1"/>
  <c r="M20" i="64"/>
  <c r="J60" i="64"/>
  <c r="K130" i="21"/>
  <c r="K119" i="21"/>
  <c r="K121" i="21"/>
  <c r="K126" i="21"/>
  <c r="K123" i="21"/>
  <c r="K128" i="21"/>
  <c r="K120" i="21"/>
  <c r="K122" i="21"/>
  <c r="K129" i="21"/>
  <c r="K127" i="21"/>
  <c r="K125" i="21"/>
  <c r="K124" i="21"/>
  <c r="M55" i="48"/>
  <c r="N54" i="48"/>
  <c r="N22" i="48" s="1"/>
  <c r="M22" i="48"/>
  <c r="A363" i="11" l="1"/>
  <c r="A371" i="11"/>
  <c r="A372" i="11" s="1"/>
  <c r="A373" i="11" s="1"/>
  <c r="A374" i="11" s="1"/>
  <c r="A375" i="11" s="1"/>
  <c r="A376" i="11" s="1"/>
  <c r="A377" i="11" s="1"/>
  <c r="A378" i="11" s="1"/>
  <c r="A379" i="11" s="1"/>
  <c r="A380" i="11" s="1"/>
  <c r="A476" i="49"/>
  <c r="A484" i="49" s="1"/>
  <c r="A485" i="49" s="1"/>
  <c r="A486" i="49" s="1"/>
  <c r="A487" i="49" s="1"/>
  <c r="A488" i="49" s="1"/>
  <c r="A489" i="49" s="1"/>
  <c r="A490" i="49" s="1"/>
  <c r="A491" i="49" s="1"/>
  <c r="A492" i="49" s="1"/>
  <c r="A493" i="49" s="1"/>
  <c r="A494" i="49" s="1"/>
  <c r="A495" i="49" s="1"/>
  <c r="A496" i="49" s="1"/>
  <c r="A497" i="49" s="1"/>
  <c r="A498" i="49" s="1"/>
  <c r="A499" i="49" s="1"/>
  <c r="A500" i="49" s="1"/>
  <c r="A501" i="49" s="1"/>
  <c r="A502" i="49" s="1"/>
  <c r="A503" i="49" s="1"/>
  <c r="A504" i="49" s="1"/>
  <c r="A505" i="49" s="1"/>
  <c r="A506" i="49" s="1"/>
  <c r="A507" i="49" s="1"/>
  <c r="A508" i="49" s="1"/>
  <c r="K466" i="49"/>
  <c r="J467" i="49"/>
  <c r="G25" i="12"/>
  <c r="A408" i="11"/>
  <c r="A411" i="11" s="1"/>
  <c r="A412" i="11" s="1"/>
  <c r="G25" i="4"/>
  <c r="E23" i="4"/>
  <c r="E22" i="64"/>
  <c r="E58" i="64" s="1"/>
  <c r="F80" i="21" s="1"/>
  <c r="I54" i="1"/>
  <c r="A151" i="4"/>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c r="N78" i="21"/>
  <c r="H82" i="21"/>
  <c r="H109" i="21" s="1"/>
  <c r="H112" i="21" s="1"/>
  <c r="H120" i="21" s="1"/>
  <c r="M21" i="64"/>
  <c r="H25" i="4"/>
  <c r="G60" i="64"/>
  <c r="A55" i="1"/>
  <c r="A56" i="1" s="1"/>
  <c r="K88" i="48"/>
  <c r="L88" i="48"/>
  <c r="L25" i="48" s="1"/>
  <c r="K24" i="48"/>
  <c r="M87" i="48"/>
  <c r="J401" i="49"/>
  <c r="K400" i="49"/>
  <c r="K367" i="49"/>
  <c r="J368" i="49"/>
  <c r="K60" i="48"/>
  <c r="L60" i="48"/>
  <c r="K268" i="49"/>
  <c r="J269" i="49"/>
  <c r="K301" i="49"/>
  <c r="J302" i="49"/>
  <c r="K433" i="49"/>
  <c r="J434" i="49"/>
  <c r="J336" i="49"/>
  <c r="K335" i="49"/>
  <c r="K103" i="49"/>
  <c r="J104" i="49"/>
  <c r="K202" i="49"/>
  <c r="J203" i="49"/>
  <c r="K235" i="49"/>
  <c r="J236" i="49"/>
  <c r="K137" i="49"/>
  <c r="J138" i="49"/>
  <c r="J171" i="49"/>
  <c r="K170" i="49"/>
  <c r="M121" i="21"/>
  <c r="M120" i="21"/>
  <c r="M122" i="21"/>
  <c r="M130" i="21"/>
  <c r="M128" i="21"/>
  <c r="M125" i="21"/>
  <c r="M119" i="21"/>
  <c r="M126" i="21"/>
  <c r="M123" i="21"/>
  <c r="M129" i="21"/>
  <c r="M124" i="21"/>
  <c r="M127" i="21"/>
  <c r="K23" i="64"/>
  <c r="K59" i="64" s="1"/>
  <c r="L81" i="21" s="1"/>
  <c r="L82" i="21" s="1"/>
  <c r="L109" i="21" s="1"/>
  <c r="L112" i="21" s="1"/>
  <c r="L121" i="21" s="1"/>
  <c r="K25" i="4"/>
  <c r="D23" i="64"/>
  <c r="D59" i="64" s="1"/>
  <c r="D25" i="4"/>
  <c r="I80" i="21"/>
  <c r="I82" i="21" s="1"/>
  <c r="I109" i="21" s="1"/>
  <c r="I112" i="21" s="1"/>
  <c r="H60" i="64"/>
  <c r="F25" i="4"/>
  <c r="F23" i="64"/>
  <c r="F59" i="64" s="1"/>
  <c r="G81" i="21" s="1"/>
  <c r="G82" i="21" s="1"/>
  <c r="G109" i="21" s="1"/>
  <c r="G112" i="21" s="1"/>
  <c r="G122" i="21" s="1"/>
  <c r="D79" i="21"/>
  <c r="N79" i="21" s="1"/>
  <c r="M57" i="64"/>
  <c r="I22" i="64"/>
  <c r="I58" i="64" s="1"/>
  <c r="J80" i="21" s="1"/>
  <c r="I23" i="4"/>
  <c r="I23" i="64" s="1"/>
  <c r="I59" i="64" s="1"/>
  <c r="J81" i="21" s="1"/>
  <c r="C22" i="64"/>
  <c r="C58" i="64" s="1"/>
  <c r="C23" i="4"/>
  <c r="M22" i="4"/>
  <c r="K13" i="21"/>
  <c r="K131" i="21"/>
  <c r="M23" i="48"/>
  <c r="M56" i="48"/>
  <c r="N55" i="48"/>
  <c r="N23" i="48" s="1"/>
  <c r="A381" i="11" l="1"/>
  <c r="A382" i="11" s="1"/>
  <c r="A390" i="11"/>
  <c r="A391" i="11" s="1"/>
  <c r="A392" i="11" s="1"/>
  <c r="A393" i="11" s="1"/>
  <c r="A394" i="11" s="1"/>
  <c r="A395" i="11" s="1"/>
  <c r="A396" i="11" s="1"/>
  <c r="A397" i="11" s="1"/>
  <c r="A398" i="11" s="1"/>
  <c r="A399" i="11" s="1"/>
  <c r="A400" i="11" s="1"/>
  <c r="A401" i="11" s="1"/>
  <c r="A509" i="49"/>
  <c r="A517" i="49" s="1"/>
  <c r="A518" i="49"/>
  <c r="A519" i="49" s="1"/>
  <c r="A520" i="49" s="1"/>
  <c r="A521" i="49" s="1"/>
  <c r="A522" i="49" s="1"/>
  <c r="A523" i="49" s="1"/>
  <c r="A524" i="49" s="1"/>
  <c r="A525" i="49" s="1"/>
  <c r="A526" i="49" s="1"/>
  <c r="A527" i="49" s="1"/>
  <c r="A528" i="49" s="1"/>
  <c r="A529" i="49" s="1"/>
  <c r="A530" i="49" s="1"/>
  <c r="A531" i="49" s="1"/>
  <c r="A532" i="49" s="1"/>
  <c r="A533" i="49" s="1"/>
  <c r="A534" i="49" s="1"/>
  <c r="A535" i="49" s="1"/>
  <c r="A536" i="49" s="1"/>
  <c r="A537" i="49" s="1"/>
  <c r="A538" i="49" s="1"/>
  <c r="A539" i="49" s="1"/>
  <c r="A540" i="49" s="1"/>
  <c r="A541" i="49" s="1"/>
  <c r="A542" i="49" s="1"/>
  <c r="K467" i="49"/>
  <c r="J468" i="49"/>
  <c r="H37" i="11"/>
  <c r="G20" i="71"/>
  <c r="G26" i="12"/>
  <c r="A413" i="11"/>
  <c r="A416" i="11" s="1"/>
  <c r="A417" i="11" s="1"/>
  <c r="H129" i="21"/>
  <c r="H128" i="21"/>
  <c r="H123" i="21"/>
  <c r="H122" i="21"/>
  <c r="H125" i="21"/>
  <c r="H130" i="21"/>
  <c r="H119" i="21"/>
  <c r="H13" i="21" s="1"/>
  <c r="H121" i="21"/>
  <c r="H124" i="21"/>
  <c r="H127" i="21"/>
  <c r="E23" i="64"/>
  <c r="E59" i="64" s="1"/>
  <c r="E25" i="4"/>
  <c r="H126" i="21"/>
  <c r="M88" i="48"/>
  <c r="N88" i="48" s="1"/>
  <c r="A187" i="4"/>
  <c r="A191" i="4" s="1"/>
  <c r="B233" i="4"/>
  <c r="M22" i="64"/>
  <c r="I60" i="64"/>
  <c r="J82" i="21"/>
  <c r="J109" i="21" s="1"/>
  <c r="J112" i="21" s="1"/>
  <c r="J128" i="21" s="1"/>
  <c r="L123" i="21"/>
  <c r="G121" i="21"/>
  <c r="G120" i="21"/>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105" i="49"/>
  <c r="J237" i="49"/>
  <c r="K236" i="49"/>
  <c r="L119" i="21"/>
  <c r="L13" i="21" s="1"/>
  <c r="G124" i="21"/>
  <c r="G119" i="21"/>
  <c r="G13" i="21" s="1"/>
  <c r="L127" i="21"/>
  <c r="L129" i="21"/>
  <c r="G125" i="21"/>
  <c r="L125" i="21"/>
  <c r="L130" i="21"/>
  <c r="K60" i="64"/>
  <c r="G123" i="21"/>
  <c r="G130" i="21"/>
  <c r="G127" i="21"/>
  <c r="L128" i="21"/>
  <c r="F60" i="64"/>
  <c r="G129" i="21"/>
  <c r="L122" i="2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L124" i="21"/>
  <c r="K14" i="21"/>
  <c r="K15" i="21" s="1"/>
  <c r="K16" i="21" s="1"/>
  <c r="K17" i="21" s="1"/>
  <c r="K18" i="21" s="1"/>
  <c r="K19" i="21" s="1"/>
  <c r="K20" i="21" s="1"/>
  <c r="K21" i="21" s="1"/>
  <c r="K22" i="21" s="1"/>
  <c r="K23" i="21" s="1"/>
  <c r="N56" i="48"/>
  <c r="M24" i="48"/>
  <c r="M57" i="48"/>
  <c r="K468" i="49" l="1"/>
  <c r="J469" i="49"/>
  <c r="G27" i="12"/>
  <c r="A418" i="11"/>
  <c r="A419" i="11" s="1"/>
  <c r="A422" i="11" s="1"/>
  <c r="A423" i="11" s="1"/>
  <c r="A424" i="11" s="1"/>
  <c r="A425" i="11" s="1"/>
  <c r="A426" i="11" s="1"/>
  <c r="A429" i="11" s="1"/>
  <c r="A430" i="11" s="1"/>
  <c r="A431" i="11" s="1"/>
  <c r="A434" i="11" s="1"/>
  <c r="A435" i="11" s="1"/>
  <c r="A436" i="11" s="1"/>
  <c r="A439" i="11" s="1"/>
  <c r="A440" i="11" s="1"/>
  <c r="A441" i="11" s="1"/>
  <c r="A444" i="11" s="1"/>
  <c r="A445" i="11" s="1"/>
  <c r="A446" i="11" s="1"/>
  <c r="A449" i="11" s="1"/>
  <c r="A450" i="11" s="1"/>
  <c r="A451" i="11" s="1"/>
  <c r="A454" i="11" s="1"/>
  <c r="A455" i="11" s="1"/>
  <c r="A456" i="11" s="1"/>
  <c r="A459" i="11" s="1"/>
  <c r="A460" i="11" s="1"/>
  <c r="A461" i="11" s="1"/>
  <c r="A464" i="11" s="1"/>
  <c r="A465" i="11" s="1"/>
  <c r="A466" i="11" s="1"/>
  <c r="A469" i="11" s="1"/>
  <c r="A470" i="11" s="1"/>
  <c r="A471" i="11" s="1"/>
  <c r="A474" i="11" s="1"/>
  <c r="A475" i="11" s="1"/>
  <c r="A476" i="11" s="1"/>
  <c r="A479" i="11" s="1"/>
  <c r="A480" i="11" s="1"/>
  <c r="A481" i="11" s="1"/>
  <c r="A484" i="11" s="1"/>
  <c r="A485" i="11" s="1"/>
  <c r="A486" i="11" s="1"/>
  <c r="H131" i="21"/>
  <c r="F81" i="21"/>
  <c r="F82" i="21" s="1"/>
  <c r="F109" i="21" s="1"/>
  <c r="F112" i="21" s="1"/>
  <c r="E60" i="64"/>
  <c r="J123" i="21"/>
  <c r="J127" i="21"/>
  <c r="B234" i="4"/>
  <c r="A198" i="4"/>
  <c r="J125" i="21"/>
  <c r="J124" i="21"/>
  <c r="M89" i="48"/>
  <c r="N89" i="48" s="1"/>
  <c r="J121" i="21"/>
  <c r="J130" i="21"/>
  <c r="J129" i="21"/>
  <c r="J126" i="21"/>
  <c r="J119" i="21"/>
  <c r="J13" i="21" s="1"/>
  <c r="J120" i="21"/>
  <c r="J122" i="21"/>
  <c r="N24" i="48"/>
  <c r="G14" i="21"/>
  <c r="G15" i="21" s="1"/>
  <c r="G16" i="21" s="1"/>
  <c r="G17" i="21" s="1"/>
  <c r="G18" i="21" s="1"/>
  <c r="G19" i="21" s="1"/>
  <c r="G20" i="21" s="1"/>
  <c r="G21" i="21" s="1"/>
  <c r="G22" i="21" s="1"/>
  <c r="G23" i="21" s="1"/>
  <c r="L131" i="21"/>
  <c r="G131" i="21"/>
  <c r="A63" i="1"/>
  <c r="I131" i="1"/>
  <c r="K90" i="48"/>
  <c r="L90" i="48"/>
  <c r="L27" i="48" s="1"/>
  <c r="K26" i="48"/>
  <c r="K402" i="49"/>
  <c r="J403" i="49"/>
  <c r="J370" i="49"/>
  <c r="K369" i="49"/>
  <c r="K62" i="48"/>
  <c r="L62" i="48"/>
  <c r="K337" i="49"/>
  <c r="J338" i="49"/>
  <c r="K435" i="49"/>
  <c r="J436" i="49"/>
  <c r="J271" i="49"/>
  <c r="K270" i="49"/>
  <c r="K303" i="49"/>
  <c r="J304" i="49"/>
  <c r="K139" i="49"/>
  <c r="J140" i="49"/>
  <c r="J238" i="49"/>
  <c r="K237" i="49"/>
  <c r="K172" i="49"/>
  <c r="J173" i="49"/>
  <c r="K105" i="49"/>
  <c r="J106" i="49"/>
  <c r="J205" i="49"/>
  <c r="K204" i="49"/>
  <c r="M25" i="21"/>
  <c r="C60" i="64"/>
  <c r="M59" i="64"/>
  <c r="M61" i="64" s="1"/>
  <c r="F91" i="64" s="1"/>
  <c r="F94" i="64" s="1"/>
  <c r="K129" i="1" s="1"/>
  <c r="D81" i="21"/>
  <c r="E130" i="21"/>
  <c r="E127" i="21"/>
  <c r="E125" i="21"/>
  <c r="E129" i="21"/>
  <c r="E128" i="21"/>
  <c r="E119" i="21"/>
  <c r="E120" i="21"/>
  <c r="E123" i="21"/>
  <c r="E124" i="21"/>
  <c r="E122" i="21"/>
  <c r="E121" i="21"/>
  <c r="E126" i="21"/>
  <c r="M23" i="64"/>
  <c r="M25" i="4"/>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K469" i="49" l="1"/>
  <c r="J470" i="49"/>
  <c r="F123" i="21"/>
  <c r="F129" i="21"/>
  <c r="F127" i="21"/>
  <c r="F126" i="21"/>
  <c r="F124" i="21"/>
  <c r="F125" i="21"/>
  <c r="F122" i="21"/>
  <c r="F119" i="21"/>
  <c r="F130" i="21"/>
  <c r="F120" i="21"/>
  <c r="F121" i="21"/>
  <c r="F128" i="21"/>
  <c r="A199" i="4"/>
  <c r="A200" i="4" s="1"/>
  <c r="A201" i="4" s="1"/>
  <c r="A202" i="4" s="1"/>
  <c r="A203" i="4" s="1"/>
  <c r="A204" i="4" s="1"/>
  <c r="A205" i="4" s="1"/>
  <c r="A206" i="4" s="1"/>
  <c r="A207" i="4" s="1"/>
  <c r="A208" i="4" s="1"/>
  <c r="A209" i="4" s="1"/>
  <c r="A210" i="4" s="1"/>
  <c r="B236" i="4"/>
  <c r="D43" i="4"/>
  <c r="J6" i="8" s="1"/>
  <c r="M90" i="48"/>
  <c r="N90" i="48" s="1"/>
  <c r="J131" i="21"/>
  <c r="G25" i="21"/>
  <c r="A64" i="1"/>
  <c r="A65" i="1" s="1"/>
  <c r="J52" i="8"/>
  <c r="K91" i="48"/>
  <c r="L91" i="48"/>
  <c r="L28" i="48" s="1"/>
  <c r="K27" i="48"/>
  <c r="K403" i="49"/>
  <c r="J404" i="49"/>
  <c r="K370" i="49"/>
  <c r="J371" i="49"/>
  <c r="K63" i="48"/>
  <c r="L63" i="48"/>
  <c r="J437" i="49"/>
  <c r="K436" i="49"/>
  <c r="K304" i="49"/>
  <c r="J305" i="49"/>
  <c r="J272" i="49"/>
  <c r="K271" i="49"/>
  <c r="K338" i="49"/>
  <c r="J339" i="49"/>
  <c r="K173" i="49"/>
  <c r="J174" i="49"/>
  <c r="J239" i="49"/>
  <c r="K238" i="49"/>
  <c r="J206" i="49"/>
  <c r="K205" i="49"/>
  <c r="J141" i="49"/>
  <c r="K140" i="49"/>
  <c r="J107"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L25" i="21"/>
  <c r="H25" i="21"/>
  <c r="M59" i="48"/>
  <c r="M26" i="48"/>
  <c r="N58" i="48"/>
  <c r="N26" i="48" s="1"/>
  <c r="K470" i="49" l="1"/>
  <c r="J471" i="49"/>
  <c r="F13" i="21"/>
  <c r="F131" i="21"/>
  <c r="M91" i="48"/>
  <c r="N91" i="48" s="1"/>
  <c r="A68" i="1"/>
  <c r="I85"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J108" i="49"/>
  <c r="K107" i="49"/>
  <c r="J175" i="49"/>
  <c r="K174" i="49"/>
  <c r="J25" i="21"/>
  <c r="D109" i="21"/>
  <c r="N82" i="21"/>
  <c r="E14" i="21"/>
  <c r="E15" i="21" s="1"/>
  <c r="E16" i="21" s="1"/>
  <c r="E17" i="21" s="1"/>
  <c r="E18" i="21" s="1"/>
  <c r="E19" i="21" s="1"/>
  <c r="E20" i="21" s="1"/>
  <c r="E21" i="21" s="1"/>
  <c r="E22" i="21" s="1"/>
  <c r="E23" i="21" s="1"/>
  <c r="I25" i="21"/>
  <c r="N59" i="48"/>
  <c r="N27" i="48" s="1"/>
  <c r="M60" i="48"/>
  <c r="M27" i="48"/>
  <c r="K471" i="49" l="1"/>
  <c r="J472" i="49"/>
  <c r="F14" i="21"/>
  <c r="F15" i="21" s="1"/>
  <c r="F16" i="21" s="1"/>
  <c r="F17" i="21" s="1"/>
  <c r="F18" i="21" s="1"/>
  <c r="F19" i="21" s="1"/>
  <c r="F20" i="21" s="1"/>
  <c r="F21" i="21" s="1"/>
  <c r="F22" i="21" s="1"/>
  <c r="F23" i="21" s="1"/>
  <c r="M92" i="48"/>
  <c r="N92" i="48" s="1"/>
  <c r="A69" i="1"/>
  <c r="A70" i="1" s="1"/>
  <c r="K93" i="48"/>
  <c r="L93" i="48"/>
  <c r="L30" i="48" s="1"/>
  <c r="K29" i="48"/>
  <c r="K405" i="49"/>
  <c r="J406" i="49"/>
  <c r="J373" i="49"/>
  <c r="K372" i="49"/>
  <c r="K65" i="48"/>
  <c r="L65" i="48"/>
  <c r="K306" i="49"/>
  <c r="J307" i="49"/>
  <c r="K273" i="49"/>
  <c r="J274" i="49"/>
  <c r="J439" i="49"/>
  <c r="K438" i="49"/>
  <c r="K340" i="49"/>
  <c r="J341" i="49"/>
  <c r="J176" i="49"/>
  <c r="K175" i="49"/>
  <c r="K142" i="49"/>
  <c r="J143" i="49"/>
  <c r="J109" i="49"/>
  <c r="K108" i="49"/>
  <c r="K207" i="49"/>
  <c r="J208" i="49"/>
  <c r="K240" i="49"/>
  <c r="J241" i="49"/>
  <c r="E25" i="21"/>
  <c r="N109" i="21"/>
  <c r="D112" i="21"/>
  <c r="M28" i="48"/>
  <c r="M61" i="48"/>
  <c r="N60" i="48"/>
  <c r="N28" i="48" s="1"/>
  <c r="J473" i="49" l="1"/>
  <c r="K472" i="49"/>
  <c r="F25" i="21"/>
  <c r="M93" i="48"/>
  <c r="A73" i="1"/>
  <c r="I86" i="1"/>
  <c r="K94" i="48"/>
  <c r="L94" i="48"/>
  <c r="L31" i="48" s="1"/>
  <c r="K30" i="48"/>
  <c r="K406" i="49"/>
  <c r="J407" i="49"/>
  <c r="J374" i="49"/>
  <c r="K373" i="49"/>
  <c r="K66" i="48"/>
  <c r="L66" i="48"/>
  <c r="K341" i="49"/>
  <c r="J342" i="49"/>
  <c r="J440" i="49"/>
  <c r="K439" i="49"/>
  <c r="J275" i="49"/>
  <c r="K274" i="49"/>
  <c r="J308" i="49"/>
  <c r="K307"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N93" i="48"/>
  <c r="N61" i="48"/>
  <c r="N29" i="48" s="1"/>
  <c r="M62" i="48"/>
  <c r="M29" i="48"/>
  <c r="J474" i="49" l="1"/>
  <c r="K473" i="49"/>
  <c r="M94" i="48"/>
  <c r="N94" i="48" s="1"/>
  <c r="A75" i="1"/>
  <c r="I82" i="1"/>
  <c r="I75" i="1"/>
  <c r="K95" i="48"/>
  <c r="L95" i="48"/>
  <c r="L32" i="48" s="1"/>
  <c r="K31" i="48"/>
  <c r="J408" i="49"/>
  <c r="K407" i="49"/>
  <c r="K374" i="49"/>
  <c r="J375" i="49"/>
  <c r="K67" i="48"/>
  <c r="L67" i="48"/>
  <c r="K308" i="49"/>
  <c r="J309" i="49"/>
  <c r="K275" i="49"/>
  <c r="J276" i="49"/>
  <c r="J441" i="49"/>
  <c r="K440" i="49"/>
  <c r="J343" i="49"/>
  <c r="K343" i="49" s="1"/>
  <c r="K342" i="49"/>
  <c r="K144" i="49"/>
  <c r="J145" i="49"/>
  <c r="K145" i="49" s="1"/>
  <c r="J178" i="49"/>
  <c r="K178" i="49" s="1"/>
  <c r="K179" i="49" s="1"/>
  <c r="K177" i="49"/>
  <c r="K110" i="49"/>
  <c r="J111" i="49"/>
  <c r="K209" i="49"/>
  <c r="J210" i="49"/>
  <c r="K242" i="49"/>
  <c r="J243" i="49"/>
  <c r="D13" i="21"/>
  <c r="N119" i="21"/>
  <c r="N131" i="21" s="1"/>
  <c r="D131" i="21"/>
  <c r="N62" i="48"/>
  <c r="N30" i="48" s="1"/>
  <c r="M30" i="48"/>
  <c r="M63" i="48"/>
  <c r="K344" i="49" l="1"/>
  <c r="K146" i="49"/>
  <c r="K474" i="49"/>
  <c r="J475" i="49"/>
  <c r="K475" i="49" s="1"/>
  <c r="M95" i="48"/>
  <c r="A80" i="1"/>
  <c r="I81" i="1"/>
  <c r="K96" i="48"/>
  <c r="L96" i="48"/>
  <c r="L33" i="48" s="1"/>
  <c r="K32" i="48"/>
  <c r="K408" i="49"/>
  <c r="J409" i="49"/>
  <c r="K409" i="49" s="1"/>
  <c r="K410" i="49" s="1"/>
  <c r="K375" i="49"/>
  <c r="J376" i="49"/>
  <c r="K376" i="49" s="1"/>
  <c r="K68" i="48"/>
  <c r="L68" i="48"/>
  <c r="F16" i="71"/>
  <c r="G33" i="11"/>
  <c r="K309" i="49"/>
  <c r="J310" i="49"/>
  <c r="K310" i="49" s="1"/>
  <c r="K311" i="49" s="1"/>
  <c r="K276" i="49"/>
  <c r="J277" i="49"/>
  <c r="K277" i="49" s="1"/>
  <c r="J442" i="49"/>
  <c r="K442" i="49" s="1"/>
  <c r="K441" i="49"/>
  <c r="J112" i="49"/>
  <c r="K111" i="49"/>
  <c r="K210" i="49"/>
  <c r="J211" i="49"/>
  <c r="K211" i="49" s="1"/>
  <c r="K243" i="49"/>
  <c r="J244" i="49"/>
  <c r="K244" i="49" s="1"/>
  <c r="K245" i="49" s="1"/>
  <c r="G27" i="11"/>
  <c r="F10" i="71"/>
  <c r="F11" i="71"/>
  <c r="G28" i="11"/>
  <c r="D14" i="21"/>
  <c r="N13" i="21"/>
  <c r="N95" i="48"/>
  <c r="M64" i="48"/>
  <c r="M31" i="48"/>
  <c r="N63" i="48"/>
  <c r="N31" i="48" s="1"/>
  <c r="K476" i="49" l="1"/>
  <c r="K443" i="49"/>
  <c r="G36" i="11" s="1"/>
  <c r="F20" i="71"/>
  <c r="K377" i="49"/>
  <c r="F17" i="71" s="1"/>
  <c r="K212" i="49"/>
  <c r="G29" i="11" s="1"/>
  <c r="M96" i="48"/>
  <c r="N96" i="48" s="1"/>
  <c r="A81" i="1"/>
  <c r="I90" i="1"/>
  <c r="K97" i="48"/>
  <c r="L97" i="48"/>
  <c r="L34" i="48" s="1"/>
  <c r="K33" i="48"/>
  <c r="G35" i="11"/>
  <c r="F18" i="71"/>
  <c r="K278" i="49"/>
  <c r="G31" i="11" s="1"/>
  <c r="F19" i="71"/>
  <c r="G32" i="11"/>
  <c r="F15" i="71"/>
  <c r="F13" i="71"/>
  <c r="G30" i="11"/>
  <c r="K112" i="49"/>
  <c r="D15" i="21"/>
  <c r="N14" i="21"/>
  <c r="N64" i="48"/>
  <c r="N32" i="48" s="1"/>
  <c r="M32" i="48"/>
  <c r="M65" i="48"/>
  <c r="G34" i="11" l="1"/>
  <c r="F12" i="71"/>
  <c r="F14" i="71"/>
  <c r="M97" i="48"/>
  <c r="A82" i="1"/>
  <c r="I80" i="1" s="1"/>
  <c r="I91" i="1"/>
  <c r="K98" i="48"/>
  <c r="L98" i="48"/>
  <c r="L35" i="48" s="1"/>
  <c r="K34" i="48"/>
  <c r="K113" i="49"/>
  <c r="D16" i="21"/>
  <c r="N15" i="21"/>
  <c r="M66" i="48"/>
  <c r="M33" i="48"/>
  <c r="N65" i="48"/>
  <c r="N33" i="48" s="1"/>
  <c r="M98" i="48" l="1"/>
  <c r="N97" i="48"/>
  <c r="G93" i="12"/>
  <c r="I15" i="12"/>
  <c r="F99" i="8"/>
  <c r="A85" i="1"/>
  <c r="A86" i="1" s="1"/>
  <c r="A87" i="1" s="1"/>
  <c r="I83" i="1"/>
  <c r="K99" i="48"/>
  <c r="K36" i="48" s="1"/>
  <c r="L99" i="48"/>
  <c r="L36" i="48" s="1"/>
  <c r="K35" i="48"/>
  <c r="F9" i="71"/>
  <c r="F21" i="71" s="1"/>
  <c r="E114" i="71" s="1"/>
  <c r="E116" i="71" s="1"/>
  <c r="G26" i="11"/>
  <c r="D82" i="7"/>
  <c r="D84" i="7" s="1"/>
  <c r="C42" i="57"/>
  <c r="D17" i="21"/>
  <c r="N16" i="21"/>
  <c r="N98" i="48"/>
  <c r="N66" i="48"/>
  <c r="M67" i="48"/>
  <c r="M34" i="48"/>
  <c r="N34" i="48" l="1"/>
  <c r="K37" i="48"/>
  <c r="C41" i="57" s="1"/>
  <c r="E41" i="57" s="1"/>
  <c r="M99" i="48"/>
  <c r="N99" i="48" s="1"/>
  <c r="A90" i="1"/>
  <c r="G100" i="12"/>
  <c r="I92" i="1"/>
  <c r="E42" i="57"/>
  <c r="D132" i="71"/>
  <c r="E142" i="71"/>
  <c r="E143" i="71" s="1"/>
  <c r="D124" i="71"/>
  <c r="D129" i="71"/>
  <c r="D126" i="71"/>
  <c r="D131" i="71"/>
  <c r="D125" i="71"/>
  <c r="D130" i="71"/>
  <c r="D123" i="71"/>
  <c r="E117" i="71"/>
  <c r="E118" i="71" s="1"/>
  <c r="D127" i="71"/>
  <c r="D128" i="71"/>
  <c r="D133" i="71"/>
  <c r="D18" i="21"/>
  <c r="N17" i="21"/>
  <c r="N67" i="48"/>
  <c r="N35" i="48" s="1"/>
  <c r="M68" i="48"/>
  <c r="M35" i="48"/>
  <c r="C43" i="57" l="1"/>
  <c r="E43" i="57"/>
  <c r="E21" i="7"/>
  <c r="F97" i="8"/>
  <c r="A91" i="1"/>
  <c r="E184" i="71"/>
  <c r="E165" i="71"/>
  <c r="E159" i="71"/>
  <c r="E178" i="71"/>
  <c r="E164" i="71"/>
  <c r="E183" i="71"/>
  <c r="E182" i="71"/>
  <c r="E163" i="71"/>
  <c r="E158" i="71"/>
  <c r="E177" i="71"/>
  <c r="E180" i="71"/>
  <c r="E161" i="71"/>
  <c r="E156" i="71"/>
  <c r="E175" i="71"/>
  <c r="E146" i="71"/>
  <c r="E149" i="71" s="1"/>
  <c r="E147" i="71"/>
  <c r="E181" i="71"/>
  <c r="E162" i="71"/>
  <c r="E179" i="71"/>
  <c r="E160" i="71"/>
  <c r="E126" i="71"/>
  <c r="E129" i="71"/>
  <c r="E128" i="71"/>
  <c r="E133" i="71"/>
  <c r="E124" i="71"/>
  <c r="E132" i="71"/>
  <c r="E125" i="71"/>
  <c r="E123" i="71"/>
  <c r="E131" i="71"/>
  <c r="E130" i="71"/>
  <c r="E127" i="71"/>
  <c r="D135" i="71"/>
  <c r="E155" i="71"/>
  <c r="E174" i="71"/>
  <c r="E176" i="71"/>
  <c r="E157" i="71"/>
  <c r="N18" i="21"/>
  <c r="D19" i="21"/>
  <c r="M36" i="48"/>
  <c r="N68" i="48"/>
  <c r="N36" i="48" s="1"/>
  <c r="N37" i="48" s="1"/>
  <c r="D78" i="7" s="1"/>
  <c r="C45" i="57" l="1"/>
  <c r="B9" i="31" s="1"/>
  <c r="D45" i="57"/>
  <c r="B10" i="31" s="1"/>
  <c r="F98" i="8"/>
  <c r="A92" i="1"/>
  <c r="A93" i="1" s="1"/>
  <c r="I93" i="1"/>
  <c r="E135" i="71"/>
  <c r="F164" i="71"/>
  <c r="G164" i="71" s="1"/>
  <c r="F183" i="71"/>
  <c r="G183" i="71" s="1"/>
  <c r="F180" i="71"/>
  <c r="G180" i="71" s="1"/>
  <c r="F159" i="71"/>
  <c r="G159" i="71" s="1"/>
  <c r="F182" i="71"/>
  <c r="G182" i="71" s="1"/>
  <c r="F156" i="71"/>
  <c r="G156" i="71" s="1"/>
  <c r="F176" i="71"/>
  <c r="G176" i="71" s="1"/>
  <c r="F179" i="71"/>
  <c r="G179" i="71" s="1"/>
  <c r="F161" i="71"/>
  <c r="G161" i="71" s="1"/>
  <c r="F178" i="71"/>
  <c r="G178" i="71" s="1"/>
  <c r="E186" i="71"/>
  <c r="F174" i="71"/>
  <c r="G174" i="71" s="1"/>
  <c r="F162" i="71"/>
  <c r="G162" i="71" s="1"/>
  <c r="E167" i="71"/>
  <c r="F155" i="71"/>
  <c r="F181" i="71"/>
  <c r="G181" i="71" s="1"/>
  <c r="F177" i="71"/>
  <c r="G177" i="71" s="1"/>
  <c r="F165" i="71"/>
  <c r="G165" i="71" s="1"/>
  <c r="F163" i="71"/>
  <c r="G163" i="71" s="1"/>
  <c r="E19" i="31"/>
  <c r="D19" i="31"/>
  <c r="F175" i="71"/>
  <c r="G175" i="71" s="1"/>
  <c r="F157" i="71"/>
  <c r="G157" i="71" s="1"/>
  <c r="F160" i="71"/>
  <c r="G160" i="71" s="1"/>
  <c r="E148" i="71"/>
  <c r="F158" i="71"/>
  <c r="G158" i="71" s="1"/>
  <c r="F184" i="71"/>
  <c r="G184" i="71" s="1"/>
  <c r="D20" i="21"/>
  <c r="N19" i="21"/>
  <c r="I95" i="1" l="1"/>
  <c r="A95" i="1"/>
  <c r="F26" i="71"/>
  <c r="I97" i="1"/>
  <c r="G186" i="71"/>
  <c r="F186" i="71"/>
  <c r="F167" i="71"/>
  <c r="G155" i="71"/>
  <c r="G167" i="71" s="1"/>
  <c r="D21" i="21"/>
  <c r="N20" i="21"/>
  <c r="F33" i="71" l="1"/>
  <c r="A97" i="1"/>
  <c r="E22" i="7"/>
  <c r="I118" i="1"/>
  <c r="N21" i="21"/>
  <c r="D22" i="21"/>
  <c r="A102" i="1" l="1"/>
  <c r="I133" i="1"/>
  <c r="D23" i="21"/>
  <c r="N22" i="21"/>
  <c r="A103" i="1" l="1"/>
  <c r="A104" i="1" s="1"/>
  <c r="N23" i="21"/>
  <c r="D25" i="21"/>
  <c r="N25" i="21" s="1"/>
  <c r="J18" i="8" s="1"/>
  <c r="J21" i="8" s="1"/>
  <c r="J29" i="8" s="1"/>
  <c r="J38" i="8" s="1"/>
  <c r="I104" i="1" l="1"/>
  <c r="H43" i="8"/>
  <c r="A107" i="1"/>
  <c r="F34" i="71"/>
  <c r="I16" i="12"/>
  <c r="E23" i="7"/>
  <c r="I119" i="1"/>
  <c r="J34" i="8"/>
  <c r="J56" i="8" s="1"/>
  <c r="J57" i="8"/>
  <c r="J41" i="8"/>
  <c r="F90" i="12"/>
  <c r="F92" i="12" s="1"/>
  <c r="F94" i="12" s="1"/>
  <c r="F98" i="12" s="1"/>
  <c r="F101" i="12" s="1"/>
  <c r="A108" i="1" l="1"/>
  <c r="A109" i="1" s="1"/>
  <c r="A110" i="1" s="1"/>
  <c r="I120" i="1" l="1"/>
  <c r="A112" i="1"/>
  <c r="A114" i="1" l="1"/>
  <c r="I134" i="1"/>
  <c r="H46" i="8" l="1"/>
  <c r="I112" i="1"/>
  <c r="A126" i="1"/>
  <c r="A127" i="1" l="1"/>
  <c r="I17" i="1" s="1"/>
  <c r="H49" i="8"/>
  <c r="I139" i="1"/>
  <c r="E72" i="7" l="1"/>
  <c r="H50" i="8"/>
  <c r="A128" i="1"/>
  <c r="H51" i="8" l="1"/>
  <c r="A129" i="1"/>
  <c r="A130" i="1" l="1"/>
  <c r="H52" i="8"/>
  <c r="A131" i="1" l="1"/>
  <c r="H53" i="8"/>
  <c r="A132" i="1" l="1"/>
  <c r="H54" i="8"/>
  <c r="H55" i="8" l="1"/>
  <c r="A133" i="1"/>
  <c r="A134" i="1" s="1"/>
  <c r="A135" i="1" s="1"/>
  <c r="A136" i="1" l="1"/>
  <c r="H58" i="8"/>
  <c r="A137" i="1" l="1"/>
  <c r="A139" i="1" s="1"/>
  <c r="H59" i="8"/>
  <c r="I141" i="1" l="1"/>
  <c r="E70" i="7"/>
  <c r="I142" i="1"/>
  <c r="A141" i="1"/>
  <c r="A142" i="1" s="1"/>
  <c r="I144" i="1" l="1"/>
  <c r="A144" i="1"/>
  <c r="I149" i="1" l="1"/>
  <c r="A149" i="1"/>
  <c r="A150" i="1" l="1"/>
  <c r="A151" i="1" s="1"/>
  <c r="A153" i="1" s="1"/>
  <c r="A155" i="1" s="1"/>
  <c r="I155" i="1" l="1"/>
  <c r="A158" i="1"/>
  <c r="I158" i="1"/>
  <c r="A159" i="1" l="1"/>
  <c r="A160" i="1" s="1"/>
  <c r="G4" i="31" s="1"/>
  <c r="I160" i="1" l="1"/>
  <c r="G105" i="61" l="1"/>
  <c r="I105" i="61" s="1"/>
  <c r="N117" i="61"/>
  <c r="G129" i="61"/>
  <c r="I129" i="61" s="1"/>
  <c r="G141" i="61"/>
  <c r="I141" i="61" s="1"/>
  <c r="N153" i="61"/>
  <c r="G135" i="61"/>
  <c r="I135" i="61" s="1"/>
  <c r="G128" i="61"/>
  <c r="I128" i="61" s="1"/>
  <c r="G94" i="61"/>
  <c r="I94" i="61" s="1"/>
  <c r="J106" i="61"/>
  <c r="G118" i="61"/>
  <c r="I118" i="61" s="1"/>
  <c r="G130" i="61"/>
  <c r="I130" i="61" s="1"/>
  <c r="G142" i="61"/>
  <c r="I142" i="61" s="1"/>
  <c r="G154" i="61"/>
  <c r="I154" i="61" s="1"/>
  <c r="G92" i="61"/>
  <c r="I92" i="61" s="1"/>
  <c r="G140" i="61"/>
  <c r="I140" i="61" s="1"/>
  <c r="G95" i="61"/>
  <c r="I95" i="61" s="1"/>
  <c r="J107" i="61"/>
  <c r="M107" i="61" s="1"/>
  <c r="N119" i="61"/>
  <c r="G131" i="61"/>
  <c r="I131" i="61" s="1"/>
  <c r="H143" i="61"/>
  <c r="G155" i="61"/>
  <c r="I155" i="61" s="1"/>
  <c r="N147" i="61"/>
  <c r="J116" i="61"/>
  <c r="M116" i="61" s="1"/>
  <c r="G96" i="61"/>
  <c r="I96" i="61" s="1"/>
  <c r="J108" i="61"/>
  <c r="M108" i="61" s="1"/>
  <c r="N120" i="61"/>
  <c r="G132" i="61"/>
  <c r="I132" i="61" s="1"/>
  <c r="G144" i="61"/>
  <c r="I144" i="61" s="1"/>
  <c r="G156" i="61"/>
  <c r="I156" i="61" s="1"/>
  <c r="H99" i="61"/>
  <c r="G97" i="61"/>
  <c r="I97" i="61" s="1"/>
  <c r="J109" i="61"/>
  <c r="M109" i="61" s="1"/>
  <c r="N121" i="61"/>
  <c r="G133" i="61"/>
  <c r="I133" i="61" s="1"/>
  <c r="G145" i="61"/>
  <c r="H145" i="61" s="1"/>
  <c r="I145" i="61" s="1"/>
  <c r="G157" i="61"/>
  <c r="I157" i="61" s="1"/>
  <c r="N123" i="61"/>
  <c r="J110" i="61"/>
  <c r="M110" i="61" s="1"/>
  <c r="N122" i="61"/>
  <c r="G134" i="61"/>
  <c r="I134" i="61" s="1"/>
  <c r="J146" i="61"/>
  <c r="M146" i="61" s="1"/>
  <c r="G91" i="61"/>
  <c r="I91" i="61" s="1"/>
  <c r="J111" i="61"/>
  <c r="M111" i="61" s="1"/>
  <c r="G104" i="61"/>
  <c r="I104" i="61" s="1"/>
  <c r="G100" i="61"/>
  <c r="I100" i="61" s="1"/>
  <c r="J112" i="61"/>
  <c r="M112" i="61" s="1"/>
  <c r="E262" i="61" s="1"/>
  <c r="E263" i="61" s="1"/>
  <c r="N124" i="61"/>
  <c r="G136" i="61"/>
  <c r="I136" i="61" s="1"/>
  <c r="N148" i="61"/>
  <c r="G93" i="61"/>
  <c r="I93" i="61" s="1"/>
  <c r="G101" i="61"/>
  <c r="I101" i="61" s="1"/>
  <c r="J113" i="61"/>
  <c r="M113" i="61" s="1"/>
  <c r="J125" i="61"/>
  <c r="M125" i="61" s="1"/>
  <c r="G137" i="61"/>
  <c r="I137" i="61" s="1"/>
  <c r="G149" i="61"/>
  <c r="I149" i="61" s="1"/>
  <c r="N152" i="61"/>
  <c r="G102" i="61"/>
  <c r="I102" i="61" s="1"/>
  <c r="J114" i="61"/>
  <c r="M114" i="61" s="1"/>
  <c r="J126" i="61"/>
  <c r="M126" i="61" s="1"/>
  <c r="N138" i="61"/>
  <c r="G150" i="61"/>
  <c r="I150" i="61" s="1"/>
  <c r="G103" i="61"/>
  <c r="I103" i="61" s="1"/>
  <c r="J115" i="61"/>
  <c r="M115" i="61" s="1"/>
  <c r="G127" i="61"/>
  <c r="I127" i="61" s="1"/>
  <c r="N139" i="61"/>
  <c r="N151" i="61"/>
  <c r="E160" i="61" l="1"/>
  <c r="E256" i="61" s="1"/>
  <c r="G90" i="61"/>
  <c r="I90" i="61" s="1"/>
  <c r="M106" i="61"/>
  <c r="J160" i="61"/>
  <c r="J256" i="61" s="1"/>
  <c r="N143" i="61"/>
  <c r="G143" i="61"/>
  <c r="N99" i="61"/>
  <c r="G99" i="61"/>
  <c r="G98" i="61"/>
  <c r="H98" i="61"/>
  <c r="H160" i="61" s="1"/>
  <c r="H256" i="61" s="1"/>
  <c r="G160" i="61" l="1"/>
  <c r="G256" i="61" s="1"/>
  <c r="N160" i="61"/>
  <c r="N256" i="61" s="1"/>
  <c r="M160" i="61"/>
  <c r="M256" i="61" s="1"/>
  <c r="E264" i="61"/>
  <c r="E265" i="61" s="1"/>
  <c r="E266" i="61" s="1"/>
  <c r="E268" i="61" s="1"/>
  <c r="E269" i="61" s="1"/>
  <c r="E272" i="61" s="1"/>
  <c r="K132" i="1" s="1"/>
  <c r="I98" i="61"/>
  <c r="I160" i="61" s="1"/>
  <c r="I256" i="61" s="1"/>
  <c r="J55" i="8" l="1"/>
  <c r="J60" i="8" s="1"/>
  <c r="J65" i="8" s="1"/>
  <c r="E69" i="8" s="1"/>
  <c r="K139" i="1"/>
  <c r="K141" i="1" l="1"/>
  <c r="D70" i="7"/>
  <c r="D71" i="7" s="1"/>
  <c r="D73" i="7" s="1"/>
  <c r="D79" i="7" s="1"/>
  <c r="D80" i="7" s="1"/>
  <c r="D86" i="7" s="1"/>
  <c r="K142" i="1"/>
  <c r="H20" i="86" s="1"/>
  <c r="E73" i="8"/>
  <c r="E71" i="8"/>
  <c r="E75" i="8" l="1"/>
  <c r="K144" i="1"/>
  <c r="K149" i="1" s="1"/>
  <c r="D88" i="7"/>
  <c r="D89" i="7"/>
  <c r="H21" i="86" s="1"/>
  <c r="H22" i="86" s="1"/>
  <c r="H24" i="86" s="1"/>
  <c r="K159" i="1" s="1"/>
  <c r="E14" i="65" l="1"/>
  <c r="E32" i="65" s="1"/>
  <c r="H32" i="65" s="1"/>
  <c r="C6" i="9"/>
  <c r="E34" i="65"/>
  <c r="H34" i="65" s="1"/>
  <c r="E29" i="65"/>
  <c r="H29" i="65" s="1"/>
  <c r="E35" i="65"/>
  <c r="H35" i="65" s="1"/>
  <c r="E26" i="65"/>
  <c r="H26" i="65" s="1"/>
  <c r="E31" i="65"/>
  <c r="H31" i="65" s="1"/>
  <c r="E25" i="65"/>
  <c r="H25" i="65" s="1"/>
  <c r="J25" i="65" s="1"/>
  <c r="K25" i="65" s="1"/>
  <c r="L25" i="65" s="1"/>
  <c r="E28" i="65"/>
  <c r="H28" i="65" s="1"/>
  <c r="D91" i="7"/>
  <c r="K150" i="1" s="1"/>
  <c r="C7" i="9" s="1"/>
  <c r="E36" i="65" l="1"/>
  <c r="H36" i="65" s="1"/>
  <c r="E30" i="65"/>
  <c r="H30" i="65" s="1"/>
  <c r="E27" i="65"/>
  <c r="H27" i="65" s="1"/>
  <c r="E33" i="65"/>
  <c r="H33" i="65" s="1"/>
  <c r="J26" i="65"/>
  <c r="K26" i="65" s="1"/>
  <c r="L26" i="65" s="1"/>
  <c r="J27" i="65" l="1"/>
  <c r="K27" i="65" s="1"/>
  <c r="L27" i="65" s="1"/>
  <c r="J28" i="65" s="1"/>
  <c r="K28" i="65" s="1"/>
  <c r="L28" i="65" s="1"/>
  <c r="J29" i="65" s="1"/>
  <c r="K29" i="65" s="1"/>
  <c r="L29" i="65" s="1"/>
  <c r="J30" i="65" s="1"/>
  <c r="K30" i="65" l="1"/>
  <c r="L30" i="65" s="1"/>
  <c r="J31" i="65" s="1"/>
  <c r="K31" i="65" l="1"/>
  <c r="L31" i="65" s="1"/>
  <c r="J32" i="65" s="1"/>
  <c r="K32" i="65" l="1"/>
  <c r="L32" i="65" s="1"/>
  <c r="J33" i="65" s="1"/>
  <c r="K33" i="65" s="1"/>
  <c r="L33" i="65" s="1"/>
  <c r="J34" i="65" s="1"/>
  <c r="K34" i="65" s="1"/>
  <c r="L34" i="65" s="1"/>
  <c r="J35" i="65" s="1"/>
  <c r="K35" i="65" s="1"/>
  <c r="L35" i="65" s="1"/>
  <c r="J36" i="65" s="1"/>
  <c r="K36" i="65" l="1"/>
  <c r="L36" i="65" s="1"/>
  <c r="E40" i="65" s="1"/>
  <c r="E42" i="65" s="1"/>
  <c r="E43" i="65" s="1"/>
  <c r="E44" i="65" s="1"/>
  <c r="K151" i="1" s="1"/>
  <c r="C8" i="9" s="1"/>
  <c r="C11" i="9" s="1"/>
  <c r="K155" i="1" l="1"/>
  <c r="K158" i="1" l="1"/>
  <c r="K160" i="1" s="1"/>
  <c r="D4" i="53"/>
  <c r="D24" i="53" s="1"/>
  <c r="L24" i="53" s="1"/>
  <c r="D21" i="53"/>
  <c r="D20" i="53" l="1"/>
  <c r="D26" i="53"/>
  <c r="D13" i="53"/>
  <c r="D12" i="53"/>
  <c r="D46" i="53" s="1"/>
  <c r="D17" i="53"/>
  <c r="L17" i="53" s="1"/>
  <c r="D19" i="53"/>
  <c r="L19" i="53" s="1"/>
  <c r="D18" i="53"/>
  <c r="D28" i="53" s="1"/>
  <c r="D25" i="53"/>
  <c r="L25" i="53" s="1"/>
  <c r="D15" i="53"/>
  <c r="D23" i="53"/>
  <c r="D16" i="53"/>
  <c r="L16" i="53" s="1"/>
  <c r="D22" i="53"/>
  <c r="B4" i="31"/>
  <c r="D18" i="31" s="1"/>
  <c r="D59" i="53"/>
  <c r="K26" i="53"/>
  <c r="C36" i="53"/>
  <c r="E36" i="53" s="1"/>
  <c r="I54" i="53" s="1"/>
  <c r="L21" i="53"/>
  <c r="K13" i="53"/>
  <c r="M14" i="53" s="1"/>
  <c r="H37" i="53"/>
  <c r="J37" i="53" s="1"/>
  <c r="L23" i="53"/>
  <c r="C38" i="53"/>
  <c r="E38" i="53" s="1"/>
  <c r="I56" i="53" s="1"/>
  <c r="E56" i="53" s="1"/>
  <c r="H38" i="53"/>
  <c r="J38" i="53" s="1"/>
  <c r="L20" i="53"/>
  <c r="K12" i="53"/>
  <c r="L22" i="53"/>
  <c r="C37" i="53"/>
  <c r="E37" i="53" s="1"/>
  <c r="I55" i="53" s="1"/>
  <c r="E55" i="53" s="1"/>
  <c r="L18" i="53"/>
  <c r="H36" i="53"/>
  <c r="J36" i="53" s="1"/>
  <c r="D48" i="53"/>
  <c r="K15" i="53"/>
  <c r="F18" i="31" l="1"/>
  <c r="F20" i="31" s="1"/>
  <c r="D20" i="31"/>
  <c r="E18" i="31"/>
  <c r="E20" i="31" s="1"/>
  <c r="N14" i="53"/>
  <c r="L14" i="53" s="1"/>
  <c r="I47" i="53" s="1"/>
  <c r="E47" i="53" s="1"/>
  <c r="H47" i="53" s="1"/>
  <c r="H56" i="53"/>
  <c r="D56" i="53"/>
  <c r="C56" i="53" s="1"/>
  <c r="D53" i="53"/>
  <c r="H54" i="53"/>
  <c r="D51" i="53"/>
  <c r="D54" i="53"/>
  <c r="E54" i="53"/>
  <c r="I49" i="53"/>
  <c r="E49" i="53" s="1"/>
  <c r="D49" i="53" s="1"/>
  <c r="I50" i="53"/>
  <c r="E50" i="53" s="1"/>
  <c r="D50" i="53" s="1"/>
  <c r="I58" i="53"/>
  <c r="E58" i="53" s="1"/>
  <c r="D58" i="53" s="1"/>
  <c r="I57" i="53"/>
  <c r="H55" i="53"/>
  <c r="D52" i="53"/>
  <c r="D55" i="53"/>
  <c r="C55" i="53" s="1"/>
  <c r="C48" i="53"/>
  <c r="G48" i="53"/>
  <c r="G46" i="53"/>
  <c r="C46" i="53"/>
  <c r="C59" i="53"/>
  <c r="G59" i="53"/>
  <c r="C50" i="53" l="1"/>
  <c r="H50" i="53"/>
  <c r="C49" i="53"/>
  <c r="H49" i="53"/>
  <c r="M49" i="53"/>
  <c r="M50" i="53" s="1"/>
  <c r="C58" i="53"/>
  <c r="H58" i="53"/>
  <c r="H51" i="53"/>
  <c r="M51" i="53"/>
  <c r="C51" i="53"/>
  <c r="C54" i="53"/>
  <c r="M53" i="53"/>
  <c r="H53" i="53"/>
  <c r="C53" i="53"/>
  <c r="C52" i="53"/>
  <c r="M52" i="53"/>
  <c r="H52" i="53"/>
  <c r="E57" i="53"/>
  <c r="D57" i="53" s="1"/>
  <c r="K57" i="53"/>
  <c r="E61" i="53"/>
  <c r="B8" i="31" s="1"/>
  <c r="D47" i="53"/>
  <c r="D61" i="53" s="1"/>
  <c r="M47" i="53" l="1"/>
  <c r="C47" i="53"/>
  <c r="G47" i="53"/>
  <c r="H57" i="53"/>
  <c r="J57" i="53" s="1"/>
  <c r="C57" i="53"/>
  <c r="D24" i="31"/>
  <c r="D27" i="31" s="1"/>
  <c r="E24" i="31"/>
  <c r="E27" i="31" s="1"/>
  <c r="F24" i="31"/>
  <c r="F27" i="31" s="1"/>
  <c r="E12" i="32" s="1"/>
  <c r="E14" i="32" s="1"/>
  <c r="C61" i="53" l="1"/>
  <c r="E20" i="32"/>
  <c r="E22" i="32" s="1"/>
  <c r="E26" i="32"/>
  <c r="E28" i="32" s="1"/>
</calcChain>
</file>

<file path=xl/sharedStrings.xml><?xml version="1.0" encoding="utf-8"?>
<sst xmlns="http://schemas.openxmlformats.org/spreadsheetml/2006/main" count="7079" uniqueCount="2973">
  <si>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</si>
  <si>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</si>
  <si>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</si>
  <si>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</si>
  <si>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</si>
  <si>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</si>
  <si>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</si>
  <si>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</si>
  <si>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</si>
  <si>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</si>
  <si>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</si>
  <si>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</si>
  <si>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</si>
  <si>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</si>
  <si>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</si>
  <si>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</si>
  <si>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</si>
  <si>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</si>
  <si>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</si>
  <si>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</si>
  <si>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</si>
  <si>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</si>
  <si>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</si>
  <si>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</si>
  <si>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</si>
  <si>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</si>
  <si>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</si>
  <si>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</si>
  <si>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</si>
  <si>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</si>
  <si>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</si>
  <si>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</si>
  <si>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</si>
  <si>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</si>
  <si>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</si>
  <si>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</si>
  <si>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</si>
  <si>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</si>
  <si>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</si>
  <si>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</si>
  <si>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</si>
  <si>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</si>
  <si>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</si>
  <si>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</si>
  <si>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</si>
  <si>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</si>
  <si>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</si>
  <si>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</si>
  <si>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</si>
  <si>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</si>
  <si>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</si>
  <si>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</si>
  <si>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</si>
  <si>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</si>
  <si>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</si>
  <si>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</si>
  <si>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</si>
  <si>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</si>
  <si>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</si>
  <si>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</si>
  <si>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</si>
  <si>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</si>
  <si>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</si>
  <si>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</si>
  <si>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</si>
  <si>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</si>
  <si>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</si>
  <si>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</si>
  <si>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</si>
  <si>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</si>
  <si>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</si>
  <si>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</si>
  <si>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</si>
  <si>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</si>
  <si>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</si>
  <si>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</si>
  <si>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</si>
  <si>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</si>
  <si>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</si>
  <si>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</si>
  <si>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</si>
  <si>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</si>
  <si>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</si>
  <si>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</si>
  <si>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</si>
  <si>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</si>
  <si>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</si>
  <si>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</si>
  <si>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</si>
  <si>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</si>
  <si>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</si>
  <si>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</si>
  <si>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</si>
  <si>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</si>
  <si>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</si>
  <si>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</si>
  <si>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</si>
  <si>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</si>
  <si>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</si>
  <si>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</si>
  <si>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</si>
  <si>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</si>
  <si>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</si>
  <si>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</si>
  <si>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</si>
  <si>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</si>
  <si>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</si>
  <si>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</si>
  <si>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</si>
  <si>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</si>
  <si>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</si>
  <si>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</si>
  <si>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</si>
  <si>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</si>
  <si>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</si>
  <si>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</si>
  <si>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</si>
  <si>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</si>
  <si>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</si>
  <si>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</si>
  <si>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</si>
  <si>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</si>
  <si>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</si>
  <si>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</si>
  <si>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</si>
  <si>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</si>
  <si>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</si>
  <si>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</si>
  <si>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</si>
  <si>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</si>
  <si>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</si>
  <si>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</si>
  <si>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</si>
  <si>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</si>
  <si>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</si>
  <si>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</si>
  <si>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</si>
  <si>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</si>
  <si>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</si>
  <si>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</si>
  <si>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</si>
  <si>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</si>
  <si>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</si>
  <si>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</si>
  <si>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</si>
  <si>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</si>
  <si>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</si>
  <si>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</si>
  <si>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</si>
  <si>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</si>
  <si>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</si>
  <si>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</si>
  <si>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</si>
  <si>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</si>
  <si>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</si>
  <si>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</si>
  <si>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</si>
  <si>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</si>
  <si>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</si>
  <si>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</si>
  <si>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</si>
  <si>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</si>
  <si>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</si>
  <si>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</si>
  <si>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</si>
  <si>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</si>
  <si>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</si>
  <si>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</si>
  <si>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</si>
  <si>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</si>
  <si>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</si>
  <si>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</si>
  <si>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</si>
  <si>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</si>
  <si>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</si>
  <si>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</si>
  <si>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</si>
  <si>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</si>
  <si>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</si>
  <si>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</si>
  <si>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</si>
  <si>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</si>
  <si>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</si>
  <si>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Note 3</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</si>
  <si>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</si>
  <si>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</si>
  <si>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</si>
  <si>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</si>
  <si>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</si>
  <si>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</si>
  <si>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</si>
  <si>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</si>
  <si>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</si>
  <si>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</si>
  <si>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</si>
  <si>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</si>
  <si>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</si>
  <si>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</si>
  <si>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</si>
  <si>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</si>
  <si>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</si>
  <si>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</si>
  <si>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</si>
  <si>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</si>
  <si>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</si>
  <si>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</si>
  <si>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</si>
  <si>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</si>
  <si>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</si>
  <si>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</si>
  <si>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</si>
  <si>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</si>
  <si>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</si>
  <si>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</si>
  <si>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</si>
  <si>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</si>
  <si>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</si>
  <si>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</si>
  <si>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</si>
  <si>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</si>
  <si>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</si>
  <si>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</si>
  <si>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</si>
  <si>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</si>
  <si>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</si>
  <si>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</si>
  <si>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</si>
  <si>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</si>
  <si>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</si>
  <si>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</si>
  <si>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</si>
  <si>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</si>
  <si>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</si>
  <si>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</si>
  <si>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</si>
  <si>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</si>
  <si>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</si>
  <si>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</si>
  <si>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</si>
  <si>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</si>
  <si>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</si>
  <si>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</si>
  <si>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</si>
  <si>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</si>
  <si>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</si>
  <si>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</si>
  <si>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</si>
  <si>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</si>
  <si>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Line 24: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</si>
  <si>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</si>
  <si>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</si>
  <si>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</si>
  <si>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</si>
  <si>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</si>
  <si>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</si>
  <si>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</si>
  <si>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</si>
  <si>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</si>
  <si>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</si>
  <si>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</si>
  <si>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</si>
  <si>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</si>
  <si>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</si>
  <si>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</si>
  <si>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</si>
  <si>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</si>
  <si>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</si>
  <si>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</si>
  <si>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</si>
  <si>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</si>
  <si>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</si>
  <si>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</si>
  <si>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</si>
  <si>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</si>
  <si>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</si>
  <si>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</si>
  <si>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</si>
  <si>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</si>
  <si>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</si>
  <si>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</si>
  <si>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</si>
  <si>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</si>
  <si>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</si>
  <si>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</si>
  <si>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</si>
  <si>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</si>
  <si>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</si>
  <si>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</si>
  <si>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</si>
  <si>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</si>
  <si>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</si>
  <si>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</si>
  <si>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</si>
  <si>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</si>
  <si>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</si>
  <si>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</si>
  <si>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</si>
  <si>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</si>
  <si>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</si>
  <si>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</si>
  <si>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</si>
  <si>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</si>
  <si>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</si>
  <si>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</si>
  <si>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</si>
  <si>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</si>
  <si>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</si>
  <si>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</si>
  <si>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</si>
  <si>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</si>
  <si>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</si>
  <si>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</si>
  <si>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</si>
  <si>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</si>
  <si>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</si>
  <si>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</si>
  <si>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</si>
  <si>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</si>
  <si>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</si>
  <si>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</si>
  <si>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</si>
  <si>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</si>
  <si>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</si>
  <si>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</si>
  <si>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</si>
  <si>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</si>
  <si>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</si>
  <si>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</si>
  <si>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</si>
  <si>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</si>
  <si>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</si>
  <si>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</si>
  <si>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</si>
  <si>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</si>
  <si>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</si>
  <si>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</si>
  <si>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</si>
  <si>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</si>
  <si>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</si>
  <si>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</si>
  <si>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</si>
  <si>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</si>
  <si>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</si>
  <si>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</si>
  <si>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</si>
  <si>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</si>
  <si>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</si>
  <si>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</si>
  <si>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</si>
  <si>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</si>
  <si>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</si>
  <si>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</si>
  <si>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</si>
  <si>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</si>
  <si>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</si>
  <si>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</si>
  <si>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</si>
  <si>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</si>
  <si>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</si>
  <si>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</si>
  <si>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</si>
  <si>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</si>
  <si>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</si>
  <si>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</si>
  <si>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</si>
  <si>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</si>
  <si>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</si>
  <si>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</si>
  <si>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</si>
  <si>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</si>
  <si>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</si>
  <si>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</si>
  <si>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</si>
  <si>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</si>
  <si>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</si>
  <si>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</si>
  <si>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</si>
  <si>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</si>
  <si>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</si>
  <si>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</si>
  <si>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</si>
  <si>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</si>
  <si>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</si>
  <si>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</si>
  <si>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</si>
  <si>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</si>
  <si>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</si>
  <si>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</si>
  <si>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</si>
  <si>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</si>
  <si>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</si>
  <si>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</si>
  <si>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</si>
  <si>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</si>
  <si>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</si>
  <si>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</si>
  <si>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</si>
  <si>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</si>
  <si>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</si>
  <si>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</si>
  <si>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</si>
  <si>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</si>
  <si>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</si>
  <si>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</si>
  <si>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</si>
  <si>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</si>
  <si>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</si>
  <si>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</si>
  <si>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</si>
  <si>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</si>
  <si>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</si>
  <si>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</si>
  <si>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</si>
  <si>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</si>
  <si>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</si>
  <si>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</si>
  <si>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</si>
  <si>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</si>
  <si>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</si>
  <si>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</si>
  <si>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</si>
  <si>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</si>
  <si>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</si>
  <si>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</si>
  <si>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</si>
  <si>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</si>
  <si>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</si>
  <si>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</si>
  <si>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</si>
  <si>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</si>
  <si>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</si>
  <si>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</si>
  <si>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</si>
  <si>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</si>
  <si>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</si>
  <si>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</si>
  <si>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</si>
  <si>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</si>
  <si>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</si>
  <si>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</si>
  <si>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</si>
  <si>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</si>
  <si>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</si>
  <si>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</si>
  <si>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</si>
  <si>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</si>
  <si>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</si>
  <si>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</si>
  <si>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</si>
  <si>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</si>
  <si>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</si>
  <si>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</si>
  <si>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</si>
  <si>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</si>
  <si>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</si>
  <si>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</si>
  <si>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</si>
  <si>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</si>
  <si>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</si>
  <si>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</si>
  <si>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</si>
  <si>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</si>
  <si>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</si>
  <si>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</si>
  <si>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</si>
  <si>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</si>
  <si>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</si>
  <si>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</si>
  <si>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</si>
  <si>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</si>
  <si>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</si>
  <si>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</si>
  <si>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</si>
  <si>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</si>
  <si>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</si>
  <si>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</si>
  <si>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</si>
  <si>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</si>
  <si>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</si>
  <si>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</si>
  <si>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</si>
  <si>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</si>
  <si>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</si>
  <si>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</si>
  <si>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</si>
  <si>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</si>
  <si>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</si>
  <si>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</si>
  <si>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</si>
  <si>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</si>
  <si>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</si>
  <si>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</si>
  <si>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</si>
  <si>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</si>
  <si>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</si>
  <si>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</si>
  <si>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</si>
  <si>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</si>
  <si>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</si>
  <si>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</si>
  <si>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</si>
  <si>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</si>
  <si>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</si>
  <si>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</si>
  <si>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</si>
  <si>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</si>
  <si>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</si>
  <si>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</si>
  <si>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</si>
  <si>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</si>
  <si>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</si>
  <si>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</si>
  <si>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</si>
  <si>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</si>
  <si>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</si>
  <si>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</si>
  <si>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</si>
  <si>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</si>
  <si>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</si>
  <si>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</si>
  <si>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</si>
  <si>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</si>
  <si>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</si>
  <si>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</si>
  <si>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</si>
  <si>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</si>
  <si>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</si>
  <si>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</si>
  <si>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</si>
  <si>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</si>
  <si>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</si>
  <si>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</si>
  <si>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</si>
  <si>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</si>
  <si>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</si>
  <si>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</si>
  <si>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</si>
  <si>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</si>
  <si>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</si>
  <si>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</si>
  <si>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</si>
  <si>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</si>
  <si>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</si>
  <si>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</si>
  <si>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</si>
  <si>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</si>
  <si>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</si>
  <si>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</si>
  <si>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</si>
  <si>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</si>
  <si>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</si>
  <si>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</si>
  <si>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</si>
  <si>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</si>
  <si>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</si>
  <si>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</si>
  <si>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</si>
  <si>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</si>
  <si>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</si>
  <si>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</si>
  <si>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</si>
  <si>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</si>
  <si>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</si>
  <si>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</si>
  <si>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</si>
  <si>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</si>
  <si>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</si>
  <si>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</si>
  <si>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</si>
  <si>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</si>
  <si>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</si>
  <si>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</si>
  <si>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</si>
  <si>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</si>
  <si>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</si>
  <si>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</si>
  <si>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</si>
  <si>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</si>
  <si>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</si>
  <si>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</si>
  <si>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</si>
  <si>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</si>
  <si>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</si>
  <si>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</si>
  <si>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</si>
  <si>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</si>
  <si>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</si>
  <si>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</si>
  <si>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</si>
  <si>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</si>
  <si>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</si>
  <si>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</si>
  <si>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</si>
  <si>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</si>
  <si>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</si>
  <si>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</si>
  <si>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</si>
  <si>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</si>
  <si>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</si>
  <si>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</si>
  <si>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</si>
  <si>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</si>
  <si>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</si>
  <si>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</si>
  <si>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</si>
  <si>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</si>
  <si>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</si>
  <si>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</si>
  <si>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</si>
  <si>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</si>
  <si>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</si>
  <si>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</si>
  <si>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</si>
  <si>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</si>
  <si>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</si>
  <si>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</si>
  <si>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</si>
  <si>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</si>
  <si>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</si>
  <si>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</si>
  <si>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</si>
  <si>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</si>
  <si>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</si>
  <si>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</si>
  <si>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</si>
  <si>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</si>
  <si>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</si>
  <si>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</si>
  <si>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</si>
  <si>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</si>
  <si>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</si>
  <si>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</si>
  <si>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</si>
  <si>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</si>
  <si>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</si>
  <si>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</si>
  <si>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</si>
  <si>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</si>
  <si>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</si>
  <si>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</si>
  <si>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</si>
  <si>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</si>
  <si>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</si>
  <si>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</si>
  <si>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</si>
  <si>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</si>
  <si>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</si>
  <si>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</si>
  <si>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</si>
  <si>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</si>
  <si>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</si>
  <si>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</si>
  <si>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</si>
  <si>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</si>
  <si>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</si>
  <si>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</si>
  <si>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</si>
  <si>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</si>
  <si>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</si>
  <si>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</si>
  <si>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</si>
  <si>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</si>
  <si>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</si>
  <si>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</si>
  <si>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</si>
  <si>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</si>
  <si>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</si>
  <si>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</si>
  <si>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</si>
  <si>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</si>
  <si>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</si>
  <si>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</si>
  <si>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</si>
  <si>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</si>
  <si>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</si>
  <si>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</si>
  <si>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</si>
  <si>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</si>
  <si>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</si>
  <si>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</si>
  <si>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</si>
  <si>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</si>
  <si>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</si>
  <si>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</si>
  <si>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</si>
  <si>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</si>
  <si>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</si>
  <si>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</si>
  <si>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</si>
  <si>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</si>
  <si>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</si>
  <si>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</si>
  <si>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</si>
  <si>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</si>
  <si>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</si>
  <si>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</si>
  <si>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</si>
  <si>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</si>
  <si>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</si>
  <si>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</si>
  <si>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</si>
  <si>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</si>
  <si>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</si>
  <si>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</si>
  <si>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</si>
  <si>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</si>
  <si>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</si>
  <si>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</si>
  <si>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</si>
  <si>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</si>
  <si>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</si>
  <si>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</si>
  <si>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</si>
  <si>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</si>
  <si>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</si>
  <si>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</si>
  <si>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</si>
  <si>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</si>
  <si>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</si>
  <si>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</si>
  <si>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</si>
  <si>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</si>
  <si>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</si>
  <si>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</si>
  <si>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</si>
  <si>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</si>
  <si>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</si>
  <si>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</si>
  <si>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</si>
  <si>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</si>
  <si>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</si>
  <si>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</si>
  <si>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</si>
  <si>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</si>
  <si>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</si>
  <si>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</si>
  <si>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</si>
  <si>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</si>
  <si>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</si>
  <si>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</si>
  <si>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</si>
  <si>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</si>
  <si>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</si>
  <si>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</si>
  <si>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</si>
  <si>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</si>
  <si>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</si>
  <si>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</si>
  <si>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</si>
  <si>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</si>
  <si>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</si>
  <si>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</si>
  <si>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</si>
  <si>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</si>
  <si>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</si>
  <si>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</si>
  <si>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</si>
  <si>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</si>
  <si>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</si>
  <si>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</si>
  <si>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</si>
  <si>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</si>
  <si>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</si>
  <si>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</si>
  <si>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</si>
  <si>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</si>
  <si>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</si>
  <si>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</si>
  <si>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</si>
  <si>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</si>
  <si>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</si>
  <si>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</si>
  <si>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</si>
  <si>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</si>
  <si>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</si>
  <si>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</si>
  <si>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</si>
  <si>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</si>
  <si>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</si>
  <si>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</si>
  <si>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</si>
  <si>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</si>
  <si>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</si>
  <si>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</si>
  <si>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</si>
  <si>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</si>
  <si>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</si>
  <si>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</si>
  <si>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</si>
  <si>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</si>
  <si>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</si>
  <si>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</si>
  <si>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</si>
  <si>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</si>
  <si>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</si>
  <si>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</si>
  <si>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</si>
  <si>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</si>
  <si>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</si>
  <si>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</si>
  <si>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</si>
  <si>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</si>
  <si>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</si>
  <si>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</si>
  <si>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</si>
  <si>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</si>
  <si>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</si>
  <si>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</si>
  <si>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</si>
  <si>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</si>
  <si>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</si>
  <si>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</si>
  <si>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</si>
  <si>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</si>
  <si>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</si>
  <si>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</si>
  <si>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</si>
  <si>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</si>
  <si>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</si>
  <si>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</si>
  <si>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</si>
  <si>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</si>
  <si>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</si>
  <si>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</si>
  <si>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</si>
  <si>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</si>
  <si>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</si>
  <si>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</si>
  <si>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</si>
  <si>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</si>
  <si>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</si>
  <si>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</si>
  <si>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</si>
  <si>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</si>
  <si>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</si>
  <si>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</si>
  <si>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</si>
  <si>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</si>
  <si>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</si>
  <si>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</si>
  <si>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</si>
  <si>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</si>
  <si>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</si>
  <si>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</si>
  <si>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</si>
  <si>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</si>
  <si>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</si>
  <si>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</si>
  <si>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</si>
  <si>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</si>
  <si>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</si>
  <si>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</si>
  <si>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</si>
  <si>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</si>
  <si>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</si>
  <si>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</si>
  <si>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</si>
  <si>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</si>
  <si>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</si>
  <si>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</si>
  <si>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</si>
  <si>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</si>
  <si>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</si>
  <si>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</si>
  <si>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</si>
  <si>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</si>
  <si>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</si>
  <si>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</si>
  <si>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</si>
  <si>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</si>
  <si>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</si>
  <si>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</si>
  <si>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</si>
  <si>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</si>
  <si>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</si>
  <si>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</si>
  <si>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</si>
  <si>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</si>
  <si>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</si>
  <si>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</si>
  <si>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</si>
  <si>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</si>
  <si>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</si>
  <si>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</si>
  <si>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</si>
  <si>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</si>
  <si>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</si>
  <si>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</si>
  <si>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</si>
  <si>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</si>
  <si>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</si>
  <si>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</si>
  <si>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</si>
  <si>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</si>
  <si>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</si>
  <si>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</si>
  <si>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</si>
  <si>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</si>
  <si>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</si>
  <si>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</si>
  <si>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</si>
  <si>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</si>
  <si>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</si>
  <si>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</si>
  <si>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</si>
  <si>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</si>
  <si>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</si>
  <si>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</si>
  <si>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</si>
  <si>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</si>
  <si>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</si>
  <si>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</si>
  <si>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</si>
  <si>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</si>
  <si>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</si>
  <si>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</si>
  <si>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</si>
  <si>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</si>
  <si>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</si>
  <si>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</si>
  <si>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</si>
  <si>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</si>
  <si>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</si>
  <si>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</si>
  <si>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</si>
  <si>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</si>
  <si>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</si>
  <si>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</si>
  <si>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</si>
  <si>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</si>
  <si>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</si>
  <si>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</si>
  <si>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</si>
  <si>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</si>
  <si>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</si>
  <si>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</si>
  <si>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</si>
  <si>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</si>
  <si>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</si>
  <si>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</si>
  <si>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</si>
  <si>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</si>
  <si>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</si>
  <si>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</si>
  <si>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</si>
  <si>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</si>
  <si>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</si>
  <si>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</si>
  <si>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</si>
  <si>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</si>
  <si>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</si>
  <si>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</si>
  <si>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</si>
  <si>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</si>
  <si>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</si>
  <si>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</si>
  <si>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</si>
  <si>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</si>
  <si>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</si>
  <si>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</si>
  <si>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</si>
  <si>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</si>
  <si>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</si>
  <si>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</si>
  <si>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</si>
  <si>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</si>
  <si>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</si>
  <si>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</si>
  <si>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</si>
  <si>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</si>
  <si>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</si>
  <si>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</si>
  <si>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</si>
  <si>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</si>
  <si>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</si>
  <si>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</si>
  <si>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</si>
  <si>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</si>
  <si>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</si>
  <si>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</si>
  <si>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</si>
  <si>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</si>
  <si>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</si>
  <si>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</si>
  <si>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</si>
  <si>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</si>
  <si>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</si>
  <si>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</si>
  <si>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</si>
  <si>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</si>
  <si>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</si>
  <si>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</si>
  <si>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</si>
  <si>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</si>
  <si>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</si>
  <si>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</si>
  <si>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</si>
  <si>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</si>
  <si>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</si>
  <si>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</si>
  <si>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</si>
  <si>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</si>
  <si>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</si>
  <si>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</si>
  <si>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</si>
  <si>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</si>
  <si>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</si>
  <si>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</si>
  <si>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</si>
  <si>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</si>
  <si>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</si>
  <si>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</si>
  <si>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</si>
  <si>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</si>
  <si>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</si>
  <si>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</si>
  <si>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</si>
  <si>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</si>
  <si>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</si>
  <si>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1) Enter recorded amounts of CWIP during Prior Year on Lines 1-13, 15-27 (including December of year previous to Prior Year).</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</si>
  <si>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</si>
  <si>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</si>
  <si>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</si>
  <si>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</si>
  <si>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</si>
  <si>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</si>
  <si>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</si>
  <si>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</si>
  <si>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</si>
  <si>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</si>
  <si>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</si>
  <si>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</si>
  <si>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</si>
  <si>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</si>
  <si>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</si>
  <si>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</si>
  <si>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</si>
  <si>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</si>
  <si>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</si>
  <si>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</si>
  <si>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</si>
  <si>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</si>
  <si>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</si>
  <si>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</si>
  <si>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</si>
  <si>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</si>
  <si>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</si>
  <si>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</si>
  <si>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</si>
  <si>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</si>
  <si>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</si>
  <si>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</si>
  <si>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</si>
  <si>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</si>
  <si>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</si>
  <si>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</si>
  <si>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</si>
  <si>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</si>
  <si>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</si>
  <si>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</si>
  <si>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</si>
  <si>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</si>
  <si>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</si>
  <si>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</si>
  <si>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</si>
  <si>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</si>
  <si>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</si>
  <si>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</si>
  <si>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</si>
  <si>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</si>
  <si>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</si>
  <si>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</si>
  <si>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</si>
  <si>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</si>
  <si>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</si>
  <si>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</si>
  <si>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</si>
  <si>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</si>
  <si>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</si>
  <si>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</si>
  <si>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</si>
  <si>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</si>
  <si>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</si>
  <si>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</si>
  <si>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</si>
  <si>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</si>
  <si>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</si>
  <si>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</si>
  <si>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</si>
  <si>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</si>
  <si>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</si>
  <si>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</si>
  <si>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</si>
  <si>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</si>
  <si>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</si>
  <si>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</si>
  <si>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</si>
  <si>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</si>
  <si>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</si>
  <si>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</si>
  <si>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</si>
  <si>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</si>
  <si>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</si>
  <si>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</si>
  <si>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</si>
  <si>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</si>
  <si>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</si>
  <si>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</si>
  <si>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</si>
  <si>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</si>
  <si>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</si>
  <si>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</si>
  <si>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</si>
  <si>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</si>
  <si>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</si>
  <si>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</si>
  <si>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</si>
  <si>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</si>
  <si>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</si>
  <si>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</si>
  <si>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</si>
  <si>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</si>
  <si>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</si>
  <si>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</si>
  <si>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</si>
  <si>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</si>
  <si>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</si>
  <si>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</si>
  <si>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</si>
  <si>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</si>
  <si>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</si>
  <si>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</si>
  <si>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</si>
  <si>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</si>
  <si>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</si>
  <si>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</si>
  <si>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</si>
  <si>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</si>
  <si>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</si>
  <si>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</si>
  <si>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</si>
  <si>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</si>
  <si>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</si>
  <si>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</si>
  <si>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</si>
  <si>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</si>
  <si>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</si>
  <si>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</si>
  <si>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</si>
  <si>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</si>
  <si>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</si>
  <si>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</si>
  <si>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</si>
  <si>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</si>
  <si>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</si>
  <si>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</si>
  <si>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</si>
  <si>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</si>
  <si>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</si>
  <si>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</si>
  <si>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</si>
  <si>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</si>
  <si>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</si>
  <si>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</si>
  <si>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</si>
  <si>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</si>
  <si>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</si>
  <si>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</si>
  <si>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</si>
  <si>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</si>
  <si>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</si>
  <si>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</si>
  <si>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</si>
  <si>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</si>
  <si>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</si>
  <si>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</si>
  <si>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</si>
  <si>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</si>
  <si>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</si>
  <si>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</si>
  <si>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</si>
  <si>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</si>
  <si>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</si>
  <si>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</si>
  <si>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</si>
  <si>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</si>
  <si>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</si>
  <si>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</si>
  <si>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</si>
  <si>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</si>
  <si>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</si>
  <si>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</si>
  <si>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</si>
  <si>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</si>
  <si>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</si>
  <si>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</si>
  <si>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</si>
  <si>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</si>
  <si>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</si>
  <si>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</si>
  <si>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</si>
  <si>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</si>
  <si>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</si>
  <si>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</si>
  <si>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</si>
  <si>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</si>
  <si>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</si>
  <si>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</si>
  <si>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</si>
  <si>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</si>
  <si>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</si>
  <si>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</si>
  <si>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</si>
  <si>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</si>
  <si>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</si>
  <si>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</si>
  <si>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</si>
  <si>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</si>
  <si>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</si>
  <si>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</si>
  <si>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</si>
  <si>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</si>
  <si>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</si>
  <si>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</si>
  <si>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</si>
  <si>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</si>
  <si>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</si>
  <si>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</si>
  <si>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</si>
  <si>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</si>
  <si>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</si>
  <si>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</si>
  <si>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</si>
  <si>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</si>
  <si>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</si>
  <si>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</si>
  <si>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</si>
  <si>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</si>
  <si>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</si>
  <si>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</si>
  <si>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</si>
  <si>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161 FERC ¶ 61,107 at P35</t>
  </si>
  <si>
    <t>161 FERC ¶ 61,107 at P 21</t>
  </si>
  <si>
    <t>172 FERC ¶ 61,241 at P 31</t>
  </si>
  <si>
    <t>172 FERC ¶ 61,241 at P 26</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</si>
  <si>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</si>
  <si>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</si>
  <si>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</si>
  <si>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</si>
  <si>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</si>
  <si>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</si>
  <si>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</si>
  <si>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</si>
  <si>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</si>
  <si>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</si>
  <si>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</si>
  <si>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</si>
  <si>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</si>
  <si>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</si>
  <si>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</si>
  <si>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</si>
  <si>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</si>
  <si>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</si>
  <si>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</si>
  <si>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</si>
  <si>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</si>
  <si>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</si>
  <si>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</si>
  <si>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</si>
  <si>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</si>
  <si>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</si>
  <si>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</si>
  <si>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</si>
  <si>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</si>
  <si>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</si>
  <si>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</si>
  <si>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</si>
  <si>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</si>
  <si>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</si>
  <si>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</si>
  <si>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</si>
  <si>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</si>
  <si>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</si>
  <si>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</si>
  <si>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</si>
  <si>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</si>
  <si>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</si>
  <si>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</si>
  <si>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</si>
  <si>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</si>
  <si>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</si>
  <si>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</si>
  <si>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</si>
  <si>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</si>
  <si>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</si>
  <si>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</si>
  <si>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</si>
  <si>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</si>
  <si>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</si>
  <si>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</si>
  <si>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</si>
  <si>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</si>
  <si>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</si>
  <si>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</si>
  <si>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</si>
  <si>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</si>
  <si>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</si>
  <si>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</si>
  <si>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</si>
  <si>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</si>
  <si>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</si>
  <si>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</si>
  <si>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</si>
  <si>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</si>
  <si>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</si>
  <si>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</si>
  <si>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</si>
  <si>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</si>
  <si>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</si>
  <si>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</si>
  <si>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</si>
  <si>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</si>
  <si>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</si>
  <si>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</si>
  <si>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</si>
  <si>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</si>
  <si>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</si>
  <si>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</si>
  <si>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</si>
  <si>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</si>
  <si>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</si>
  <si>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</si>
  <si>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</si>
  <si>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</si>
  <si>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</si>
  <si>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</si>
  <si>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</si>
  <si>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</si>
  <si>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</si>
  <si>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</si>
  <si>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</si>
  <si>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</si>
  <si>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</si>
  <si>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</si>
  <si>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</si>
  <si>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</si>
  <si>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</si>
  <si>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</si>
  <si>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</si>
  <si>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</si>
  <si>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</si>
  <si>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</si>
  <si>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</si>
  <si>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</si>
  <si>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</si>
  <si>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</si>
  <si>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</si>
  <si>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</si>
  <si>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</si>
  <si>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</si>
  <si>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</si>
  <si>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</si>
  <si>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</si>
  <si>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</si>
  <si>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</si>
  <si>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</si>
  <si>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</si>
  <si>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</si>
  <si>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</si>
  <si>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</si>
  <si>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</si>
  <si>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</si>
  <si>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</si>
  <si>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</si>
  <si>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</si>
  <si>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</si>
  <si>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</si>
  <si>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</si>
  <si>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</si>
  <si>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</si>
  <si>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</si>
  <si>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</si>
  <si>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</si>
  <si>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</si>
  <si>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</si>
  <si>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</si>
  <si>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</si>
  <si>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</si>
  <si>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</si>
  <si>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</si>
  <si>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</si>
  <si>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</si>
  <si>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</si>
  <si>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</si>
  <si>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</si>
  <si>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</si>
  <si>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</si>
  <si>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</si>
  <si>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</si>
  <si>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</si>
  <si>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</si>
  <si>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</si>
  <si>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</si>
  <si>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</si>
  <si>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</si>
  <si>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</si>
  <si>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</si>
  <si>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</si>
  <si>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</si>
  <si>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</si>
  <si>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</si>
  <si>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</si>
  <si>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</si>
  <si>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</si>
  <si>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</si>
  <si>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</si>
  <si>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</si>
  <si>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</si>
  <si>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</si>
  <si>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</si>
  <si>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</si>
  <si>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</si>
  <si>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</si>
  <si>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</si>
  <si>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</si>
  <si>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</si>
  <si>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</si>
  <si>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</si>
  <si>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</si>
  <si>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</si>
  <si>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</si>
  <si>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</si>
  <si>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</si>
  <si>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</si>
  <si>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</si>
  <si>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</si>
  <si>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</si>
  <si>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</si>
  <si>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</si>
  <si>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</si>
  <si>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</si>
  <si>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</si>
  <si>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</si>
  <si>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</si>
  <si>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</si>
  <si>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</si>
  <si>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</si>
  <si>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</si>
  <si>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</si>
  <si>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</si>
  <si>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</si>
  <si>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</si>
  <si>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</si>
  <si>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</si>
  <si>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</si>
  <si>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</si>
  <si>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</si>
  <si>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</si>
  <si>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</si>
  <si>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</si>
  <si>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</si>
  <si>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</si>
  <si>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</si>
  <si>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</si>
  <si>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</si>
  <si>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</si>
  <si>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</si>
  <si>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</si>
  <si>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</si>
  <si>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</si>
  <si>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</si>
  <si>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</si>
  <si>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</si>
  <si>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</si>
  <si>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</si>
  <si>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</si>
  <si>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</si>
  <si>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</si>
  <si>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</si>
  <si>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</si>
  <si>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</si>
  <si>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</si>
  <si>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</si>
  <si>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</si>
  <si>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</si>
  <si>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</si>
  <si>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</si>
  <si>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</si>
  <si>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</si>
  <si>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</si>
  <si>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</si>
  <si>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</si>
  <si>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</si>
  <si>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</si>
  <si>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</si>
  <si>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</si>
  <si>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</si>
  <si>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</si>
  <si>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</si>
  <si>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</si>
  <si>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</si>
  <si>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</si>
  <si>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</si>
  <si>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</si>
  <si>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</si>
  <si>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</si>
  <si>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</si>
  <si>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</si>
  <si>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</si>
  <si>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</si>
  <si>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</si>
  <si>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</si>
  <si>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</si>
  <si>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</si>
  <si>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</si>
  <si>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</si>
  <si>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</si>
  <si>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</si>
  <si>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</si>
  <si>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</si>
  <si>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</si>
  <si>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</si>
  <si>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</si>
  <si>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</si>
  <si>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</si>
  <si>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</si>
  <si>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</si>
  <si>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</si>
  <si>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</si>
  <si>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</si>
  <si>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</si>
  <si>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</si>
  <si>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</si>
  <si>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</si>
  <si>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</si>
  <si>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</si>
  <si>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</si>
  <si>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</si>
  <si>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</si>
  <si>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</si>
  <si>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</si>
  <si>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</si>
  <si>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</si>
  <si>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</si>
  <si>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</si>
  <si>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</si>
  <si>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</si>
  <si>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</si>
  <si>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</si>
  <si>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</si>
  <si>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</si>
  <si>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</si>
  <si>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</si>
  <si>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</si>
  <si>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</si>
  <si>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</si>
  <si>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</si>
  <si>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</si>
  <si>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</si>
  <si>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</si>
  <si>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</si>
  <si>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</si>
  <si>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</si>
  <si>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</si>
  <si>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</si>
  <si>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</si>
  <si>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</si>
  <si>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</si>
  <si>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</si>
  <si>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</si>
  <si>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</si>
  <si>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</si>
  <si>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</si>
  <si>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</si>
  <si>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</si>
  <si>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</si>
  <si>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</si>
  <si>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</si>
  <si>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</si>
  <si>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</si>
  <si>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</si>
  <si>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</si>
  <si>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</si>
  <si>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</si>
  <si>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</si>
  <si>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</si>
  <si>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</si>
  <si>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</si>
  <si>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</si>
  <si>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</si>
  <si>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</si>
  <si>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</si>
  <si>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</si>
  <si>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</si>
  <si>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</si>
  <si>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</si>
  <si>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</si>
  <si>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</si>
  <si>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</si>
  <si>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</si>
  <si>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</si>
  <si>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</si>
  <si>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</si>
  <si>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</si>
  <si>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</si>
  <si>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</si>
  <si>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</si>
  <si>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</si>
  <si>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</si>
  <si>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</si>
  <si>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</si>
  <si>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</si>
  <si>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</si>
  <si>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</si>
  <si>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</si>
  <si>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</si>
  <si>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</si>
  <si>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</si>
  <si>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</si>
  <si>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</si>
  <si>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</si>
  <si>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</si>
  <si>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</si>
  <si>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</si>
  <si>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</si>
  <si>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</si>
  <si>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</si>
  <si>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</si>
  <si>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</si>
  <si>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</si>
  <si>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</si>
  <si>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</si>
  <si>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</si>
  <si>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</si>
  <si>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</si>
  <si>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</si>
  <si>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</si>
  <si>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</si>
  <si>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</si>
  <si>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</si>
  <si>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</si>
  <si>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</si>
  <si>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</si>
  <si>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</si>
  <si>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</si>
  <si>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</si>
  <si>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</si>
  <si>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</si>
  <si>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</si>
  <si>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</si>
  <si>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</si>
  <si>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</si>
  <si>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</si>
  <si>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</si>
  <si>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</si>
  <si>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</si>
  <si>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</si>
  <si>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</si>
  <si>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</si>
  <si>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</si>
  <si>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</si>
  <si>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</si>
  <si>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</si>
  <si>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</si>
  <si>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</si>
  <si>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</si>
  <si>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</si>
  <si>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</si>
  <si>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</si>
  <si>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</si>
  <si>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</si>
  <si>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</si>
  <si>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</si>
  <si>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</si>
  <si>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</si>
  <si>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</si>
  <si>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</si>
  <si>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</si>
  <si>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</si>
  <si>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</si>
  <si>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</si>
  <si>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</si>
  <si>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</si>
  <si>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</si>
  <si>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</si>
  <si>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</si>
  <si>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</si>
  <si>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</si>
  <si>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</si>
  <si>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</si>
  <si>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</si>
  <si>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</si>
  <si>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</si>
  <si>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</si>
  <si>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</si>
  <si>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Late Payment Charge- Comm. &amp; Ind.</t>
  </si>
  <si>
    <t>1b</t>
  </si>
  <si>
    <t>Residential Late Payment</t>
  </si>
  <si>
    <t>450 Total</t>
  </si>
  <si>
    <t>FF-1 Total for Acct 450 - Forfeited Discounts, p300.16b (Must Equal Line 2)
(Must Equal Line X)</t>
  </si>
  <si>
    <t>Recover Unauthorized Use/Non-Energy</t>
  </si>
  <si>
    <t>4b</t>
  </si>
  <si>
    <t>Miscellaneous Service Revenue - Ownership Cost</t>
  </si>
  <si>
    <t>4c</t>
  </si>
  <si>
    <t>Miscellaneous Service Revenues</t>
  </si>
  <si>
    <t>4d</t>
  </si>
  <si>
    <t>Returned Check Charges</t>
  </si>
  <si>
    <t>4e</t>
  </si>
  <si>
    <t>Service Reconnection Charges</t>
  </si>
  <si>
    <t>4f</t>
  </si>
  <si>
    <t>Service Establishment Charge</t>
  </si>
  <si>
    <t>4g</t>
  </si>
  <si>
    <t>Field Collection Charges</t>
  </si>
  <si>
    <t>4h</t>
  </si>
  <si>
    <t>Quickcheck Revenue</t>
  </si>
  <si>
    <t>P</t>
  </si>
  <si>
    <t>4i</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</si>
  <si>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</si>
  <si>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</si>
  <si>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</si>
  <si>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</si>
  <si>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</si>
  <si>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</si>
  <si>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</si>
  <si>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</si>
  <si>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</si>
  <si>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</si>
  <si>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</si>
  <si>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</si>
  <si>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</si>
  <si>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</si>
  <si>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</si>
  <si>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</si>
  <si>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</si>
  <si>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</si>
  <si>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NEM 2.0</t>
  </si>
  <si>
    <t>4s</t>
  </si>
  <si>
    <t>AR Service Guarantee</t>
  </si>
  <si>
    <t>4t</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</si>
  <si>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</si>
  <si>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</si>
  <si>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</si>
  <si>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</si>
  <si>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</si>
  <si>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</si>
  <si>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</si>
  <si>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</si>
  <si>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</si>
  <si>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</si>
  <si>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</si>
  <si>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</si>
  <si>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</si>
  <si>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</si>
  <si>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</si>
  <si>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</si>
  <si>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</si>
  <si>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Joint Pole - Tariffed Conduit Rental</t>
  </si>
  <si>
    <t>10b</t>
  </si>
  <si>
    <t>Joint Pole - Tariffed Pole Rental - Cable Cos.</t>
  </si>
  <si>
    <t>10c</t>
  </si>
  <si>
    <t>Joint Pole - Tariffed Process &amp; Eng Fees - Cable</t>
  </si>
  <si>
    <t>10d</t>
  </si>
  <si>
    <t>Joint Pole - Aud - Unauth Penalty</t>
  </si>
  <si>
    <t>10e</t>
  </si>
  <si>
    <t>Joint Pole - Non-Tariffed Pole Rental</t>
  </si>
  <si>
    <t>10f</t>
  </si>
  <si>
    <t>Joint Pole - Non-Tariff Process &amp; Engineering Fees</t>
  </si>
  <si>
    <t>10g</t>
  </si>
  <si>
    <t>Joint Pole - Non-Tariff Requests for Information</t>
  </si>
  <si>
    <t>10h</t>
  </si>
  <si>
    <t>Oil And Gas Royalties</t>
  </si>
  <si>
    <t>10i</t>
  </si>
  <si>
    <t>Def Operating Land &amp; Facilities Rent Rev</t>
  </si>
  <si>
    <t>10j</t>
  </si>
  <si>
    <t>Facility Cost -EIX/Nonutility</t>
  </si>
  <si>
    <t>6, 12</t>
  </si>
  <si>
    <t>10k</t>
  </si>
  <si>
    <t>Facility Cost- Utility</t>
  </si>
  <si>
    <t>10l</t>
  </si>
  <si>
    <t>Rent Billed to Non-Utility Affiliates</t>
  </si>
  <si>
    <t>10m</t>
  </si>
  <si>
    <t>Rent Billed to Utility Affiliates</t>
  </si>
  <si>
    <t>10n</t>
  </si>
  <si>
    <t>Meter Leasing Revenue</t>
  </si>
  <si>
    <t>10o</t>
  </si>
  <si>
    <t>Company Financed Added Facilities</t>
  </si>
  <si>
    <t>10p</t>
  </si>
  <si>
    <t>Company Financed Interconnect Facilities</t>
  </si>
  <si>
    <t>10q</t>
  </si>
  <si>
    <t>SCE Financed Added Faclty</t>
  </si>
  <si>
    <t>10r</t>
  </si>
  <si>
    <t>Interconnect Facility Finance Charge</t>
  </si>
  <si>
    <t>10s</t>
  </si>
  <si>
    <t>Operating Land &amp; Facilities Rent Revenue</t>
  </si>
  <si>
    <t>10t</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</si>
  <si>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</si>
  <si>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</si>
  <si>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</si>
  <si>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</si>
  <si>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</si>
  <si>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</si>
  <si>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</si>
  <si>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</si>
  <si>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</si>
  <si>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</si>
  <si>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</si>
  <si>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</si>
  <si>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</si>
  <si>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</si>
  <si>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</si>
  <si>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</si>
  <si>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</si>
  <si>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</si>
  <si>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</si>
  <si>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</si>
  <si>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</si>
  <si>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</si>
  <si>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</si>
  <si>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</si>
  <si>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</si>
  <si>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</si>
  <si>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Energy Related Services</t>
  </si>
  <si>
    <t>12b</t>
  </si>
  <si>
    <t>Distribution Miscellaneous Electric Revenues</t>
  </si>
  <si>
    <t>12c</t>
  </si>
  <si>
    <t>Added Facilities - One Time Charge</t>
  </si>
  <si>
    <t>12d</t>
  </si>
  <si>
    <t>Building Rental - Nev Power/Mohave Cr</t>
  </si>
  <si>
    <t>12e</t>
  </si>
  <si>
    <t>Service Fee - Optimal Bill Prd</t>
  </si>
  <si>
    <t>12f</t>
  </si>
  <si>
    <t>Miscellaneous Revenues</t>
  </si>
  <si>
    <t>12g</t>
  </si>
  <si>
    <t>Tule Power Plant - Revenue</t>
  </si>
  <si>
    <t>12h</t>
  </si>
  <si>
    <t>Microwave Agreement</t>
  </si>
  <si>
    <t>12i</t>
  </si>
  <si>
    <t>Utility Subs Labor Markup</t>
  </si>
  <si>
    <t>12j</t>
  </si>
  <si>
    <t>Non Utility Subs Labor Markup</t>
  </si>
  <si>
    <t>12k</t>
  </si>
  <si>
    <t>Reliant Eng FSA Ann Pymnt-Mandalay</t>
  </si>
  <si>
    <t>12l</t>
  </si>
  <si>
    <t>Reliant Eng FSA Ann Pymnt-Ormond Beach</t>
  </si>
  <si>
    <t>12m</t>
  </si>
  <si>
    <t>Reliant Eng FSA Ann Pymnt-Etiwanda</t>
  </si>
  <si>
    <t>12n</t>
  </si>
  <si>
    <t>Reliant Eng FSA Ann Pymnt-Ellwood</t>
  </si>
  <si>
    <t>12o</t>
  </si>
  <si>
    <t>Reliant Eng FSA Ann Pymnt-Coolwater</t>
  </si>
  <si>
    <t>12p</t>
  </si>
  <si>
    <t>Property License Fee revenue</t>
  </si>
  <si>
    <t>12q</t>
  </si>
  <si>
    <t>Revenue From Recreation, Fish &amp; Wildlife</t>
  </si>
  <si>
    <t>12r</t>
  </si>
  <si>
    <t>Mapping Services</t>
  </si>
  <si>
    <t>12s</t>
  </si>
  <si>
    <t>Enhanced Pump Test Revenue</t>
  </si>
  <si>
    <t>12t</t>
  </si>
  <si>
    <t>Revenue From Scrap Paper - General Office</t>
  </si>
  <si>
    <t>12u</t>
  </si>
  <si>
    <t>CTAC Revenues</t>
  </si>
  <si>
    <t>12v</t>
  </si>
  <si>
    <t>AGTAC Revenues</t>
  </si>
  <si>
    <t>12w</t>
  </si>
  <si>
    <t>ADT Vendor Service Revenue</t>
  </si>
  <si>
    <t>12xx</t>
  </si>
  <si>
    <t>Read Water Meters - Irvine Ranch</t>
  </si>
  <si>
    <t>12yy</t>
  </si>
  <si>
    <t>Read Water Meters - Rancho California</t>
  </si>
  <si>
    <t>12zz</t>
  </si>
  <si>
    <t>Read Water Meters - Long Beach</t>
  </si>
  <si>
    <t>12aa</t>
  </si>
  <si>
    <t>SSID Transformer Repair Services Revenue</t>
  </si>
  <si>
    <t>12bb</t>
  </si>
  <si>
    <t>Employee Transfer/Affiliate Fee</t>
  </si>
  <si>
    <t>12cc</t>
  </si>
  <si>
    <t>ITCC/CIAC Revenues</t>
  </si>
  <si>
    <t>12dd</t>
  </si>
  <si>
    <t>Revenue From Decommission Trust Fund</t>
  </si>
  <si>
    <t>12ee</t>
  </si>
  <si>
    <t>Revenue From Decommissioning Trust FAS115</t>
  </si>
  <si>
    <t>12ff</t>
  </si>
  <si>
    <t>Offset to Revenue from NDT Earnings/Realized</t>
  </si>
  <si>
    <t>12gg</t>
  </si>
  <si>
    <t>Offset to Revenue from FAS 115 FMV</t>
  </si>
  <si>
    <t>12hh</t>
  </si>
  <si>
    <t>Revenue From Decommissioning Trust FAS115-1</t>
  </si>
  <si>
    <t>12ii</t>
  </si>
  <si>
    <t>Offset to Revenue from FAS 115-1 Gains &amp; Loss</t>
  </si>
  <si>
    <t>12jj</t>
  </si>
  <si>
    <t>Power Supply Installations - IMS</t>
  </si>
  <si>
    <t>12kk</t>
  </si>
  <si>
    <t>Consulting Fees - IMS</t>
  </si>
  <si>
    <t>12ll</t>
  </si>
  <si>
    <t>DA Revenue</t>
  </si>
  <si>
    <t>12mm</t>
  </si>
  <si>
    <t>EDBL Customer Finance Added Facilities</t>
  </si>
  <si>
    <t>12nn</t>
  </si>
  <si>
    <t>SCE Energy Manager Fee Based Services</t>
  </si>
  <si>
    <t>12oo</t>
  </si>
  <si>
    <t>SCE Energy Manager Fee Based Services Adj</t>
  </si>
  <si>
    <t>12pp</t>
  </si>
  <si>
    <t>Off Grid Photo Voltaic Revenues</t>
  </si>
  <si>
    <t>12qq</t>
  </si>
  <si>
    <t>Scheduling/Dispatch Revenues</t>
  </si>
  <si>
    <t>12rr</t>
  </si>
  <si>
    <t>Interconnect Facilities Charges-Customer Financed</t>
  </si>
  <si>
    <t>12ss</t>
  </si>
  <si>
    <t>Interconnect Facilities Charges - SCE Financed</t>
  </si>
  <si>
    <t>12tt</t>
  </si>
  <si>
    <t>DMS Service Fees</t>
  </si>
  <si>
    <t>12uu</t>
  </si>
  <si>
    <t>CCA - Information Fees</t>
  </si>
  <si>
    <t>12vv</t>
  </si>
  <si>
    <t>12ww</t>
  </si>
  <si>
    <t>Grant Amortization</t>
  </si>
  <si>
    <t>GHG Allowance Revenue</t>
  </si>
  <si>
    <t>Intercon One Time</t>
  </si>
  <si>
    <t>EV Charging Revenue</t>
  </si>
  <si>
    <t>12aaa</t>
  </si>
  <si>
    <t>Energy Reltd Srv-TSP</t>
  </si>
  <si>
    <t>12bbb</t>
  </si>
  <si>
    <t>N/U Labor Mrkp-BRRBA</t>
  </si>
  <si>
    <t>12ccc</t>
  </si>
  <si>
    <t>LCFS CR 411.8</t>
  </si>
  <si>
    <t>12ddd</t>
  </si>
  <si>
    <t>Miscellaneous Revenues - ISO</t>
  </si>
  <si>
    <t>12eee</t>
  </si>
  <si>
    <t>Power Quality C&amp;I Customer Program</t>
  </si>
  <si>
    <t>12fff</t>
  </si>
  <si>
    <t>Gas Sales - ERRA</t>
  </si>
  <si>
    <t>12ggg</t>
  </si>
  <si>
    <t>Miscellaneous Electric Revenue - ERRA</t>
  </si>
  <si>
    <t>12hhh</t>
  </si>
  <si>
    <t>PUCRF Rate Adjustment - Electric</t>
  </si>
  <si>
    <t>12iii</t>
  </si>
  <si>
    <t>Utility Earnings - Mono Power Co</t>
  </si>
  <si>
    <t>12jjj</t>
  </si>
  <si>
    <t>Energy Reltd Srvcs-Tehachapi Storage Project (TSP)</t>
  </si>
  <si>
    <t>456 Total</t>
  </si>
  <si>
    <t>FF-1 Total for Acct 456 - Other electric Revenues, p300.21b
(Must Equal Line 13)</t>
  </si>
  <si>
    <t>15a</t>
  </si>
  <si>
    <t>Trans of Elec of Others - Pasadena</t>
  </si>
  <si>
    <t>15b</t>
  </si>
  <si>
    <t>FTS PPU/Non-ISO</t>
  </si>
  <si>
    <t>15c</t>
  </si>
  <si>
    <t>FTS Non-PPU/Non-ISO</t>
  </si>
  <si>
    <t>15d</t>
  </si>
  <si>
    <t>ISO-Wheeling Revenue - Low Voltage</t>
  </si>
  <si>
    <t>15e</t>
  </si>
  <si>
    <t>ISO-Wheeling Revenue - High Voltage</t>
  </si>
  <si>
    <t>15f</t>
  </si>
  <si>
    <t>ISO-Congestion Revenue</t>
  </si>
  <si>
    <t>15g</t>
  </si>
  <si>
    <t>Transmission of Elec of Others</t>
  </si>
  <si>
    <t>15h</t>
  </si>
  <si>
    <t>WDAT</t>
  </si>
  <si>
    <t>15i</t>
  </si>
  <si>
    <t>Radial Line Rev-Base Cost - Reliant Coolwater</t>
  </si>
  <si>
    <t>15j</t>
  </si>
  <si>
    <t>Radial Line Rev-Base Cost - Reliant Ormond Beach</t>
  </si>
  <si>
    <t>15k</t>
  </si>
  <si>
    <t>Radial Line Rev-O&amp;M - AES Huntington Beach</t>
  </si>
  <si>
    <t>15l</t>
  </si>
  <si>
    <t>Radial Line Rev-O&amp;M - Reliant Mandalay</t>
  </si>
  <si>
    <t>15m</t>
  </si>
  <si>
    <t>Radial Line Rev-O&amp;M - Reliant Coolwater</t>
  </si>
  <si>
    <t>15n</t>
  </si>
  <si>
    <t>Radial Line Rev-O&amp;M - Ormond Beach</t>
  </si>
  <si>
    <t>15o</t>
  </si>
  <si>
    <t>High Desert Tie-Line Rental Rev</t>
  </si>
  <si>
    <t>15p</t>
  </si>
  <si>
    <t>Inland Empire CRT Tie-Line EX</t>
  </si>
  <si>
    <t>15q</t>
  </si>
  <si>
    <t>Reliability Service Revenue - Non-PTO's</t>
  </si>
  <si>
    <t>15r</t>
  </si>
  <si>
    <t>Radial Line Agreement-Base-Mojave Solr</t>
  </si>
  <si>
    <t>15s</t>
  </si>
  <si>
    <t>Radial Line Agreement-O&amp;M-Mojave Solr</t>
  </si>
  <si>
    <t>15t</t>
  </si>
  <si>
    <t>ISO Non-Refundable Interconnection Deposit</t>
  </si>
  <si>
    <t>15u</t>
  </si>
  <si>
    <t>RSR - Non-PTO's - RSBA</t>
  </si>
  <si>
    <t>15v</t>
  </si>
  <si>
    <t>Transmission Sales - ERRA</t>
  </si>
  <si>
    <t>15w</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</si>
  <si>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</si>
  <si>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</si>
  <si>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</si>
  <si>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</si>
  <si>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</si>
  <si>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</si>
  <si>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</si>
  <si>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</si>
  <si>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</si>
  <si>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</si>
  <si>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</si>
  <si>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</si>
  <si>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</si>
  <si>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</si>
  <si>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</si>
  <si>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</si>
  <si>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</si>
  <si>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</si>
  <si>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</si>
  <si>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</si>
  <si>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</si>
  <si>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</si>
  <si>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</si>
  <si>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</si>
  <si>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</si>
  <si>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</si>
  <si>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</si>
  <si>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</si>
  <si>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</si>
  <si>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</si>
  <si>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</si>
  <si>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</si>
  <si>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</si>
  <si>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</si>
  <si>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</si>
  <si>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</si>
  <si>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</si>
  <si>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</si>
  <si>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</si>
  <si>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</si>
  <si>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</si>
  <si>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</si>
  <si>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</si>
  <si>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</si>
  <si>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</si>
  <si>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</si>
  <si>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</si>
  <si>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</si>
  <si>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</si>
  <si>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</si>
  <si>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</si>
  <si>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</si>
  <si>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</si>
  <si>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</si>
  <si>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</si>
  <si>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</si>
  <si>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</si>
  <si>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</si>
  <si>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</si>
  <si>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</si>
  <si>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</si>
  <si>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</si>
  <si>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</si>
  <si>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</si>
  <si>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</si>
  <si>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</si>
  <si>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</si>
  <si>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</si>
  <si>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</si>
  <si>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</si>
  <si>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</si>
  <si>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</si>
  <si>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</si>
  <si>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</si>
  <si>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</si>
  <si>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</si>
  <si>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</si>
  <si>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</si>
  <si>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</si>
  <si>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</si>
  <si>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</si>
  <si>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</si>
  <si>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</si>
  <si>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</si>
  <si>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</si>
  <si>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</si>
  <si>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</si>
  <si>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</si>
  <si>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</si>
  <si>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</si>
  <si>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</si>
  <si>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</si>
  <si>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</si>
  <si>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</si>
  <si>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</si>
  <si>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</si>
  <si>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</si>
  <si>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</si>
  <si>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</si>
  <si>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</si>
  <si>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</si>
  <si>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</si>
  <si>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</si>
  <si>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</si>
  <si>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</si>
  <si>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</si>
  <si>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</si>
  <si>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</si>
  <si>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</si>
  <si>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</si>
  <si>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</si>
  <si>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</si>
  <si>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</si>
  <si>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</si>
  <si>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</si>
  <si>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</si>
  <si>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</si>
  <si>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</si>
  <si>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</si>
  <si>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</si>
  <si>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</si>
  <si>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</si>
  <si>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</si>
  <si>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</si>
  <si>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</si>
  <si>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</si>
  <si>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</si>
  <si>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</si>
  <si>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</si>
  <si>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</si>
  <si>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</si>
  <si>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</si>
  <si>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</si>
  <si>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</si>
  <si>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</si>
  <si>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</si>
  <si>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</si>
  <si>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</si>
  <si>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</si>
  <si>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</si>
  <si>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</si>
  <si>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</si>
  <si>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</si>
  <si>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</si>
  <si>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</si>
  <si>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</si>
  <si>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</si>
  <si>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</si>
  <si>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</si>
  <si>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</si>
  <si>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</si>
  <si>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</si>
  <si>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</si>
  <si>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</si>
  <si>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</si>
  <si>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</si>
  <si>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</si>
  <si>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</si>
  <si>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</si>
  <si>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</si>
  <si>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</si>
  <si>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</si>
  <si>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</si>
  <si>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</si>
  <si>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</si>
  <si>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</si>
  <si>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</si>
  <si>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</si>
  <si>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</si>
  <si>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</si>
  <si>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</si>
  <si>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</si>
  <si>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</si>
  <si>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</si>
  <si>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</si>
  <si>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</si>
  <si>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</si>
  <si>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</si>
  <si>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</si>
  <si>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</si>
  <si>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</si>
  <si>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</si>
  <si>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</si>
  <si>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</si>
  <si>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</si>
  <si>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</si>
  <si>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</si>
  <si>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</si>
  <si>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</si>
  <si>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</si>
  <si>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</si>
  <si>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</si>
  <si>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</si>
  <si>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</si>
  <si>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</si>
  <si>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</si>
  <si>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</si>
  <si>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</si>
  <si>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</si>
  <si>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</si>
  <si>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</si>
  <si>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</si>
  <si>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</si>
  <si>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</si>
  <si>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</si>
  <si>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</si>
  <si>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</si>
  <si>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</si>
  <si>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</si>
  <si>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</si>
  <si>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</si>
  <si>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</si>
  <si>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</si>
  <si>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</si>
  <si>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</si>
  <si>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</si>
  <si>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</si>
  <si>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</si>
  <si>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</si>
  <si>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</si>
  <si>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</si>
  <si>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</si>
  <si>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</si>
  <si>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</si>
  <si>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</si>
  <si>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</si>
  <si>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</si>
  <si>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</si>
  <si>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</si>
  <si>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</si>
  <si>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</si>
  <si>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</si>
  <si>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</si>
  <si>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</si>
  <si>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</si>
  <si>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</si>
  <si>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</si>
  <si>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</si>
  <si>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</si>
  <si>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</si>
  <si>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</si>
  <si>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</si>
  <si>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</si>
  <si>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</si>
  <si>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</si>
  <si>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</si>
  <si>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</si>
  <si>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</si>
  <si>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</si>
  <si>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</si>
  <si>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</si>
  <si>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</si>
  <si>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</si>
  <si>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</si>
  <si>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</si>
  <si>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</si>
  <si>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</si>
  <si>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</si>
  <si>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</si>
  <si>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</si>
  <si>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</si>
  <si>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</si>
  <si>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</si>
  <si>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</si>
  <si>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</si>
  <si>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</si>
  <si>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</si>
  <si>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</si>
  <si>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</si>
  <si>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</si>
  <si>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</si>
  <si>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</si>
  <si>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</si>
  <si>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</si>
  <si>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</si>
  <si>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</si>
  <si>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</si>
  <si>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</si>
  <si>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</si>
  <si>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</si>
  <si>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</si>
  <si>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</si>
  <si>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</si>
  <si>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</si>
  <si>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</si>
  <si>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</si>
  <si>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</si>
  <si>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</si>
  <si>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</si>
  <si>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</si>
  <si>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</si>
  <si>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</si>
  <si>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</si>
  <si>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</si>
  <si>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</si>
  <si>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</si>
  <si>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</si>
  <si>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</si>
  <si>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</si>
  <si>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</si>
  <si>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</si>
  <si>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</si>
  <si>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</si>
  <si>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</si>
  <si>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</si>
  <si>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</si>
  <si>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</si>
  <si>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</si>
  <si>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</si>
  <si>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</si>
  <si>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</si>
  <si>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</si>
  <si>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</si>
  <si>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</si>
  <si>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Notes/Instructions</t>
  </si>
  <si>
    <t>EPRI Dues</t>
  </si>
  <si>
    <t>EEI Dues</t>
  </si>
  <si>
    <t>Sum of EPRI and EEI Dues</t>
  </si>
  <si>
    <t>EPRI and EEI Dues Exclusion</t>
  </si>
  <si>
    <t>Total Expense Difference:</t>
  </si>
  <si>
    <t>Expense Difference</t>
  </si>
  <si>
    <t>Uncollectibles Expense -- Prior Year TRR</t>
  </si>
  <si>
    <t>Uncollectibles Expense -- IFPTRR</t>
  </si>
  <si>
    <t>Subtotal:</t>
  </si>
  <si>
    <t>Franchise Fee Exclusion</t>
  </si>
  <si>
    <t>Wholesale Difference to the Base TRR:</t>
  </si>
  <si>
    <t>Notes/Instructions:</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</si>
  <si>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</si>
  <si>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</si>
  <si>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</si>
  <si>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</si>
  <si>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</si>
  <si>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</si>
  <si>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</si>
  <si>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</si>
  <si>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</si>
  <si>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</si>
  <si>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</si>
  <si>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</si>
  <si>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</si>
  <si>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</si>
  <si>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</si>
  <si>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</si>
  <si>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</si>
  <si>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</si>
  <si>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</si>
  <si>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</si>
  <si>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</si>
  <si>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</si>
  <si>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</si>
  <si>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</si>
  <si>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</si>
  <si>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</si>
  <si>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</si>
  <si>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</si>
  <si>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</si>
  <si>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</si>
  <si>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</si>
  <si>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</si>
  <si>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</si>
  <si>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</si>
  <si>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</si>
  <si>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</si>
  <si>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</si>
  <si>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</si>
  <si>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</si>
  <si>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</si>
  <si>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</si>
  <si>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</si>
  <si>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</si>
  <si>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</si>
  <si>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</si>
  <si>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</si>
  <si>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</si>
  <si>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</si>
  <si>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</si>
  <si>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</si>
  <si>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</si>
  <si>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</si>
  <si>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</si>
  <si>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</si>
  <si>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</si>
  <si>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</si>
  <si>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</si>
  <si>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</si>
  <si>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</si>
  <si>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</si>
  <si>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</si>
  <si>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</si>
  <si>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</si>
  <si>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</si>
  <si>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</si>
  <si>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</si>
  <si>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</si>
  <si>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</si>
  <si>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</si>
  <si>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</si>
  <si>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</si>
  <si>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</si>
  <si>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</si>
  <si>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</si>
  <si>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</si>
  <si>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</si>
  <si>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</si>
  <si>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</si>
  <si>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</si>
  <si>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</si>
  <si>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</si>
  <si>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</si>
  <si>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</si>
  <si>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</si>
  <si>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</si>
  <si>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</si>
  <si>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</si>
  <si>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</si>
  <si>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</si>
  <si>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</si>
  <si>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</si>
  <si>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</si>
  <si>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</si>
  <si>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</si>
  <si>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</si>
  <si>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</si>
  <si>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</si>
  <si>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</si>
  <si>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</si>
  <si>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</si>
  <si>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</si>
  <si>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</si>
  <si>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</si>
  <si>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</si>
  <si>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</si>
  <si>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</si>
  <si>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</si>
  <si>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</si>
  <si>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</si>
  <si>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</si>
  <si>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</si>
  <si>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</si>
  <si>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</si>
  <si>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</si>
  <si>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</si>
  <si>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</si>
  <si>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</si>
  <si>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</si>
  <si>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</si>
  <si>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</si>
  <si>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</si>
  <si>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</si>
  <si>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</si>
  <si>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</si>
  <si>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</si>
  <si>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</si>
  <si>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</si>
  <si>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</si>
  <si>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</si>
  <si>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</si>
  <si>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</si>
  <si>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</si>
  <si>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</si>
  <si>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</si>
  <si>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</si>
  <si>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</si>
  <si>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</si>
  <si>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</si>
  <si>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</si>
  <si>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</si>
  <si>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</si>
  <si>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</si>
  <si>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</si>
  <si>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</si>
  <si>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</si>
  <si>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</si>
  <si>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</si>
  <si>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</si>
  <si>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</si>
  <si>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</si>
  <si>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</si>
  <si>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</si>
  <si>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</si>
  <si>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</si>
  <si>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</si>
  <si>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</si>
  <si>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</si>
  <si>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</si>
  <si>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</si>
  <si>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</si>
  <si>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</si>
  <si>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</si>
  <si>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</si>
  <si>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</si>
  <si>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</si>
  <si>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</si>
  <si>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</si>
  <si>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</si>
  <si>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</si>
  <si>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</si>
  <si>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</si>
  <si>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</si>
  <si>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</si>
  <si>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</si>
  <si>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</si>
  <si>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</si>
  <si>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</si>
  <si>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</si>
  <si>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</si>
  <si>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</si>
  <si>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</si>
  <si>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</si>
  <si>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</si>
  <si>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</si>
  <si>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</si>
  <si>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</si>
  <si>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</si>
  <si>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</si>
  <si>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</si>
  <si>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</si>
  <si>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</si>
  <si>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</si>
  <si>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</si>
  <si>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</si>
  <si>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</si>
  <si>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</si>
  <si>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</si>
  <si>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</si>
  <si>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</si>
  <si>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</si>
  <si>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</si>
  <si>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</si>
  <si>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</si>
  <si>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</si>
  <si>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</si>
  <si>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</si>
  <si>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</si>
  <si>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</si>
  <si>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</si>
  <si>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</si>
  <si>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</si>
  <si>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</si>
  <si>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</si>
  <si>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</si>
  <si>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</si>
  <si>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</si>
  <si>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</si>
  <si>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</si>
  <si>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</si>
  <si>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</si>
  <si>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</si>
  <si>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</si>
  <si>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</si>
  <si>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</si>
  <si>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</si>
  <si>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</si>
  <si>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</si>
  <si>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</si>
  <si>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</si>
  <si>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</si>
  <si>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</si>
  <si>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</si>
  <si>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</si>
  <si>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</si>
  <si>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</si>
  <si>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</si>
  <si>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</si>
  <si>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</si>
  <si>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</si>
  <si>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</si>
  <si>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</si>
  <si>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</si>
  <si>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</si>
  <si>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</si>
  <si>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</si>
  <si>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</si>
  <si>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</si>
  <si>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</si>
  <si>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</si>
  <si>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</si>
  <si>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</si>
  <si>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</si>
  <si>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</si>
  <si>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</si>
  <si>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</si>
  <si>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</si>
  <si>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</si>
  <si>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</si>
  <si>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</si>
  <si>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</si>
  <si>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</si>
  <si>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</si>
  <si>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</si>
  <si>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</si>
  <si>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</si>
  <si>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</si>
  <si>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</si>
  <si>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</si>
  <si>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</si>
  <si>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</si>
  <si>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</si>
  <si>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</si>
  <si>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</si>
  <si>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</si>
  <si>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</si>
  <si>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</si>
  <si>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</si>
  <si>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</si>
  <si>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</si>
  <si>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</si>
  <si>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</si>
  <si>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</si>
  <si>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</si>
  <si>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</si>
  <si>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</si>
  <si>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</si>
  <si>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</si>
  <si>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</si>
  <si>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</si>
  <si>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</si>
  <si>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</si>
  <si>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</si>
  <si>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</si>
  <si>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</si>
  <si>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</si>
  <si>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</si>
  <si>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</si>
  <si>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</si>
  <si>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</si>
  <si>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</si>
  <si>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</si>
  <si>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</si>
  <si>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</si>
  <si>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</si>
  <si>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</si>
  <si>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</si>
  <si>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</si>
  <si>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</si>
  <si>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</si>
  <si>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</si>
  <si>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</si>
  <si>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</si>
  <si>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</si>
  <si>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</si>
  <si>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</si>
  <si>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</si>
  <si>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</si>
  <si>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</si>
  <si>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</si>
  <si>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</si>
  <si>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</si>
  <si>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</si>
  <si>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</si>
  <si>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</si>
  <si>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</si>
  <si>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</si>
  <si>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</si>
  <si>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</si>
  <si>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</si>
  <si>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</si>
  <si>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</si>
  <si>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</si>
  <si>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</si>
  <si>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</si>
  <si>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</si>
  <si>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</si>
  <si>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</si>
  <si>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</si>
  <si>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</si>
  <si>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</si>
  <si>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</si>
  <si>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</si>
  <si>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</si>
  <si>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</si>
  <si>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</si>
  <si>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</si>
  <si>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</si>
  <si>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</si>
  <si>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</si>
  <si>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</si>
  <si>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</si>
  <si>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</si>
  <si>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</si>
  <si>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</si>
  <si>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</si>
  <si>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</si>
  <si>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</si>
  <si>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</si>
  <si>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</si>
  <si>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</si>
  <si>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</si>
  <si>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</si>
  <si>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</si>
  <si>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</si>
  <si>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</si>
  <si>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</si>
  <si>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</si>
  <si>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</si>
  <si>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</si>
  <si>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</si>
  <si>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</si>
  <si>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</si>
  <si>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</si>
  <si>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</si>
  <si>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</si>
  <si>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</si>
  <si>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</si>
  <si>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</si>
  <si>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</si>
  <si>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</si>
  <si>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</si>
  <si>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</si>
  <si>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</si>
  <si>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</si>
  <si>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</si>
  <si>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</si>
  <si>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</si>
  <si>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</si>
  <si>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</si>
  <si>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</si>
  <si>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</si>
  <si>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</si>
  <si>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</si>
  <si>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</si>
  <si>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</si>
  <si>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</si>
  <si>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</si>
  <si>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</si>
  <si>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</si>
  <si>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</si>
  <si>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</si>
  <si>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</si>
  <si>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</si>
  <si>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</si>
  <si>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</si>
  <si>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</si>
  <si>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</si>
  <si>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</si>
  <si>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</si>
  <si>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</si>
  <si>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</si>
  <si>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</si>
  <si>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</si>
  <si>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</si>
  <si>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</si>
  <si>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</si>
  <si>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</si>
  <si>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</si>
  <si>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</si>
  <si>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</si>
  <si>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</si>
  <si>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</si>
  <si>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</si>
  <si>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</si>
  <si>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</si>
  <si>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</si>
  <si>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</si>
  <si>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</si>
  <si>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</si>
  <si>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</si>
  <si>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</si>
  <si>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</si>
  <si>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</si>
  <si>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</si>
  <si>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</si>
  <si>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</si>
  <si>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 xml:space="preserve"> Attachment 2 to Appendix IX</t>
  </si>
  <si>
    <t>Formula Rate Spreadsheet</t>
  </si>
  <si>
    <t xml:space="preserve">(2) </t>
  </si>
  <si>
    <t xml:space="preserve">(3) </t>
  </si>
  <si>
    <t>SCE records</t>
  </si>
  <si>
    <t>Internal Revenue Code § 11.b</t>
  </si>
  <si>
    <t>California Rev. &amp; Tax. Cd. § 23151</t>
  </si>
  <si>
    <t>D21-08-036</t>
  </si>
  <si>
    <t>2021-2024</t>
  </si>
  <si>
    <t>FF1 278, Line 35</t>
  </si>
  <si>
    <t>FF1 278, Line 36</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</si>
  <si>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</si>
  <si>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</si>
  <si>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</si>
  <si>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</si>
  <si>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</si>
  <si>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</si>
  <si>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</si>
  <si>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</si>
  <si>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</si>
  <si>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</si>
  <si>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</si>
  <si>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</si>
  <si>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</si>
  <si>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</si>
  <si>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</si>
  <si>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</si>
  <si>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</si>
  <si>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</si>
  <si>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</si>
  <si>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</si>
  <si>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</si>
  <si>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</si>
  <si>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</si>
  <si>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</si>
  <si>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</si>
  <si>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</si>
  <si>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</si>
  <si>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</si>
  <si>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</si>
  <si>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</si>
  <si>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</si>
  <si>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</si>
  <si>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</si>
  <si>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</si>
  <si>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</si>
  <si>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</si>
  <si>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</si>
  <si>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</si>
  <si>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</si>
  <si>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</si>
  <si>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</si>
  <si>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</si>
  <si>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</si>
  <si>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</si>
  <si>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</si>
  <si>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Dec 2022</t>
  </si>
  <si>
    <t>Line 17, column 3</t>
  </si>
  <si>
    <t xml:space="preserve">    </t>
  </si>
  <si>
    <t>C: Relates primarily to regulated Electric property</t>
  </si>
  <si>
    <t>C: Relates to employees in all functions</t>
  </si>
  <si>
    <t>Ins - Inj/Damage Prov</t>
  </si>
  <si>
    <t>Wildfire Reserve - Pre 2019</t>
  </si>
  <si>
    <t>Wildfire Reserve - Post 2018</t>
  </si>
  <si>
    <t>Follows tax treatment</t>
  </si>
  <si>
    <t>Decommissioning</t>
  </si>
  <si>
    <t>Relates to nuclear decommissioning costs</t>
  </si>
  <si>
    <t>Property/Non-ISO</t>
  </si>
  <si>
    <t>Non-rate base property</t>
  </si>
  <si>
    <t>Regulatory Assets/Liab</t>
  </si>
  <si>
    <t xml:space="preserve">Relates to nonrecovery balancing account  </t>
  </si>
  <si>
    <t>Temp-Other/Non-ISO</t>
  </si>
  <si>
    <t>Not component of rate base</t>
  </si>
  <si>
    <t>Net Operation Loss DTA</t>
  </si>
  <si>
    <t xml:space="preserve">NOL/DTA </t>
  </si>
  <si>
    <t>Property/Non-ISO - Gas</t>
  </si>
  <si>
    <t>Property/Non-ISO - Other</t>
  </si>
  <si>
    <t>Temp-Other/Non-ISO - Other</t>
  </si>
  <si>
    <t>Other non-ISO related costs</t>
  </si>
  <si>
    <t xml:space="preserve">Fully Normalized Deferred Tax </t>
  </si>
  <si>
    <t>Property-related FERC costs</t>
  </si>
  <si>
    <t>Property-related CPUC costs</t>
  </si>
  <si>
    <t>Capitalized software</t>
  </si>
  <si>
    <t>Property-related CPUC costs - cap software</t>
  </si>
  <si>
    <t>Gas related costs</t>
  </si>
  <si>
    <t>Ad Valorem Lien Date Adj-Electric</t>
  </si>
  <si>
    <t>Relates entirely to CPUC regulated property</t>
  </si>
  <si>
    <t>Relates entirely to FERC regulated Electric property</t>
  </si>
  <si>
    <t>C: Relates to regulated Electric property</t>
  </si>
  <si>
    <t>Balancing Accounts</t>
  </si>
  <si>
    <t>Relates entirely to CPUC balancing account recovery</t>
  </si>
  <si>
    <t>Temp - Other/Non-ISO</t>
  </si>
  <si>
    <t>Balancing Accounts - Gas</t>
  </si>
  <si>
    <t>Temp - Other/Non-ISO - Gas</t>
  </si>
  <si>
    <t>Balancing Accounts - Other</t>
  </si>
  <si>
    <t>Temp - Other/Non-ISO - Other</t>
  </si>
  <si>
    <t>Series G 5.1%</t>
  </si>
  <si>
    <t>Series H 5.75%</t>
  </si>
  <si>
    <t>Series J 5.375%</t>
  </si>
  <si>
    <t>Series K 5.45%</t>
  </si>
  <si>
    <t>Series L 5.00%</t>
  </si>
  <si>
    <t>Series B</t>
  </si>
  <si>
    <t>Series C</t>
  </si>
  <si>
    <t>Series D</t>
  </si>
  <si>
    <t>Series F</t>
  </si>
  <si>
    <t>Series G - Pro Rata Issuance Costs</t>
  </si>
  <si>
    <t xml:space="preserve">Pro rata portion of unamortized issuance costs associated with redeemed portion to be amortized </t>
  </si>
  <si>
    <t>as part of Net Gain (Loss) From Purchase and Tender Offers.</t>
  </si>
  <si>
    <t>4y</t>
  </si>
  <si>
    <t>Short Circuit Duty - Arc Flash</t>
  </si>
  <si>
    <t>4z</t>
  </si>
  <si>
    <t>Electrical Capacity Assessment</t>
  </si>
  <si>
    <t>4aa</t>
  </si>
  <si>
    <t>Wiretech- NON-AMI</t>
  </si>
  <si>
    <t>4bb</t>
  </si>
  <si>
    <t>RES-BCT Set-up Fee</t>
  </si>
  <si>
    <t>7c</t>
  </si>
  <si>
    <t>Sales of Water &amp; Water Power - Headwater</t>
  </si>
  <si>
    <t>10ff</t>
  </si>
  <si>
    <t>Operating Land &amp; Facilities Rent Expense</t>
  </si>
  <si>
    <t>Other Income Tax Adjustments</t>
  </si>
  <si>
    <t>Not Used</t>
  </si>
  <si>
    <t>25a</t>
  </si>
  <si>
    <t>Additional Expense Difference</t>
  </si>
  <si>
    <t xml:space="preserve">1) Only exclude if not already excluded in Schedule 20.  </t>
  </si>
  <si>
    <t>Line 6 + Line 7</t>
  </si>
  <si>
    <t>3) Franchise Fee Exclusion is equal to the Franchise Fee Factor on Schedule 28-FFU, Line 5</t>
  </si>
  <si>
    <t xml:space="preserve">compared to the Retail Base TRR.  </t>
  </si>
  <si>
    <t xml:space="preserve">1) Calculation of Total Expense Difference </t>
  </si>
  <si>
    <t>2) Calculation of the Wholesale Difference to the Base TRR</t>
  </si>
  <si>
    <t>Line 12 + Line 13</t>
  </si>
  <si>
    <t xml:space="preserve">Line 4 * Line 5 </t>
  </si>
  <si>
    <t>Adjustments to CO term for the True Up TRR</t>
  </si>
  <si>
    <t>times Line 9.</t>
  </si>
  <si>
    <t>25-WholesaleDifference, Line 14</t>
  </si>
  <si>
    <t>Line 60 + Line 61</t>
  </si>
  <si>
    <t>1-Base TRR L 63 + Line 25a</t>
  </si>
  <si>
    <t>- 1-Base TRR, L 80</t>
  </si>
  <si>
    <t>- 2-IFPTRR, L 80</t>
  </si>
  <si>
    <t xml:space="preserve">specifically include an amount of the South Georgia Adjustment applicable to the 2023 Prior Year of $2,606,000 in SCE’s Annual Update setting </t>
  </si>
  <si>
    <t>2026. No further amounts relating to the current SGA amount shall be included in SCE’s Formula Rate, as the SGA will be fully amortized after 2024.</t>
  </si>
  <si>
    <t xml:space="preserve">transmission rates for 2025 and, for the 2024 Prior Year, an amount of $1,303,000 in SCE’s Annual Update setting transmission rates for  </t>
  </si>
  <si>
    <t>2) If appropriate, additional expenses may be excluded from the Wholesale Base TRR.</t>
  </si>
  <si>
    <t>Note 3             Workpaper:</t>
  </si>
  <si>
    <t>Schedule 35, Line 61, C 4</t>
  </si>
  <si>
    <t>Schedule 35, Line 62, C 4</t>
  </si>
  <si>
    <t>2) Include any amount appropriate for the True Up TRR calculation for the Prior Year not already included in Line 63 of Schedule 1.  Such amounts will</t>
  </si>
  <si>
    <t>Note 2   Wkpaper:</t>
  </si>
  <si>
    <t xml:space="preserve">Line 2  + Line 3 </t>
  </si>
  <si>
    <t>3) Amortization subject to SCE private letter ruling #202141001.</t>
  </si>
  <si>
    <t>E: Exclude amount of costs transferred to account from A&amp;G Account 920 pursuant to Order 668.</t>
  </si>
  <si>
    <t>- Line 8</t>
  </si>
  <si>
    <t>Sum Line 9 to Line 11</t>
  </si>
  <si>
    <t>TO2024, Docket No. ER19-1553</t>
  </si>
  <si>
    <t>Jan 2023</t>
  </si>
  <si>
    <t>Feb 2023</t>
  </si>
  <si>
    <t>Mar 2023</t>
  </si>
  <si>
    <t>Apr 2023</t>
  </si>
  <si>
    <t>May 2023</t>
  </si>
  <si>
    <t>Jun 2023</t>
  </si>
  <si>
    <t>Jul 2023</t>
  </si>
  <si>
    <t>Aug 2023</t>
  </si>
  <si>
    <t>Sep 2023</t>
  </si>
  <si>
    <t>Oct 2023</t>
  </si>
  <si>
    <t>Nov 2023</t>
  </si>
  <si>
    <t>Dec 2023</t>
  </si>
  <si>
    <t>EDIT Gross Up - Gas</t>
  </si>
  <si>
    <t>Temp-Other/Non-ISO - Gas</t>
  </si>
  <si>
    <t>EDIT Gross Up - Other</t>
  </si>
  <si>
    <t>EMS - Other</t>
  </si>
  <si>
    <t>Ad Valorem Lien Date Adj-FERC</t>
  </si>
  <si>
    <t>EIDT Gross Up</t>
  </si>
  <si>
    <t>FF1 232, Line 55</t>
  </si>
  <si>
    <t>FF1 232, Line 56</t>
  </si>
  <si>
    <t>WP Schedule 35 Other Formula Revenue</t>
  </si>
  <si>
    <t>CSOD - NEMA SetUp-CS</t>
  </si>
  <si>
    <t>Engineering and Technical Services - Permissible Technological Advancement Fee</t>
  </si>
  <si>
    <t>NEMABACMA - NEM AGG Set-up Auto</t>
  </si>
  <si>
    <t>Series M 7.50%</t>
  </si>
  <si>
    <t>One month of amortization for 2023</t>
  </si>
  <si>
    <t>4.08%, 4.24%, 4.32%, and 4.78% preferred stock series</t>
  </si>
  <si>
    <t>4cc</t>
  </si>
  <si>
    <t>4dd</t>
  </si>
  <si>
    <t>4ee</t>
  </si>
  <si>
    <t>Docket No. ER24-1627</t>
  </si>
  <si>
    <t>FF1 263, Rows 39-47, Column o</t>
  </si>
  <si>
    <t>FF1 263, Row 5, Column o</t>
  </si>
  <si>
    <t>FF1 263, Row 6, Column o</t>
  </si>
  <si>
    <t>FF1 263, Row 7, Column o</t>
  </si>
  <si>
    <t>FF1 263, Row 8, Column o</t>
  </si>
  <si>
    <t>FF1 263, Row 15, Column o</t>
  </si>
  <si>
    <t>FF1 263, Row 13, Column o</t>
  </si>
  <si>
    <t>FF1 263, Row 12, Column o</t>
  </si>
  <si>
    <t>Schedule 28 - Workpaper Line 10</t>
  </si>
  <si>
    <t>WP Schedule 20 A&amp;G</t>
  </si>
  <si>
    <t>WP Schedule 4</t>
  </si>
  <si>
    <t>3) Other Income Tax Adjustments may be included as a component of "Credits and Other" in the Prior Year Income Tax calculation if filed with the Commission.</t>
  </si>
  <si>
    <t>P) Future Incentive Projects:</t>
  </si>
  <si>
    <t>O) Lugo-Victor-Kramer Incentives Received:</t>
  </si>
  <si>
    <t>187 FERC ¶ 61,205 at P33</t>
  </si>
  <si>
    <t>187 FERC ¶ 61,205 at P39</t>
  </si>
  <si>
    <t>Col 15</t>
  </si>
  <si>
    <t>Lugo-Victor-Kramer</t>
  </si>
  <si>
    <t>3m) Project:</t>
  </si>
  <si>
    <t>3n) Project:</t>
  </si>
  <si>
    <t xml:space="preserve">Lugo-Victor-Kramer </t>
  </si>
  <si>
    <t>13) Lugo-Victor-Kramer</t>
  </si>
  <si>
    <t>Del Amo-Mesa-Serrano</t>
  </si>
  <si>
    <t>12) Del Amo-Mesa-Serrano</t>
  </si>
  <si>
    <t>n) Lugo-Victor-Kramer</t>
  </si>
  <si>
    <t>o) Future Incentive Projects</t>
  </si>
  <si>
    <t>14) Future Incentive Project</t>
  </si>
  <si>
    <t xml:space="preserve">TO2025 Annual Update </t>
  </si>
  <si>
    <t>2) Sum of project specific values from lines 55-79, 81-105, 107-131, 133-157, 159-183, 185-209, 211-235, 237-261, 263-287, 289-313, 315-339, 341-365, 367-391, …</t>
  </si>
  <si>
    <t>2) Enter forecast project specific values on lines 55-79, 81-105, 107-131, 133-157, 159-183, 185-209, 211-235, 237-261, 263-287, 289-313, 315-339, 341-365, 367-391, ...</t>
  </si>
  <si>
    <t>m) Del Amo-Mesa-Serrano</t>
  </si>
  <si>
    <t>J) Mesa Incentives Received:</t>
  </si>
  <si>
    <t>K) Alberhill Incentives Received:</t>
  </si>
  <si>
    <t>L) ELM Series Caps Incentives Received:</t>
  </si>
  <si>
    <t>M) Riverside Incentives Received:</t>
  </si>
  <si>
    <t>N) Del Amo-Mesa-Serrano Incentives Received:</t>
  </si>
  <si>
    <t xml:space="preserve">2025 TRBAA </t>
  </si>
  <si>
    <t xml:space="preserve"> ER25-267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</si>
</sst>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 numFmtId="209" formatCode="&quot;$&quot;#,##0;[Red]&quot;$&quot;#,##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b/>
      <i/>
      <sz val="8"/>
      <name val="Arial"/>
      <family val="2"/>
    </font>
    <font>
      <strike/>
      <u/>
      <sz val="10"/>
      <color rgb="FFFF0000"/>
      <name val="Arial"/>
      <family val="2"/>
    </font>
    <font>
      <sz val="11"/>
      <color theme="1"/>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FFFF00"/>
        <bgColor rgb="FF000000"/>
      </patternFill>
    </fill>
  </fills>
  <borders count="68">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7">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0" fillId="0" borderId="0"/>
    <xf numFmtId="9" fontId="2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0" fillId="0" borderId="0"/>
    <xf numFmtId="0" fontId="71"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7" fillId="0" borderId="0" applyFont="0" applyFill="0" applyBorder="0" applyAlignment="0" applyProtection="0"/>
    <xf numFmtId="0" fontId="87" fillId="0" borderId="0"/>
    <xf numFmtId="183" fontId="87" fillId="0" borderId="0"/>
    <xf numFmtId="184" fontId="87" fillId="0" borderId="0"/>
    <xf numFmtId="185" fontId="87" fillId="0" borderId="0"/>
    <xf numFmtId="183" fontId="87" fillId="0" borderId="0"/>
    <xf numFmtId="184" fontId="87" fillId="0" borderId="0"/>
    <xf numFmtId="184" fontId="87" fillId="0" borderId="0"/>
    <xf numFmtId="184" fontId="87" fillId="0" borderId="0"/>
    <xf numFmtId="0" fontId="87" fillId="0" borderId="0"/>
    <xf numFmtId="183" fontId="87" fillId="0" borderId="0"/>
    <xf numFmtId="184" fontId="87" fillId="0" borderId="0"/>
    <xf numFmtId="185" fontId="87" fillId="0" borderId="0"/>
    <xf numFmtId="183" fontId="87" fillId="0" borderId="0"/>
    <xf numFmtId="184" fontId="87" fillId="0" borderId="0"/>
    <xf numFmtId="184" fontId="87" fillId="0" borderId="0"/>
    <xf numFmtId="184" fontId="87" fillId="0" borderId="0"/>
    <xf numFmtId="183" fontId="88" fillId="0" borderId="0" applyNumberFormat="0" applyFill="0" applyBorder="0" applyAlignment="0" applyProtection="0">
      <alignment vertical="top"/>
    </xf>
    <xf numFmtId="184" fontId="88" fillId="0" borderId="0" applyNumberFormat="0" applyFill="0" applyBorder="0" applyAlignment="0" applyProtection="0">
      <alignment vertical="top"/>
    </xf>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28" applyBorder="0">
      <alignment horizontal="left"/>
    </xf>
    <xf numFmtId="184" fontId="91" fillId="0" borderId="28"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2"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2" fillId="31" borderId="0" applyNumberFormat="0" applyBorder="0" applyAlignment="0" applyProtection="0"/>
    <xf numFmtId="0" fontId="38" fillId="76"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38" fillId="76"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86" fillId="48" borderId="0" applyNumberFormat="0" applyBorder="0" applyAlignment="0" applyProtection="0"/>
    <xf numFmtId="182" fontId="86"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0"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2"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2" fillId="4" borderId="0" applyNumberFormat="0" applyBorder="0" applyAlignment="0" applyProtection="0"/>
    <xf numFmtId="0" fontId="38"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38" fillId="4"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86" fillId="52" borderId="0" applyNumberFormat="0" applyBorder="0" applyAlignment="0" applyProtection="0"/>
    <xf numFmtId="182" fontId="86"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0"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2"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2" fillId="15" borderId="0" applyNumberFormat="0" applyBorder="0" applyAlignment="0" applyProtection="0"/>
    <xf numFmtId="0" fontId="38" fillId="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38" fillId="5"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86" fillId="56" borderId="0" applyNumberFormat="0" applyBorder="0" applyAlignment="0" applyProtection="0"/>
    <xf numFmtId="182" fontId="86"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0"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2"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2" fillId="75" borderId="0" applyNumberFormat="0" applyBorder="0" applyAlignment="0" applyProtection="0"/>
    <xf numFmtId="0" fontId="38" fillId="77"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38" fillId="77"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86" fillId="60" borderId="0" applyNumberFormat="0" applyBorder="0" applyAlignment="0" applyProtection="0"/>
    <xf numFmtId="182" fontId="86"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2"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2" fillId="31" borderId="0" applyNumberFormat="0" applyBorder="0" applyAlignment="0" applyProtection="0"/>
    <xf numFmtId="0" fontId="38" fillId="78"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38" fillId="78"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86" fillId="64" borderId="0" applyNumberFormat="0" applyBorder="0" applyAlignment="0" applyProtection="0"/>
    <xf numFmtId="182" fontId="86"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0"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2"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2" fillId="74" borderId="0" applyNumberFormat="0" applyBorder="0" applyAlignment="0" applyProtection="0"/>
    <xf numFmtId="0" fontId="38" fillId="7"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38" fillId="7"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86" fillId="68" borderId="0" applyNumberFormat="0" applyBorder="0" applyAlignment="0" applyProtection="0"/>
    <xf numFmtId="182" fontId="86"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6" fillId="53" borderId="0" applyNumberFormat="0" applyBorder="0" applyAlignment="0" applyProtection="0"/>
    <xf numFmtId="184" fontId="86"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6" fillId="57" borderId="0" applyNumberFormat="0" applyBorder="0" applyAlignment="0" applyProtection="0"/>
    <xf numFmtId="184" fontId="86"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6" fillId="61" borderId="0" applyNumberFormat="0" applyBorder="0" applyAlignment="0" applyProtection="0"/>
    <xf numFmtId="184" fontId="86"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6" fillId="65" borderId="0" applyNumberFormat="0" applyBorder="0" applyAlignment="0" applyProtection="0"/>
    <xf numFmtId="184" fontId="86"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29">
      <alignment horizontal="center" vertical="center"/>
    </xf>
    <xf numFmtId="189" fontId="87" fillId="95" borderId="29">
      <alignment horizontal="center" vertical="center"/>
    </xf>
    <xf numFmtId="188" fontId="22" fillId="95" borderId="29">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3" fillId="2" borderId="0" applyNumberFormat="0" applyBorder="0" applyAlignment="0" applyProtection="0"/>
    <xf numFmtId="0"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2" fontId="94" fillId="20" borderId="0" applyNumberFormat="0" applyBorder="0" applyAlignment="0" applyProtection="0"/>
    <xf numFmtId="0"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7" fontId="95" fillId="13" borderId="0" applyNumberFormat="0" applyBorder="0" applyAlignment="0" applyProtection="0"/>
    <xf numFmtId="184" fontId="95" fillId="13" borderId="0" applyNumberFormat="0" applyBorder="0" applyAlignment="0" applyProtection="0"/>
    <xf numFmtId="184" fontId="77" fillId="39" borderId="0" applyNumberFormat="0" applyBorder="0" applyAlignment="0" applyProtection="0"/>
    <xf numFmtId="0"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94" fillId="20"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3" fontId="94" fillId="20" borderId="0" applyNumberFormat="0" applyBorder="0" applyAlignment="0" applyProtection="0"/>
    <xf numFmtId="184" fontId="94" fillId="20" borderId="0" applyNumberFormat="0" applyBorder="0" applyAlignment="0" applyProtection="0"/>
    <xf numFmtId="184" fontId="94" fillId="20"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7" fontId="95" fillId="13" borderId="0" applyNumberFormat="0" applyBorder="0" applyAlignment="0" applyProtection="0"/>
    <xf numFmtId="0" fontId="93" fillId="2" borderId="0" applyNumberFormat="0" applyBorder="0" applyAlignment="0" applyProtection="0"/>
    <xf numFmtId="184" fontId="93" fillId="2" borderId="0" applyNumberFormat="0" applyBorder="0" applyAlignment="0" applyProtection="0"/>
    <xf numFmtId="184" fontId="95" fillId="13" borderId="0" applyNumberFormat="0" applyBorder="0" applyAlignment="0" applyProtection="0"/>
    <xf numFmtId="0" fontId="93" fillId="2"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0" fontId="93" fillId="2"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0" fontId="93" fillId="2" borderId="0" applyNumberFormat="0" applyBorder="0" applyAlignment="0" applyProtection="0"/>
    <xf numFmtId="0" fontId="95" fillId="13" borderId="0" applyNumberFormat="0" applyBorder="0" applyAlignment="0" applyProtection="0"/>
    <xf numFmtId="0"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2" fontId="77" fillId="39" borderId="0" applyNumberFormat="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5"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5"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7"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71" fontId="97" fillId="0" borderId="3" applyFont="0"/>
    <xf numFmtId="1" fontId="97" fillId="0" borderId="3"/>
    <xf numFmtId="9" fontId="98" fillId="0" borderId="28"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1" fillId="42" borderId="22" applyNumberFormat="0" applyAlignment="0" applyProtection="0"/>
    <xf numFmtId="0" fontId="99" fillId="75" borderId="30" applyNumberFormat="0" applyAlignment="0" applyProtection="0"/>
    <xf numFmtId="0"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0" fontId="100" fillId="96" borderId="31" applyNumberFormat="0" applyAlignment="0" applyProtection="0"/>
    <xf numFmtId="184" fontId="100" fillId="96" borderId="31" applyNumberFormat="0" applyAlignment="0" applyProtection="0"/>
    <xf numFmtId="184" fontId="99" fillId="75" borderId="30" applyNumberFormat="0" applyAlignment="0" applyProtection="0"/>
    <xf numFmtId="182" fontId="100" fillId="96" borderId="31" applyNumberFormat="0" applyAlignment="0" applyProtection="0"/>
    <xf numFmtId="0"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0" fillId="96" borderId="31"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3"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7" fontId="101" fillId="97" borderId="30" applyNumberFormat="0" applyAlignment="0" applyProtection="0"/>
    <xf numFmtId="0"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7"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99" fillId="75"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99" fillId="75" borderId="30"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81" fillId="42" borderId="22" applyNumberFormat="0" applyAlignment="0" applyProtection="0"/>
    <xf numFmtId="184" fontId="81" fillId="42" borderId="22" applyNumberFormat="0" applyAlignment="0" applyProtection="0"/>
    <xf numFmtId="0" fontId="100" fillId="96" borderId="31" applyNumberFormat="0" applyAlignment="0" applyProtection="0"/>
    <xf numFmtId="184" fontId="100" fillId="96" borderId="31" applyNumberFormat="0" applyAlignment="0" applyProtection="0"/>
    <xf numFmtId="184" fontId="81" fillId="42" borderId="22" applyNumberFormat="0" applyAlignment="0" applyProtection="0"/>
    <xf numFmtId="0" fontId="102" fillId="0" borderId="0" applyNumberFormat="0" applyFont="0" applyFill="0" applyBorder="0" applyProtection="0">
      <alignment horizontal="centerContinuous"/>
    </xf>
    <xf numFmtId="183"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5" fontId="102" fillId="0" borderId="0" applyNumberFormat="0" applyFont="0" applyFill="0" applyBorder="0" applyProtection="0">
      <alignment horizontal="centerContinuous"/>
    </xf>
    <xf numFmtId="183"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90" fontId="102" fillId="0" borderId="0" applyNumberFormat="0" applyFont="0" applyFill="0" applyBorder="0" applyProtection="0">
      <alignment horizontal="centerContinuous" wrapText="1"/>
    </xf>
    <xf numFmtId="191" fontId="21" fillId="0" borderId="0"/>
    <xf numFmtId="0" fontId="103" fillId="98" borderId="32" applyNumberFormat="0" applyAlignment="0" applyProtection="0"/>
    <xf numFmtId="0"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2" fontId="103" fillId="90" borderId="32" applyNumberFormat="0" applyAlignment="0" applyProtection="0"/>
    <xf numFmtId="0"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103" fillId="90" borderId="32" applyNumberFormat="0" applyAlignment="0" applyProtection="0"/>
    <xf numFmtId="183" fontId="103" fillId="14" borderId="32" applyNumberFormat="0" applyAlignment="0" applyProtection="0"/>
    <xf numFmtId="184" fontId="103" fillId="14" borderId="32" applyNumberFormat="0" applyAlignment="0" applyProtection="0"/>
    <xf numFmtId="183" fontId="103" fillId="90" borderId="32" applyNumberFormat="0" applyAlignment="0" applyProtection="0"/>
    <xf numFmtId="184" fontId="103" fillId="90" borderId="32" applyNumberFormat="0" applyAlignment="0" applyProtection="0"/>
    <xf numFmtId="184" fontId="103" fillId="90" borderId="32" applyNumberFormat="0" applyAlignment="0" applyProtection="0"/>
    <xf numFmtId="183" fontId="103" fillId="98" borderId="32" applyNumberFormat="0" applyAlignment="0" applyProtection="0"/>
    <xf numFmtId="184" fontId="103" fillId="98" borderId="32" applyNumberFormat="0" applyAlignment="0" applyProtection="0"/>
    <xf numFmtId="185"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7" fontId="103" fillId="14" borderId="32" applyNumberFormat="0" applyAlignment="0" applyProtection="0"/>
    <xf numFmtId="0" fontId="103" fillId="98" borderId="32" applyNumberFormat="0" applyAlignment="0" applyProtection="0"/>
    <xf numFmtId="184" fontId="103" fillId="98" borderId="32" applyNumberFormat="0" applyAlignment="0" applyProtection="0"/>
    <xf numFmtId="184" fontId="103" fillId="14" borderId="32" applyNumberFormat="0" applyAlignment="0" applyProtection="0"/>
    <xf numFmtId="0" fontId="103" fillId="98" borderId="32" applyNumberFormat="0" applyAlignment="0" applyProtection="0"/>
    <xf numFmtId="183" fontId="103" fillId="14" borderId="32" applyNumberFormat="0" applyAlignment="0" applyProtection="0"/>
    <xf numFmtId="184" fontId="103" fillId="14" borderId="32"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98" borderId="32"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5"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2" fontId="83" fillId="43" borderId="25"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4" fillId="0" borderId="0" applyNumberFormat="0" applyAlignment="0">
      <alignment horizontal="left"/>
    </xf>
    <xf numFmtId="0"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7"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92" fontId="97" fillId="0" borderId="3"/>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5" fillId="0" borderId="0" applyFont="0" applyFill="0" applyBorder="0" applyAlignment="0" applyProtection="0"/>
    <xf numFmtId="6" fontId="106"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7" fillId="0" borderId="0">
      <protection locked="0"/>
    </xf>
    <xf numFmtId="4" fontId="108"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09" fillId="0" borderId="0" applyNumberFormat="0" applyAlignment="0">
      <alignment horizontal="left"/>
    </xf>
    <xf numFmtId="0"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7"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0" fillId="0" borderId="0" applyNumberFormat="0" applyFill="0" applyBorder="0" applyAlignment="0" applyProtection="0"/>
    <xf numFmtId="184" fontId="110"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5"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7" fontId="111" fillId="0" borderId="0" applyNumberFormat="0" applyFill="0" applyBorder="0" applyAlignment="0" applyProtection="0"/>
    <xf numFmtId="0" fontId="110" fillId="0" borderId="0" applyNumberFormat="0" applyFill="0" applyBorder="0" applyAlignment="0" applyProtection="0"/>
    <xf numFmtId="184" fontId="110" fillId="0" borderId="0" applyNumberFormat="0" applyFill="0" applyBorder="0" applyAlignment="0" applyProtection="0"/>
    <xf numFmtId="184" fontId="111" fillId="0" borderId="0" applyNumberFormat="0" applyFill="0" applyBorder="0" applyAlignment="0" applyProtection="0"/>
    <xf numFmtId="0" fontId="110"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0"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5"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08"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3" fillId="0" borderId="0"/>
    <xf numFmtId="0" fontId="112" fillId="71" borderId="0" applyNumberFormat="0" applyBorder="0" applyAlignment="0" applyProtection="0"/>
    <xf numFmtId="0"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2" fontId="37" fillId="86" borderId="0" applyNumberFormat="0" applyBorder="0" applyAlignment="0" applyProtection="0"/>
    <xf numFmtId="0"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7" fontId="112" fillId="101" borderId="0" applyNumberFormat="0" applyBorder="0" applyAlignment="0" applyProtection="0"/>
    <xf numFmtId="184" fontId="112" fillId="101" borderId="0" applyNumberFormat="0" applyBorder="0" applyAlignment="0" applyProtection="0"/>
    <xf numFmtId="184" fontId="76" fillId="38" borderId="0" applyNumberFormat="0" applyBorder="0" applyAlignment="0" applyProtection="0"/>
    <xf numFmtId="0"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37" fillId="86"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5"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7" fontId="112" fillId="101" borderId="0" applyNumberFormat="0" applyBorder="0" applyAlignment="0" applyProtection="0"/>
    <xf numFmtId="0" fontId="112" fillId="71" borderId="0" applyNumberFormat="0" applyBorder="0" applyAlignment="0" applyProtection="0"/>
    <xf numFmtId="184" fontId="112" fillId="71" borderId="0" applyNumberFormat="0" applyBorder="0" applyAlignment="0" applyProtection="0"/>
    <xf numFmtId="184" fontId="112" fillId="101" borderId="0" applyNumberFormat="0" applyBorder="0" applyAlignment="0" applyProtection="0"/>
    <xf numFmtId="0" fontId="112" fillId="7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0" fontId="112" fillId="71"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0"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5"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2" fontId="76"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3" fillId="0" borderId="0" applyNumberFormat="0" applyFill="0" applyBorder="0" applyAlignment="0" applyProtection="0"/>
    <xf numFmtId="185"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7"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67" fillId="0" borderId="17" applyNumberFormat="0" applyAlignment="0" applyProtection="0">
      <alignment horizontal="left" vertical="center"/>
    </xf>
    <xf numFmtId="0"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5"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5"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7"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0" fontId="67" fillId="0" borderId="9">
      <alignment horizontal="left" vertical="center"/>
    </xf>
    <xf numFmtId="0"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7" fontId="67" fillId="0" borderId="9">
      <alignment horizontal="left" vertical="center"/>
    </xf>
    <xf numFmtId="187" fontId="67" fillId="0" borderId="9">
      <alignment horizontal="left" vertical="center"/>
    </xf>
    <xf numFmtId="187" fontId="67" fillId="0" borderId="9">
      <alignment horizontal="left" vertical="center"/>
    </xf>
    <xf numFmtId="187"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114" fillId="0" borderId="33" applyNumberFormat="0" applyFill="0" applyAlignment="0" applyProtection="0"/>
    <xf numFmtId="0"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2" fontId="115" fillId="0" borderId="34" applyNumberFormat="0" applyFill="0" applyAlignment="0" applyProtection="0"/>
    <xf numFmtId="0"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0"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5"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7" fontId="115" fillId="0" borderId="34" applyNumberFormat="0" applyFill="0" applyAlignment="0" applyProtection="0"/>
    <xf numFmtId="0" fontId="114" fillId="0" borderId="33" applyNumberFormat="0" applyFill="0" applyAlignment="0" applyProtection="0"/>
    <xf numFmtId="184" fontId="114" fillId="0" borderId="33" applyNumberFormat="0" applyFill="0" applyAlignment="0" applyProtection="0"/>
    <xf numFmtId="184" fontId="115" fillId="0" borderId="34" applyNumberFormat="0" applyFill="0" applyAlignment="0" applyProtection="0"/>
    <xf numFmtId="0" fontId="114" fillId="0" borderId="33"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4" fillId="0" borderId="33"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5"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0"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2" fontId="73" fillId="0" borderId="19" applyNumberFormat="0" applyFill="0" applyAlignment="0" applyProtection="0"/>
    <xf numFmtId="0" fontId="116" fillId="0" borderId="35" applyNumberFormat="0" applyFill="0" applyAlignment="0" applyProtection="0"/>
    <xf numFmtId="0"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2" fontId="117" fillId="0" borderId="36" applyNumberFormat="0" applyFill="0" applyAlignment="0" applyProtection="0"/>
    <xf numFmtId="0"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7" fillId="0" borderId="36" applyNumberFormat="0" applyFill="0" applyAlignment="0" applyProtection="0"/>
    <xf numFmtId="184" fontId="117" fillId="0" borderId="36" applyNumberFormat="0" applyFill="0" applyAlignment="0" applyProtection="0"/>
    <xf numFmtId="184" fontId="117" fillId="0" borderId="36"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5"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7" fontId="117" fillId="0" borderId="35" applyNumberFormat="0" applyFill="0" applyAlignment="0" applyProtection="0"/>
    <xf numFmtId="0" fontId="116" fillId="0" borderId="35" applyNumberFormat="0" applyFill="0" applyAlignment="0" applyProtection="0"/>
    <xf numFmtId="184" fontId="116" fillId="0" borderId="35" applyNumberFormat="0" applyFill="0" applyAlignment="0" applyProtection="0"/>
    <xf numFmtId="184" fontId="117" fillId="0" borderId="35" applyNumberFormat="0" applyFill="0" applyAlignment="0" applyProtection="0"/>
    <xf numFmtId="0" fontId="116"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6" fillId="0" borderId="35"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5"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2" fontId="74" fillId="0" borderId="20" applyNumberFormat="0" applyFill="0" applyAlignment="0" applyProtection="0"/>
    <xf numFmtId="0" fontId="118" fillId="0" borderId="37" applyNumberFormat="0" applyFill="0" applyAlignment="0" applyProtection="0"/>
    <xf numFmtId="0"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2" fontId="119" fillId="0" borderId="38" applyNumberFormat="0" applyFill="0" applyAlignment="0" applyProtection="0"/>
    <xf numFmtId="0"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119" fillId="0" borderId="38"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3" fontId="119" fillId="0" borderId="38" applyNumberFormat="0" applyFill="0" applyAlignment="0" applyProtection="0"/>
    <xf numFmtId="184" fontId="119" fillId="0" borderId="38" applyNumberFormat="0" applyFill="0" applyAlignment="0" applyProtection="0"/>
    <xf numFmtId="184" fontId="119" fillId="0" borderId="38"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5"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7" fontId="119" fillId="0" borderId="39" applyNumberFormat="0" applyFill="0" applyAlignment="0" applyProtection="0"/>
    <xf numFmtId="0" fontId="118" fillId="0" borderId="37" applyNumberFormat="0" applyFill="0" applyAlignment="0" applyProtection="0"/>
    <xf numFmtId="184" fontId="118" fillId="0" borderId="37" applyNumberFormat="0" applyFill="0" applyAlignment="0" applyProtection="0"/>
    <xf numFmtId="184" fontId="119" fillId="0" borderId="39" applyNumberFormat="0" applyFill="0" applyAlignment="0" applyProtection="0"/>
    <xf numFmtId="0" fontId="118" fillId="0" borderId="37"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8" fillId="0" borderId="37"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5"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2" fontId="75" fillId="0" borderId="21"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2" fontId="119"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5"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7" fontId="119" fillId="0" borderId="0" applyNumberFormat="0" applyFill="0" applyBorder="0" applyAlignment="0" applyProtection="0"/>
    <xf numFmtId="0" fontId="118" fillId="0" borderId="0" applyNumberFormat="0" applyFill="0" applyBorder="0" applyAlignment="0" applyProtection="0"/>
    <xf numFmtId="184" fontId="118" fillId="0" borderId="0" applyNumberFormat="0" applyFill="0" applyBorder="0" applyAlignment="0" applyProtection="0"/>
    <xf numFmtId="184" fontId="119" fillId="0" borderId="0" applyNumberFormat="0" applyFill="0" applyBorder="0" applyAlignment="0" applyProtection="0"/>
    <xf numFmtId="0" fontId="118"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8"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5"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0"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0" fillId="0" borderId="40">
      <alignment horizontal="center"/>
    </xf>
    <xf numFmtId="0" fontId="120" fillId="0" borderId="40">
      <alignment horizontal="center"/>
    </xf>
    <xf numFmtId="183"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3" fontId="120" fillId="0" borderId="40">
      <alignment horizontal="center"/>
    </xf>
    <xf numFmtId="184" fontId="120" fillId="0" borderId="40">
      <alignment horizontal="center"/>
    </xf>
    <xf numFmtId="187" fontId="120" fillId="0" borderId="40">
      <alignment horizontal="center"/>
    </xf>
    <xf numFmtId="184" fontId="120" fillId="0" borderId="40">
      <alignment horizontal="center"/>
    </xf>
    <xf numFmtId="184" fontId="120" fillId="0" borderId="40">
      <alignment horizontal="center"/>
    </xf>
    <xf numFmtId="0" fontId="120" fillId="0" borderId="0">
      <alignment horizontal="center"/>
    </xf>
    <xf numFmtId="0" fontId="120" fillId="0" borderId="0">
      <alignment horizontal="center"/>
    </xf>
    <xf numFmtId="183"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3" fontId="120" fillId="0" borderId="0">
      <alignment horizontal="center"/>
    </xf>
    <xf numFmtId="184" fontId="120" fillId="0" borderId="0">
      <alignment horizontal="center"/>
    </xf>
    <xf numFmtId="187" fontId="120" fillId="0" borderId="0">
      <alignment horizontal="center"/>
    </xf>
    <xf numFmtId="184" fontId="120" fillId="0" borderId="0">
      <alignment horizontal="center"/>
    </xf>
    <xf numFmtId="184" fontId="120" fillId="0" borderId="0">
      <alignment horizontal="center"/>
    </xf>
    <xf numFmtId="0" fontId="108" fillId="0" borderId="0" applyProtection="0">
      <alignment horizontal="right"/>
    </xf>
    <xf numFmtId="0" fontId="108" fillId="0" borderId="0" applyProtection="0">
      <alignment horizontal="right"/>
    </xf>
    <xf numFmtId="183" fontId="108" fillId="0" borderId="0" applyProtection="0">
      <alignment horizontal="right"/>
    </xf>
    <xf numFmtId="184" fontId="108" fillId="0" borderId="0" applyProtection="0">
      <alignment horizontal="right"/>
    </xf>
    <xf numFmtId="185" fontId="108" fillId="0" borderId="0" applyProtection="0">
      <alignment horizontal="right"/>
    </xf>
    <xf numFmtId="183" fontId="108" fillId="0" borderId="0" applyProtection="0">
      <alignment horizontal="right"/>
    </xf>
    <xf numFmtId="184" fontId="108" fillId="0" borderId="0" applyProtection="0">
      <alignment horizontal="right"/>
    </xf>
    <xf numFmtId="184" fontId="108" fillId="0" borderId="0" applyProtection="0">
      <alignment horizontal="right"/>
    </xf>
    <xf numFmtId="184" fontId="108" fillId="0" borderId="0" applyProtection="0">
      <alignment horizontal="right"/>
    </xf>
    <xf numFmtId="185" fontId="108" fillId="0" borderId="0" applyProtection="0">
      <alignment horizontal="right"/>
    </xf>
    <xf numFmtId="183" fontId="108" fillId="0" borderId="0" applyProtection="0">
      <alignment horizontal="right"/>
    </xf>
    <xf numFmtId="184" fontId="108" fillId="0" borderId="0" applyProtection="0">
      <alignment horizontal="right"/>
    </xf>
    <xf numFmtId="184" fontId="108" fillId="0" borderId="0" applyProtection="0">
      <alignment horizontal="right"/>
    </xf>
    <xf numFmtId="183" fontId="108" fillId="0" borderId="0" applyProtection="0">
      <alignment horizontal="right"/>
    </xf>
    <xf numFmtId="184" fontId="108" fillId="0" borderId="0" applyProtection="0">
      <alignment horizontal="right"/>
    </xf>
    <xf numFmtId="187" fontId="108" fillId="0" borderId="0" applyProtection="0">
      <alignment horizontal="right"/>
    </xf>
    <xf numFmtId="184" fontId="108" fillId="0" borderId="0" applyProtection="0">
      <alignment horizontal="right"/>
    </xf>
    <xf numFmtId="184" fontId="108"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1" fillId="0" borderId="41" applyNumberFormat="0" applyFill="0" applyAlignment="0" applyProtection="0"/>
    <xf numFmtId="185" fontId="121" fillId="0" borderId="41" applyNumberFormat="0" applyFill="0" applyAlignment="0" applyProtection="0"/>
    <xf numFmtId="0"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5"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7"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2" fillId="0" borderId="0" applyFill="0" applyBorder="0" applyAlignment="0" applyProtection="0">
      <alignment horizontal="right"/>
    </xf>
    <xf numFmtId="184" fontId="122"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79" fillId="41" borderId="22" applyNumberFormat="0" applyAlignment="0" applyProtection="0"/>
    <xf numFmtId="184" fontId="79" fillId="41" borderId="22"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0"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4" fontId="123" fillId="21" borderId="31" applyNumberFormat="0" applyAlignment="0" applyProtection="0"/>
    <xf numFmtId="184" fontId="124" fillId="74" borderId="30" applyNumberFormat="0" applyAlignment="0" applyProtection="0"/>
    <xf numFmtId="182" fontId="123" fillId="21" borderId="31"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1"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7" fontId="79" fillId="41" borderId="22" applyNumberFormat="0" applyAlignment="0" applyProtection="0"/>
    <xf numFmtId="0"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7" fontId="123" fillId="21" borderId="30" applyNumberFormat="0" applyAlignment="0" applyProtection="0"/>
    <xf numFmtId="187"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7" fontId="123" fillId="21" borderId="30" applyNumberFormat="0" applyAlignment="0" applyProtection="0"/>
    <xf numFmtId="187"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99" fontId="125"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6" fillId="0" borderId="42" applyNumberFormat="0" applyFill="0" applyAlignment="0" applyProtection="0"/>
    <xf numFmtId="0"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2" fontId="112" fillId="0" borderId="43" applyNumberFormat="0" applyFill="0" applyAlignment="0" applyProtection="0"/>
    <xf numFmtId="0"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112" fillId="0" borderId="43"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3" fontId="112" fillId="0" borderId="43" applyNumberFormat="0" applyFill="0" applyAlignment="0" applyProtection="0"/>
    <xf numFmtId="184" fontId="112" fillId="0" borderId="43" applyNumberFormat="0" applyFill="0" applyAlignment="0" applyProtection="0"/>
    <xf numFmtId="184" fontId="112" fillId="0" borderId="43"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5"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7" fontId="127" fillId="0" borderId="44" applyNumberFormat="0" applyFill="0" applyAlignment="0" applyProtection="0"/>
    <xf numFmtId="0" fontId="126" fillId="0" borderId="42" applyNumberFormat="0" applyFill="0" applyAlignment="0" applyProtection="0"/>
    <xf numFmtId="184" fontId="126" fillId="0" borderId="42" applyNumberFormat="0" applyFill="0" applyAlignment="0" applyProtection="0"/>
    <xf numFmtId="184" fontId="127" fillId="0" borderId="44" applyNumberFormat="0" applyFill="0" applyAlignment="0" applyProtection="0"/>
    <xf numFmtId="0" fontId="126" fillId="0" borderId="42"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6" fillId="0" borderId="42"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5"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2" fontId="82" fillId="0" borderId="24" applyNumberFormat="0" applyFill="0" applyAlignment="0" applyProtection="0"/>
    <xf numFmtId="183" fontId="128" fillId="103" borderId="0">
      <alignment horizontal="right"/>
    </xf>
    <xf numFmtId="184" fontId="128" fillId="103" borderId="0">
      <alignment horizontal="right"/>
    </xf>
    <xf numFmtId="17" fontId="129" fillId="0" borderId="0" applyFont="0" applyFill="0" applyBorder="0" applyAlignment="0" applyProtection="0">
      <alignment horizontal="centerContinuous"/>
      <protection locked="0"/>
    </xf>
    <xf numFmtId="0" fontId="130" fillId="25" borderId="0" applyNumberFormat="0" applyBorder="0" applyAlignment="0" applyProtection="0"/>
    <xf numFmtId="0"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2" fontId="112" fillId="21" borderId="0" applyNumberFormat="0" applyBorder="0" applyAlignment="0" applyProtection="0"/>
    <xf numFmtId="0"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7" fontId="130" fillId="21" borderId="0" applyNumberFormat="0" applyBorder="0" applyAlignment="0" applyProtection="0"/>
    <xf numFmtId="184" fontId="130" fillId="21" borderId="0" applyNumberFormat="0" applyBorder="0" applyAlignment="0" applyProtection="0"/>
    <xf numFmtId="184" fontId="78" fillId="40" borderId="0" applyNumberFormat="0" applyBorder="0" applyAlignment="0" applyProtection="0"/>
    <xf numFmtId="0"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0"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12"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3" fontId="112" fillId="21" borderId="0" applyNumberFormat="0" applyBorder="0" applyAlignment="0" applyProtection="0"/>
    <xf numFmtId="184" fontId="112" fillId="21" borderId="0" applyNumberFormat="0" applyBorder="0" applyAlignment="0" applyProtection="0"/>
    <xf numFmtId="184" fontId="112" fillId="21"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5"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7" fontId="78" fillId="40" borderId="0" applyNumberFormat="0" applyBorder="0" applyAlignment="0" applyProtection="0"/>
    <xf numFmtId="0" fontId="130" fillId="25" borderId="0" applyNumberFormat="0" applyBorder="0" applyAlignment="0" applyProtection="0"/>
    <xf numFmtId="184" fontId="130" fillId="25"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5"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0"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2" fontId="78" fillId="40" borderId="0" applyNumberFormat="0" applyBorder="0" applyAlignment="0" applyProtection="0"/>
    <xf numFmtId="37" fontId="131" fillId="0" borderId="0"/>
    <xf numFmtId="200" fontId="132"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3"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3" fillId="0" borderId="0"/>
    <xf numFmtId="183" fontId="133" fillId="0" borderId="0"/>
    <xf numFmtId="184" fontId="13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3" fillId="0" borderId="0"/>
    <xf numFmtId="185" fontId="133" fillId="0" borderId="0"/>
    <xf numFmtId="183" fontId="133" fillId="0" borderId="0"/>
    <xf numFmtId="183" fontId="133" fillId="0" borderId="0"/>
    <xf numFmtId="184" fontId="133" fillId="0" borderId="0"/>
    <xf numFmtId="0" fontId="5" fillId="0" borderId="0"/>
    <xf numFmtId="183" fontId="5" fillId="0" borderId="0"/>
    <xf numFmtId="184" fontId="5" fillId="0" borderId="0"/>
    <xf numFmtId="184" fontId="5" fillId="0" borderId="0"/>
    <xf numFmtId="184" fontId="133" fillId="0" borderId="0"/>
    <xf numFmtId="185" fontId="133" fillId="0" borderId="0"/>
    <xf numFmtId="183" fontId="133" fillId="0" borderId="0"/>
    <xf numFmtId="184" fontId="133" fillId="0" borderId="0"/>
    <xf numFmtId="184" fontId="13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3" fillId="0" borderId="0"/>
    <xf numFmtId="0" fontId="133" fillId="0" borderId="0"/>
    <xf numFmtId="183" fontId="133" fillId="0" borderId="0"/>
    <xf numFmtId="184" fontId="133" fillId="0" borderId="0"/>
    <xf numFmtId="184" fontId="133" fillId="0" borderId="0"/>
    <xf numFmtId="184" fontId="133"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7"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3" fillId="0" borderId="0"/>
    <xf numFmtId="0" fontId="23" fillId="104" borderId="0"/>
    <xf numFmtId="184" fontId="23" fillId="104" borderId="0"/>
    <xf numFmtId="184" fontId="53"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3" fillId="105" borderId="0" applyBorder="0" applyAlignment="0">
      <alignment horizontal="left"/>
    </xf>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0" fontId="5" fillId="44" borderId="26"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37"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1" fillId="26"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23" fillId="20" borderId="31"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37" fillId="26" borderId="45" applyNumberFormat="0" applyFont="0" applyAlignment="0" applyProtection="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5"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37" fillId="26" borderId="45"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0" fontId="37"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203" fontId="134" fillId="0" borderId="46" applyFont="0" applyFill="0" applyBorder="0" applyAlignment="0" applyProtection="0">
      <alignment horizontal="center"/>
      <protection locked="0"/>
    </xf>
    <xf numFmtId="203" fontId="134" fillId="0" borderId="46"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0" fillId="42" borderId="23" applyNumberFormat="0" applyAlignment="0" applyProtection="0"/>
    <xf numFmtId="0"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5" fillId="97" borderId="47" applyNumberFormat="0" applyAlignment="0" applyProtection="0"/>
    <xf numFmtId="0"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7"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0" fontId="135" fillId="96" borderId="47" applyNumberFormat="0" applyAlignment="0" applyProtection="0"/>
    <xf numFmtId="184" fontId="135" fillId="96" borderId="47" applyNumberFormat="0" applyAlignment="0" applyProtection="0"/>
    <xf numFmtId="184" fontId="135" fillId="75" borderId="47" applyNumberFormat="0" applyAlignment="0" applyProtection="0"/>
    <xf numFmtId="182" fontId="135" fillId="96" borderId="47" applyNumberFormat="0" applyAlignment="0" applyProtection="0"/>
    <xf numFmtId="0"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6"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3" fontId="135" fillId="96" borderId="47" applyNumberFormat="0" applyAlignment="0" applyProtection="0"/>
    <xf numFmtId="183" fontId="135" fillId="96" borderId="47" applyNumberFormat="0" applyAlignment="0" applyProtection="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5" fillId="0" borderId="0"/>
    <xf numFmtId="183" fontId="5" fillId="0" borderId="0"/>
    <xf numFmtId="184" fontId="5" fillId="0" borderId="0"/>
    <xf numFmtId="184" fontId="5" fillId="0" borderId="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135" fillId="96" borderId="47" applyNumberFormat="0" applyAlignment="0" applyProtection="0"/>
    <xf numFmtId="183" fontId="135" fillId="96" borderId="47" applyNumberFormat="0" applyAlignment="0" applyProtection="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75" borderId="47"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80" fillId="42" borderId="23" applyNumberFormat="0" applyAlignment="0" applyProtection="0"/>
    <xf numFmtId="184" fontId="80" fillId="42" borderId="23" applyNumberFormat="0" applyAlignment="0" applyProtection="0"/>
    <xf numFmtId="0" fontId="135" fillId="96" borderId="47" applyNumberFormat="0" applyAlignment="0" applyProtection="0"/>
    <xf numFmtId="184" fontId="135" fillId="96" borderId="47" applyNumberFormat="0" applyAlignment="0" applyProtection="0"/>
    <xf numFmtId="184" fontId="80" fillId="42" borderId="23" applyNumberFormat="0" applyAlignment="0" applyProtection="0"/>
    <xf numFmtId="10" fontId="136" fillId="0" borderId="48" applyFont="0" applyFill="0" applyBorder="0" applyAlignment="0" applyProtection="0">
      <alignment horizontal="center"/>
      <protection locked="0"/>
    </xf>
    <xf numFmtId="10" fontId="136" fillId="0" borderId="48"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7" fillId="0" borderId="0" applyFont="0" applyFill="0" applyBorder="0" applyProtection="0">
      <alignment horizontal="center"/>
    </xf>
    <xf numFmtId="190" fontId="137"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13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3" fillId="0" borderId="0" applyFont="0" applyAlignment="0">
      <alignment horizontal="center" wrapText="1"/>
    </xf>
    <xf numFmtId="9" fontId="33"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9" fillId="0" borderId="0" applyNumberFormat="0" applyFill="0" applyBorder="0" applyProtection="0">
      <alignment horizontal="right"/>
    </xf>
    <xf numFmtId="9" fontId="139"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0" fillId="106" borderId="0" applyNumberFormat="0" applyFont="0" applyBorder="0" applyAlignment="0">
      <alignment horizontal="center"/>
    </xf>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0" fillId="106" borderId="0" applyNumberFormat="0" applyFont="0" applyBorder="0" applyAlignment="0">
      <alignment horizontal="center"/>
    </xf>
    <xf numFmtId="184" fontId="140" fillId="106" borderId="0" applyNumberFormat="0" applyFont="0" applyBorder="0" applyAlignment="0">
      <alignment horizontal="center"/>
    </xf>
    <xf numFmtId="205" fontId="141" fillId="0" borderId="0" applyNumberFormat="0" applyFill="0" applyBorder="0" applyAlignment="0" applyProtection="0">
      <alignment horizontal="left"/>
    </xf>
    <xf numFmtId="205" fontId="141"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1" applyNumberFormat="0" applyProtection="0">
      <alignment vertical="center"/>
    </xf>
    <xf numFmtId="4" fontId="23" fillId="25" borderId="31" applyNumberFormat="0" applyProtection="0">
      <alignment vertical="center"/>
    </xf>
    <xf numFmtId="0" fontId="21" fillId="0" borderId="0"/>
    <xf numFmtId="184" fontId="21" fillId="0" borderId="0"/>
    <xf numFmtId="4" fontId="23" fillId="25" borderId="31" applyNumberFormat="0" applyProtection="0">
      <alignment vertical="center"/>
    </xf>
    <xf numFmtId="184" fontId="21" fillId="0" borderId="0"/>
    <xf numFmtId="4" fontId="42" fillId="25" borderId="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0" fontId="5" fillId="0" borderId="0"/>
    <xf numFmtId="183" fontId="5" fillId="0" borderId="0"/>
    <xf numFmtId="184" fontId="5" fillId="0" borderId="0"/>
    <xf numFmtId="184" fontId="5" fillId="0" borderId="0"/>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2" fillId="107" borderId="31" applyNumberFormat="0" applyProtection="0">
      <alignment vertical="center"/>
    </xf>
    <xf numFmtId="184" fontId="21" fillId="0" borderId="0"/>
    <xf numFmtId="4" fontId="44" fillId="25" borderId="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0" fontId="5" fillId="0" borderId="0"/>
    <xf numFmtId="183" fontId="5" fillId="0" borderId="0"/>
    <xf numFmtId="184" fontId="5" fillId="0" borderId="0"/>
    <xf numFmtId="184" fontId="5" fillId="0" borderId="0"/>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21" fillId="0" borderId="0"/>
    <xf numFmtId="184" fontId="21" fillId="0" borderId="0"/>
    <xf numFmtId="4" fontId="23" fillId="107" borderId="31" applyNumberFormat="0" applyProtection="0">
      <alignment horizontal="left" vertical="center" indent="1"/>
    </xf>
    <xf numFmtId="184" fontId="21" fillId="0" borderId="0"/>
    <xf numFmtId="4" fontId="42" fillId="25" borderId="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2" fillId="25" borderId="1" applyNumberFormat="0" applyProtection="0">
      <alignment horizontal="left" vertical="top" indent="1"/>
    </xf>
    <xf numFmtId="0" fontId="21" fillId="0" borderId="0"/>
    <xf numFmtId="184" fontId="21"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3" fillId="25" borderId="1" applyNumberFormat="0" applyProtection="0">
      <alignment horizontal="left" vertical="top" indent="1"/>
    </xf>
    <xf numFmtId="184" fontId="143" fillId="25" borderId="1" applyNumberFormat="0" applyProtection="0">
      <alignment horizontal="left" vertical="top" indent="1"/>
    </xf>
    <xf numFmtId="184" fontId="21" fillId="0" borderId="0"/>
    <xf numFmtId="182" fontId="143"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42"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21" fillId="0" borderId="0"/>
    <xf numFmtId="184" fontId="21" fillId="0" borderId="0"/>
    <xf numFmtId="4" fontId="23" fillId="2" borderId="31" applyNumberFormat="0" applyProtection="0">
      <alignment horizontal="right" vertical="center"/>
    </xf>
    <xf numFmtId="4" fontId="23" fillId="2" borderId="31" applyNumberFormat="0" applyProtection="0">
      <alignment horizontal="right" vertical="center"/>
    </xf>
    <xf numFmtId="0" fontId="21" fillId="0" borderId="0"/>
    <xf numFmtId="184" fontId="21" fillId="0" borderId="0"/>
    <xf numFmtId="4" fontId="23" fillId="2" borderId="31" applyNumberFormat="0" applyProtection="0">
      <alignment horizontal="right" vertical="center"/>
    </xf>
    <xf numFmtId="184" fontId="21" fillId="0" borderId="0"/>
    <xf numFmtId="4" fontId="40" fillId="2" borderId="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1" applyNumberFormat="0" applyProtection="0">
      <alignment horizontal="right" vertical="center"/>
    </xf>
    <xf numFmtId="4" fontId="23" fillId="108" borderId="31" applyNumberFormat="0" applyProtection="0">
      <alignment horizontal="right" vertical="center"/>
    </xf>
    <xf numFmtId="0" fontId="21" fillId="0" borderId="0"/>
    <xf numFmtId="184" fontId="21" fillId="0" borderId="0"/>
    <xf numFmtId="4" fontId="23" fillId="108" borderId="31" applyNumberFormat="0" applyProtection="0">
      <alignment horizontal="right" vertical="center"/>
    </xf>
    <xf numFmtId="184" fontId="21" fillId="0" borderId="0"/>
    <xf numFmtId="4" fontId="40" fillId="4" borderId="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0" applyNumberFormat="0" applyProtection="0">
      <alignment horizontal="right" vertical="center"/>
    </xf>
    <xf numFmtId="4" fontId="23" fillId="11" borderId="50" applyNumberFormat="0" applyProtection="0">
      <alignment horizontal="right" vertical="center"/>
    </xf>
    <xf numFmtId="0" fontId="21" fillId="0" borderId="0"/>
    <xf numFmtId="184" fontId="21" fillId="0" borderId="0"/>
    <xf numFmtId="184" fontId="21" fillId="0" borderId="0"/>
    <xf numFmtId="4" fontId="40" fillId="11" borderId="1"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1" applyNumberFormat="0" applyProtection="0">
      <alignment horizontal="right" vertical="center"/>
    </xf>
    <xf numFmtId="4" fontId="23" fillId="6" borderId="31" applyNumberFormat="0" applyProtection="0">
      <alignment horizontal="right" vertical="center"/>
    </xf>
    <xf numFmtId="0" fontId="21" fillId="0" borderId="0"/>
    <xf numFmtId="184" fontId="21" fillId="0" borderId="0"/>
    <xf numFmtId="4" fontId="23" fillId="6" borderId="31" applyNumberFormat="0" applyProtection="0">
      <alignment horizontal="right" vertical="center"/>
    </xf>
    <xf numFmtId="184" fontId="21" fillId="0" borderId="0"/>
    <xf numFmtId="4" fontId="40" fillId="6" borderId="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1" applyNumberFormat="0" applyProtection="0">
      <alignment horizontal="right" vertical="center"/>
    </xf>
    <xf numFmtId="4" fontId="23" fillId="7" borderId="31" applyNumberFormat="0" applyProtection="0">
      <alignment horizontal="right" vertical="center"/>
    </xf>
    <xf numFmtId="0" fontId="21" fillId="0" borderId="0"/>
    <xf numFmtId="184" fontId="21" fillId="0" borderId="0"/>
    <xf numFmtId="4" fontId="23" fillId="7" borderId="31" applyNumberFormat="0" applyProtection="0">
      <alignment horizontal="right" vertical="center"/>
    </xf>
    <xf numFmtId="184" fontId="21" fillId="0" borderId="0"/>
    <xf numFmtId="4" fontId="40" fillId="7" borderId="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1" applyNumberFormat="0" applyProtection="0">
      <alignment horizontal="right" vertical="center"/>
    </xf>
    <xf numFmtId="4" fontId="23" fillId="19" borderId="31" applyNumberFormat="0" applyProtection="0">
      <alignment horizontal="right" vertical="center"/>
    </xf>
    <xf numFmtId="0" fontId="21" fillId="0" borderId="0"/>
    <xf numFmtId="184" fontId="21" fillId="0" borderId="0"/>
    <xf numFmtId="4" fontId="23" fillId="19" borderId="31" applyNumberFormat="0" applyProtection="0">
      <alignment horizontal="right" vertical="center"/>
    </xf>
    <xf numFmtId="184" fontId="21" fillId="0" borderId="0"/>
    <xf numFmtId="4" fontId="40" fillId="19" borderId="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1" applyNumberFormat="0" applyProtection="0">
      <alignment horizontal="right" vertical="center"/>
    </xf>
    <xf numFmtId="4" fontId="23" fillId="15" borderId="31" applyNumberFormat="0" applyProtection="0">
      <alignment horizontal="right" vertical="center"/>
    </xf>
    <xf numFmtId="0" fontId="21" fillId="0" borderId="0"/>
    <xf numFmtId="184" fontId="21" fillId="0" borderId="0"/>
    <xf numFmtId="4" fontId="23" fillId="15" borderId="31" applyNumberFormat="0" applyProtection="0">
      <alignment horizontal="right" vertical="center"/>
    </xf>
    <xf numFmtId="184" fontId="21" fillId="0" borderId="0"/>
    <xf numFmtId="4" fontId="40" fillId="15" borderId="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1" applyNumberFormat="0" applyProtection="0">
      <alignment horizontal="right" vertical="center"/>
    </xf>
    <xf numFmtId="4" fontId="23" fillId="28" borderId="31" applyNumberFormat="0" applyProtection="0">
      <alignment horizontal="right" vertical="center"/>
    </xf>
    <xf numFmtId="0" fontId="21" fillId="0" borderId="0"/>
    <xf numFmtId="184" fontId="21" fillId="0" borderId="0"/>
    <xf numFmtId="4" fontId="23" fillId="28" borderId="31" applyNumberFormat="0" applyProtection="0">
      <alignment horizontal="right" vertical="center"/>
    </xf>
    <xf numFmtId="184" fontId="21" fillId="0" borderId="0"/>
    <xf numFmtId="4" fontId="40" fillId="28" borderId="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1" applyNumberFormat="0" applyProtection="0">
      <alignment horizontal="right" vertical="center"/>
    </xf>
    <xf numFmtId="4" fontId="23" fillId="5" borderId="31" applyNumberFormat="0" applyProtection="0">
      <alignment horizontal="right" vertical="center"/>
    </xf>
    <xf numFmtId="0" fontId="21" fillId="0" borderId="0"/>
    <xf numFmtId="184" fontId="21" fillId="0" borderId="0"/>
    <xf numFmtId="4" fontId="23" fillId="5" borderId="31" applyNumberFormat="0" applyProtection="0">
      <alignment horizontal="right" vertical="center"/>
    </xf>
    <xf numFmtId="184" fontId="21" fillId="0" borderId="0"/>
    <xf numFmtId="4" fontId="40" fillId="5" borderId="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0" fontId="21" fillId="0" borderId="0"/>
    <xf numFmtId="184" fontId="21" fillId="0" borderId="0"/>
    <xf numFmtId="184" fontId="21" fillId="0" borderId="0"/>
    <xf numFmtId="4" fontId="42" fillId="29" borderId="2"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42"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0" fillId="30"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5" fillId="31"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5"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1" applyNumberFormat="0" applyProtection="0">
      <alignment horizontal="right" vertical="center"/>
    </xf>
    <xf numFmtId="4" fontId="23" fillId="27" borderId="31" applyNumberFormat="0" applyProtection="0">
      <alignment horizontal="right" vertical="center"/>
    </xf>
    <xf numFmtId="0" fontId="21" fillId="0" borderId="0"/>
    <xf numFmtId="184" fontId="21" fillId="0" borderId="0"/>
    <xf numFmtId="4" fontId="23" fillId="27" borderId="31" applyNumberFormat="0" applyProtection="0">
      <alignment horizontal="right" vertical="center"/>
    </xf>
    <xf numFmtId="184" fontId="21" fillId="0" borderId="0"/>
    <xf numFmtId="4" fontId="40" fillId="27" borderId="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0" fontId="21" fillId="0" borderId="0"/>
    <xf numFmtId="184" fontId="21" fillId="0" borderId="0"/>
    <xf numFmtId="184" fontId="21" fillId="0" borderId="0"/>
    <xf numFmtId="4" fontId="40" fillId="30" borderId="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0" fontId="21" fillId="0" borderId="0"/>
    <xf numFmtId="184" fontId="21" fillId="0" borderId="0"/>
    <xf numFmtId="184" fontId="21" fillId="0" borderId="0"/>
    <xf numFmtId="4" fontId="40" fillId="27" borderId="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1" fillId="0" borderId="0"/>
    <xf numFmtId="182" fontId="23" fillId="75" borderId="3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1" fillId="0" borderId="0"/>
    <xf numFmtId="182" fontId="23" fillId="109" borderId="3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1" fillId="0" borderId="0"/>
    <xf numFmtId="182" fontId="23" fillId="3" borderId="3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1" fillId="0" borderId="0"/>
    <xf numFmtId="182" fontId="23" fillId="30" borderId="3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1" applyNumberFormat="0">
      <protection locked="0"/>
    </xf>
    <xf numFmtId="184" fontId="23" fillId="32" borderId="51"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1" applyNumberFormat="0">
      <protection locked="0"/>
    </xf>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1" applyNumberFormat="0">
      <protection locked="0"/>
    </xf>
    <xf numFmtId="0" fontId="23" fillId="32" borderId="51" applyNumberFormat="0">
      <protection locked="0"/>
    </xf>
    <xf numFmtId="0" fontId="23" fillId="32" borderId="51"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184" fontId="23" fillId="32" borderId="51" applyNumberFormat="0">
      <protection locked="0"/>
    </xf>
    <xf numFmtId="182" fontId="144" fillId="31" borderId="52" applyBorder="0"/>
    <xf numFmtId="184" fontId="144" fillId="31" borderId="52" applyBorder="0"/>
    <xf numFmtId="182" fontId="144" fillId="31" borderId="52" applyBorder="0"/>
    <xf numFmtId="0"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185"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31" borderId="52" applyBorder="0"/>
    <xf numFmtId="184" fontId="144" fillId="31" borderId="52" applyBorder="0"/>
    <xf numFmtId="184" fontId="144" fillId="31" borderId="52" applyBorder="0"/>
    <xf numFmtId="0"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185"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31" borderId="52" applyBorder="0"/>
    <xf numFmtId="184" fontId="144" fillId="31" borderId="52" applyBorder="0"/>
    <xf numFmtId="184"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0"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4" fillId="31" borderId="52" applyBorder="0"/>
    <xf numFmtId="187"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0" fontId="21" fillId="0" borderId="0"/>
    <xf numFmtId="184" fontId="21" fillId="0" borderId="0"/>
    <xf numFmtId="0" fontId="21" fillId="0" borderId="0"/>
    <xf numFmtId="184" fontId="21" fillId="0" borderId="0"/>
    <xf numFmtId="4" fontId="136" fillId="26" borderId="1" applyNumberFormat="0" applyProtection="0">
      <alignment vertical="center"/>
    </xf>
    <xf numFmtId="184" fontId="21" fillId="0" borderId="0"/>
    <xf numFmtId="4" fontId="40" fillId="26" borderId="1" applyNumberFormat="0" applyProtection="0">
      <alignment vertical="center"/>
    </xf>
    <xf numFmtId="4" fontId="136" fillId="26" borderId="1" applyNumberFormat="0" applyProtection="0">
      <alignment vertical="center"/>
    </xf>
    <xf numFmtId="4" fontId="136" fillId="26" borderId="1" applyNumberFormat="0" applyProtection="0">
      <alignment vertical="center"/>
    </xf>
    <xf numFmtId="4" fontId="136" fillId="26" borderId="1" applyNumberFormat="0" applyProtection="0">
      <alignment vertical="center"/>
    </xf>
    <xf numFmtId="0" fontId="5" fillId="0" borderId="0"/>
    <xf numFmtId="183" fontId="5" fillId="0" borderId="0"/>
    <xf numFmtId="184" fontId="5" fillId="0" borderId="0"/>
    <xf numFmtId="184" fontId="5" fillId="0" borderId="0"/>
    <xf numFmtId="4" fontId="136"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26" borderId="1" applyNumberFormat="0" applyProtection="0">
      <alignment vertical="center"/>
    </xf>
    <xf numFmtId="4" fontId="142" fillId="102" borderId="3" applyNumberFormat="0" applyProtection="0">
      <alignment vertical="center"/>
    </xf>
    <xf numFmtId="4" fontId="142" fillId="102" borderId="3" applyNumberFormat="0" applyProtection="0">
      <alignment vertical="center"/>
    </xf>
    <xf numFmtId="0" fontId="5" fillId="0" borderId="0"/>
    <xf numFmtId="183" fontId="5" fillId="0" borderId="0"/>
    <xf numFmtId="184" fontId="5" fillId="0" borderId="0"/>
    <xf numFmtId="184" fontId="5" fillId="0" borderId="0"/>
    <xf numFmtId="4" fontId="46" fillId="26" borderId="1" applyNumberFormat="0" applyProtection="0">
      <alignment vertical="center"/>
    </xf>
    <xf numFmtId="4" fontId="46"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6" fillId="75" borderId="1" applyNumberFormat="0" applyProtection="0">
      <alignment horizontal="left" vertical="center" indent="1"/>
    </xf>
    <xf numFmtId="184" fontId="21" fillId="0" borderId="0"/>
    <xf numFmtId="4" fontId="40" fillId="26" borderId="1" applyNumberFormat="0" applyProtection="0">
      <alignment horizontal="left" vertical="center" indent="1"/>
    </xf>
    <xf numFmtId="4" fontId="136" fillId="75" borderId="1" applyNumberFormat="0" applyProtection="0">
      <alignment horizontal="left" vertical="center" indent="1"/>
    </xf>
    <xf numFmtId="4" fontId="136" fillId="75" borderId="1" applyNumberFormat="0" applyProtection="0">
      <alignment horizontal="left" vertical="center" indent="1"/>
    </xf>
    <xf numFmtId="4" fontId="136"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6"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0" fillId="26" borderId="1" applyNumberFormat="0" applyProtection="0">
      <alignment horizontal="left" vertical="top" indent="1"/>
    </xf>
    <xf numFmtId="0" fontId="21" fillId="0" borderId="0"/>
    <xf numFmtId="184" fontId="21"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6" fillId="26" borderId="1" applyNumberFormat="0" applyProtection="0">
      <alignment horizontal="left" vertical="top" indent="1"/>
    </xf>
    <xf numFmtId="184" fontId="136" fillId="26" borderId="1" applyNumberFormat="0" applyProtection="0">
      <alignment horizontal="left" vertical="top" indent="1"/>
    </xf>
    <xf numFmtId="184" fontId="21" fillId="0" borderId="0"/>
    <xf numFmtId="182" fontId="136"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30" borderId="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0" fillId="27" borderId="1" applyNumberFormat="0" applyProtection="0">
      <alignment horizontal="left" vertical="top" indent="1"/>
    </xf>
    <xf numFmtId="0" fontId="21" fillId="0" borderId="0"/>
    <xf numFmtId="184" fontId="21"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6" fillId="27" borderId="1" applyNumberFormat="0" applyProtection="0">
      <alignment horizontal="left" vertical="top" indent="1"/>
    </xf>
    <xf numFmtId="184" fontId="136" fillId="27" borderId="1" applyNumberFormat="0" applyProtection="0">
      <alignment horizontal="left" vertical="top" indent="1"/>
    </xf>
    <xf numFmtId="184" fontId="21" fillId="0" borderId="0"/>
    <xf numFmtId="182" fontId="136"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7" fillId="33" borderId="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47"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6" fillId="32" borderId="31" applyNumberFormat="0" applyProtection="0">
      <alignment horizontal="right" vertical="center"/>
    </xf>
    <xf numFmtId="184" fontId="21" fillId="0" borderId="0"/>
    <xf numFmtId="4" fontId="41" fillId="30" borderId="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0" fontId="5" fillId="0" borderId="0"/>
    <xf numFmtId="183" fontId="5" fillId="0" borderId="0"/>
    <xf numFmtId="184" fontId="5" fillId="0" borderId="0"/>
    <xf numFmtId="184" fontId="5" fillId="0" borderId="0"/>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7" fillId="0" borderId="0" applyNumberFormat="0" applyFill="0" applyBorder="0" applyAlignment="0">
      <alignment horizontal="center"/>
    </xf>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7" fillId="0" borderId="0" applyNumberFormat="0" applyFill="0" applyBorder="0" applyAlignment="0">
      <alignment horizontal="center"/>
    </xf>
    <xf numFmtId="184" fontId="147" fillId="0" borderId="0" applyNumberFormat="0" applyFill="0" applyBorder="0" applyAlignment="0">
      <alignment horizontal="center"/>
    </xf>
    <xf numFmtId="183" fontId="148" fillId="0" borderId="0">
      <alignment horizontal="right"/>
    </xf>
    <xf numFmtId="183" fontId="148" fillId="0" borderId="0">
      <alignment horizontal="right"/>
    </xf>
    <xf numFmtId="184" fontId="148"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49" fillId="0" borderId="0" applyBorder="0">
      <alignment horizontal="right"/>
    </xf>
    <xf numFmtId="40" fontId="149"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0" fillId="0" borderId="0">
      <alignment horizontal="left"/>
    </xf>
    <xf numFmtId="49" fontId="150"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1" fillId="112" borderId="0" applyNumberFormat="0" applyBorder="0" applyAlignment="0" applyProtection="0">
      <protection locked="0"/>
    </xf>
    <xf numFmtId="183" fontId="151" fillId="112" borderId="0" applyNumberFormat="0" applyBorder="0" applyAlignment="0" applyProtection="0">
      <protection locked="0"/>
    </xf>
    <xf numFmtId="184" fontId="151"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112" borderId="0" applyNumberFormat="0" applyBorder="0" applyAlignment="0" applyProtection="0">
      <protection locked="0"/>
    </xf>
    <xf numFmtId="0"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0" fontId="152" fillId="0" borderId="0" applyNumberFormat="0" applyFill="0" applyBorder="0" applyAlignment="0" applyProtection="0"/>
    <xf numFmtId="184" fontId="152" fillId="0" borderId="0" applyNumberFormat="0" applyFill="0" applyBorder="0" applyAlignment="0" applyProtection="0"/>
    <xf numFmtId="184" fontId="48" fillId="0" borderId="0" applyNumberFormat="0" applyFill="0" applyBorder="0" applyAlignment="0" applyProtection="0"/>
    <xf numFmtId="184" fontId="15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152"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15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4" fontId="72" fillId="0" borderId="0" applyNumberFormat="0" applyFill="0" applyBorder="0" applyAlignment="0" applyProtection="0"/>
    <xf numFmtId="182" fontId="72" fillId="0" borderId="0" applyNumberFormat="0" applyFill="0" applyBorder="0" applyAlignment="0" applyProtection="0"/>
    <xf numFmtId="182" fontId="51" fillId="0" borderId="27" applyNumberFormat="0" applyFill="0" applyAlignment="0" applyProtection="0"/>
    <xf numFmtId="0"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7"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3" applyNumberFormat="0" applyFill="0" applyAlignment="0" applyProtection="0"/>
    <xf numFmtId="182" fontId="39" fillId="0" borderId="54"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97" fontId="21" fillId="0" borderId="15">
      <protection locked="0"/>
    </xf>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1" fillId="0" borderId="15">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1" fillId="0" borderId="27" applyNumberFormat="0" applyFill="0" applyAlignment="0" applyProtection="0"/>
    <xf numFmtId="184" fontId="51" fillId="0" borderId="27"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51" fillId="0" borderId="27"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3" fillId="0" borderId="41" applyProtection="0"/>
    <xf numFmtId="3" fontId="153" fillId="0" borderId="41"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4"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182" fontId="155"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5"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4"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182" fontId="84" fillId="0" borderId="0" applyNumberFormat="0" applyFill="0" applyBorder="0" applyAlignment="0" applyProtection="0"/>
    <xf numFmtId="9" fontId="156" fillId="110" borderId="55" applyNumberFormat="0" applyFill="0" applyBorder="0" applyAlignment="0" applyProtection="0">
      <alignment horizontal="center"/>
      <protection locked="0"/>
    </xf>
    <xf numFmtId="9" fontId="156" fillId="110" borderId="55"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7" fillId="0" borderId="0" applyNumberFormat="0" applyFont="0" applyFill="0" applyBorder="0" applyProtection="0">
      <alignment wrapText="1"/>
    </xf>
    <xf numFmtId="190" fontId="97"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6" applyNumberFormat="0" applyFont="0" applyAlignment="0" applyProtection="0"/>
    <xf numFmtId="0" fontId="2" fillId="0" borderId="0"/>
    <xf numFmtId="43" fontId="2" fillId="0" borderId="0" applyFont="0" applyFill="0" applyBorder="0" applyAlignment="0" applyProtection="0"/>
    <xf numFmtId="41" fontId="16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52">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0" fillId="0" borderId="0" xfId="0" applyAlignment="1">
      <alignment horizontal="left" indent="1"/>
    </xf>
    <xf numFmtId="0" fontId="24" fillId="0" borderId="0" xfId="28"/>
    <xf numFmtId="0" fontId="24" fillId="0" borderId="0" xfId="28" applyAlignment="1">
      <alignment horizontal="left"/>
    </xf>
    <xf numFmtId="0" fontId="22" fillId="0" borderId="0" xfId="28" applyFont="1" applyAlignment="1">
      <alignment horizontal="left"/>
    </xf>
    <xf numFmtId="3" fontId="24" fillId="0" borderId="0" xfId="28" applyNumberFormat="1"/>
    <xf numFmtId="1" fontId="24" fillId="0" borderId="0" xfId="28" applyNumberFormat="1" applyAlignment="1">
      <alignment horizontal="center"/>
    </xf>
    <xf numFmtId="0" fontId="25" fillId="0" borderId="0" xfId="28" applyFont="1" applyAlignment="1">
      <alignment horizontal="center"/>
    </xf>
    <xf numFmtId="0" fontId="22" fillId="0" borderId="0" xfId="28" applyFont="1" applyAlignment="1">
      <alignment horizontal="center"/>
    </xf>
    <xf numFmtId="167" fontId="24" fillId="0" borderId="0" xfId="28" applyNumberFormat="1" applyAlignment="1">
      <alignment horizontal="right"/>
    </xf>
    <xf numFmtId="3" fontId="24" fillId="0" borderId="0" xfId="28" applyNumberFormat="1" applyAlignment="1">
      <alignment horizontal="left" indent="1"/>
    </xf>
    <xf numFmtId="0" fontId="24" fillId="0" borderId="0" xfId="28" applyAlignment="1">
      <alignment horizontal="right"/>
    </xf>
    <xf numFmtId="167" fontId="24" fillId="0" borderId="0" xfId="28" quotePrefix="1" applyNumberFormat="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8" fillId="0" borderId="0" xfId="0" applyFont="1"/>
    <xf numFmtId="165" fontId="28" fillId="0" borderId="0" xfId="0" applyNumberFormat="1" applyFont="1"/>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8"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2" fillId="0" borderId="0" xfId="0" applyFont="1" applyAlignment="1">
      <alignment horizontal="right"/>
    </xf>
    <xf numFmtId="0" fontId="22" fillId="0" borderId="0" xfId="0" applyFont="1" applyAlignment="1">
      <alignment horizontal="left" indent="1"/>
    </xf>
    <xf numFmtId="166" fontId="0" fillId="0" borderId="0" xfId="0" applyNumberForma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applyAlignment="1">
      <alignment horizontal="left"/>
    </xf>
    <xf numFmtId="0" fontId="24" fillId="0" borderId="0" xfId="28" applyAlignment="1">
      <alignment horizontal="left" indent="1"/>
    </xf>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Alignment="1">
      <alignment horizontal="right"/>
    </xf>
    <xf numFmtId="0" fontId="24" fillId="0" borderId="0" xfId="0" applyFont="1" applyAlignment="1">
      <alignment horizontal="center"/>
    </xf>
    <xf numFmtId="172" fontId="0" fillId="34" borderId="0" xfId="0" applyNumberFormat="1" applyFill="1"/>
    <xf numFmtId="0" fontId="22" fillId="0" borderId="0" xfId="0" applyFont="1" applyAlignment="1">
      <alignment wrapText="1"/>
    </xf>
    <xf numFmtId="164" fontId="28" fillId="0" borderId="0" xfId="0" applyNumberFormat="1" applyFont="1"/>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0" fontId="22" fillId="0" borderId="0" xfId="0" applyFont="1" applyAlignment="1">
      <alignment horizontal="left" indent="3"/>
    </xf>
    <xf numFmtId="164" fontId="0" fillId="36" borderId="0" xfId="0" applyNumberFormat="1" applyFill="1"/>
    <xf numFmtId="164" fontId="28" fillId="34" borderId="0" xfId="0" applyNumberFormat="1" applyFont="1" applyFill="1"/>
    <xf numFmtId="164" fontId="28" fillId="36" borderId="0" xfId="0" applyNumberFormat="1" applyFont="1" applyFill="1"/>
    <xf numFmtId="0" fontId="28" fillId="0" borderId="0" xfId="0" applyFont="1" applyAlignment="1">
      <alignment horizontal="center"/>
    </xf>
    <xf numFmtId="0" fontId="0" fillId="37" borderId="0" xfId="0" applyFill="1"/>
    <xf numFmtId="0" fontId="26" fillId="0" borderId="0" xfId="0" applyFont="1"/>
    <xf numFmtId="0" fontId="27" fillId="0" borderId="0" xfId="0" applyFont="1"/>
    <xf numFmtId="0" fontId="31" fillId="0" borderId="0" xfId="34" applyFont="1"/>
    <xf numFmtId="167" fontId="31" fillId="0" borderId="0" xfId="19" applyNumberFormat="1" applyFont="1" applyBorder="1"/>
    <xf numFmtId="0" fontId="31" fillId="0" borderId="0" xfId="34" applyFont="1" applyAlignment="1">
      <alignment horizontal="left"/>
    </xf>
    <xf numFmtId="10" fontId="31" fillId="0" borderId="0" xfId="37" applyNumberFormat="1" applyFont="1" applyBorder="1" applyAlignment="1">
      <alignment horizontal="left" indent="3"/>
    </xf>
    <xf numFmtId="0" fontId="31" fillId="0" borderId="0" xfId="34" applyFont="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0" fontId="31" fillId="0" borderId="0" xfId="28" applyFont="1"/>
    <xf numFmtId="164" fontId="0" fillId="0" borderId="0" xfId="0" applyNumberFormat="1" applyAlignment="1">
      <alignment horizontal="right" indent="1"/>
    </xf>
    <xf numFmtId="165" fontId="33" fillId="0" borderId="0" xfId="0" applyNumberFormat="1" applyFont="1"/>
    <xf numFmtId="165" fontId="34" fillId="0" borderId="0" xfId="0" applyNumberFormat="1" applyFont="1"/>
    <xf numFmtId="1" fontId="24"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4" fontId="28" fillId="36" borderId="0" xfId="19" applyNumberFormat="1" applyFont="1" applyFill="1" applyBorder="1"/>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xf numFmtId="0" fontId="22" fillId="0" borderId="0" xfId="34" applyFont="1" applyAlignment="1">
      <alignment horizontal="left" wrapText="1"/>
    </xf>
    <xf numFmtId="0" fontId="24" fillId="0" borderId="0" xfId="34" applyAlignment="1">
      <alignment horizontal="left" wrapText="1"/>
    </xf>
    <xf numFmtId="0" fontId="22" fillId="0" borderId="0" xfId="34" applyFont="1" applyAlignment="1">
      <alignment vertical="center" wrapText="1"/>
    </xf>
    <xf numFmtId="0" fontId="22" fillId="0" borderId="0" xfId="34" applyFont="1" applyAlignment="1">
      <alignment horizontal="center"/>
    </xf>
    <xf numFmtId="0" fontId="24" fillId="0" borderId="0" xfId="34"/>
    <xf numFmtId="0" fontId="24" fillId="36" borderId="0" xfId="34" applyFill="1"/>
    <xf numFmtId="41" fontId="24" fillId="0" borderId="0" xfId="34" applyNumberFormat="1"/>
    <xf numFmtId="10" fontId="24" fillId="0" borderId="0" xfId="34" applyNumberFormat="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Alignment="1">
      <alignment horizontal="right" wrapText="1"/>
    </xf>
    <xf numFmtId="0" fontId="22" fillId="0" borderId="0" xfId="34" applyFont="1" applyAlignment="1">
      <alignment horizontal="left" vertical="center" wrapText="1"/>
    </xf>
    <xf numFmtId="0" fontId="52" fillId="36" borderId="0" xfId="34" applyFont="1" applyFill="1"/>
    <xf numFmtId="0" fontId="22" fillId="36" borderId="0" xfId="0" applyFont="1" applyFill="1" applyAlignment="1">
      <alignment horizontal="center"/>
    </xf>
    <xf numFmtId="0" fontId="25" fillId="36" borderId="0" xfId="0" applyFont="1" applyFill="1" applyAlignment="1">
      <alignment horizontal="center"/>
    </xf>
    <xf numFmtId="0" fontId="22" fillId="0" borderId="3" xfId="0" applyFont="1" applyBorder="1" applyAlignment="1">
      <alignment horizontal="center"/>
    </xf>
    <xf numFmtId="0" fontId="22" fillId="0" borderId="3" xfId="0" applyFont="1" applyBorder="1" applyAlignment="1">
      <alignment horizontal="center" wrapText="1"/>
    </xf>
    <xf numFmtId="0" fontId="22" fillId="0" borderId="3" xfId="0" applyFont="1" applyBorder="1" applyAlignment="1">
      <alignment wrapText="1"/>
    </xf>
    <xf numFmtId="0" fontId="22" fillId="0" borderId="0" xfId="0" quotePrefix="1" applyFont="1"/>
    <xf numFmtId="37" fontId="22" fillId="0" borderId="0" xfId="0" applyNumberFormat="1" applyFont="1" applyAlignment="1">
      <alignment horizontal="center"/>
    </xf>
    <xf numFmtId="0" fontId="22" fillId="0" borderId="3" xfId="0" applyFont="1" applyBorder="1" applyAlignment="1">
      <alignment horizontal="right"/>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36"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10" fontId="53" fillId="0" borderId="0" xfId="0" applyNumberFormat="1" applyFont="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ill="1"/>
    <xf numFmtId="0" fontId="22" fillId="0" borderId="0" xfId="28" applyFont="1" applyAlignment="1">
      <alignment horizontal="left" vertical="center"/>
    </xf>
    <xf numFmtId="0" fontId="22" fillId="0" borderId="0" xfId="28" applyFont="1" applyAlignment="1">
      <alignment horizontal="center" vertical="center" wrapText="1"/>
    </xf>
    <xf numFmtId="0" fontId="22" fillId="0" borderId="0" xfId="28" applyFont="1" applyAlignment="1">
      <alignment horizontal="center" vertical="center"/>
    </xf>
    <xf numFmtId="0" fontId="24" fillId="0" borderId="0" xfId="28" applyAlignment="1">
      <alignment horizontal="left" vertical="center" indent="1"/>
    </xf>
    <xf numFmtId="164" fontId="24" fillId="0" borderId="0" xfId="28" applyNumberFormat="1" applyAlignment="1">
      <alignment horizontal="right" vertical="center" wrapText="1"/>
    </xf>
    <xf numFmtId="164" fontId="24" fillId="0" borderId="0" xfId="28" applyNumberFormat="1" applyAlignment="1">
      <alignment horizontal="right"/>
    </xf>
    <xf numFmtId="164" fontId="28" fillId="0" borderId="0" xfId="28" applyNumberFormat="1" applyFont="1" applyAlignment="1">
      <alignment horizontal="right" vertical="center" wrapText="1"/>
    </xf>
    <xf numFmtId="164" fontId="28" fillId="0" borderId="0" xfId="20" applyNumberFormat="1" applyFont="1" applyFill="1"/>
    <xf numFmtId="164" fontId="28" fillId="0" borderId="0" xfId="28" applyNumberFormat="1" applyFont="1" applyAlignment="1">
      <alignment horizontal="right"/>
    </xf>
    <xf numFmtId="164" fontId="24" fillId="0" borderId="0" xfId="28" applyNumberFormat="1" applyAlignment="1">
      <alignment vertical="center"/>
    </xf>
    <xf numFmtId="41" fontId="24" fillId="0" borderId="0" xfId="28" applyNumberFormat="1"/>
    <xf numFmtId="0" fontId="24" fillId="0" borderId="0" xfId="28" applyAlignment="1">
      <alignment horizontal="left" wrapText="1" indent="1"/>
    </xf>
    <xf numFmtId="164" fontId="24" fillId="0" borderId="0" xfId="28" applyNumberFormat="1"/>
    <xf numFmtId="164" fontId="35" fillId="0" borderId="0" xfId="20" applyNumberFormat="1" applyFont="1" applyFill="1"/>
    <xf numFmtId="42" fontId="35" fillId="0" borderId="0" xfId="28" applyNumberFormat="1" applyFont="1"/>
    <xf numFmtId="42" fontId="24" fillId="0" borderId="0" xfId="28" applyNumberFormat="1"/>
    <xf numFmtId="43" fontId="24" fillId="0" borderId="0" xfId="28" applyNumberFormat="1"/>
    <xf numFmtId="0" fontId="22" fillId="0" borderId="0" xfId="28" applyFont="1" applyAlignment="1">
      <alignment horizontal="center" wrapText="1"/>
    </xf>
    <xf numFmtId="0" fontId="25" fillId="0" borderId="0" xfId="28" applyFont="1"/>
    <xf numFmtId="0" fontId="24" fillId="0" borderId="0" xfId="28" applyAlignment="1">
      <alignment horizontal="right" vertical="center"/>
    </xf>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176" fontId="22" fillId="0" borderId="3" xfId="22"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176" fontId="24" fillId="0" borderId="0" xfId="22" applyFont="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52" fillId="0" borderId="0" xfId="22" quotePrefix="1" applyNumberFormat="1" applyFont="1" applyBorder="1" applyAlignment="1">
      <alignment horizontal="center"/>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Font="1" applyFill="1"/>
    <xf numFmtId="0" fontId="22" fillId="37" borderId="0" xfId="0" applyFont="1" applyFill="1"/>
    <xf numFmtId="37" fontId="57" fillId="0" borderId="0" xfId="22" quotePrefix="1" applyNumberFormat="1" applyFont="1" applyBorder="1" applyAlignment="1">
      <alignment horizontal="center"/>
    </xf>
    <xf numFmtId="0" fontId="22" fillId="37" borderId="3" xfId="0" applyFont="1" applyFill="1" applyBorder="1" applyAlignment="1">
      <alignment horizontal="center"/>
    </xf>
    <xf numFmtId="39" fontId="22" fillId="0" borderId="3" xfId="22" applyNumberFormat="1" applyFont="1" applyFill="1" applyBorder="1" applyAlignment="1">
      <alignment horizontal="right" wrapText="1"/>
    </xf>
    <xf numFmtId="0" fontId="22" fillId="36" borderId="3" xfId="0" quotePrefix="1" applyFont="1" applyFill="1" applyBorder="1"/>
    <xf numFmtId="39" fontId="22" fillId="36" borderId="3" xfId="22" quotePrefix="1" applyNumberFormat="1" applyFont="1" applyFill="1" applyBorder="1" applyAlignment="1">
      <alignment horizontal="center"/>
    </xf>
    <xf numFmtId="0" fontId="22" fillId="36" borderId="3" xfId="0"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164" fontId="22" fillId="0" borderId="0" xfId="0" applyNumberFormat="1" applyFont="1" applyAlignment="1">
      <alignment horizontal="center"/>
    </xf>
    <xf numFmtId="164" fontId="25" fillId="0" borderId="0" xfId="0" applyNumberFormat="1" applyFont="1" applyAlignment="1">
      <alignment horizontal="center"/>
    </xf>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0" fontId="29" fillId="0" borderId="0" xfId="27" applyAlignment="1" applyProtection="1"/>
    <xf numFmtId="0" fontId="0" fillId="0" borderId="0" xfId="0" applyAlignment="1">
      <alignment horizontal="left" indent="2"/>
    </xf>
    <xf numFmtId="166" fontId="53" fillId="0" borderId="0" xfId="0" quotePrefix="1" applyNumberFormat="1" applyFont="1" applyAlignment="1">
      <alignment horizontal="right"/>
    </xf>
    <xf numFmtId="168" fontId="28" fillId="0" borderId="0" xfId="0" applyNumberFormat="1" applyFont="1"/>
    <xf numFmtId="0" fontId="59" fillId="0" borderId="0" xfId="0" applyFont="1" applyAlignment="1">
      <alignment horizontal="center"/>
    </xf>
    <xf numFmtId="164" fontId="41" fillId="0" borderId="0" xfId="0" applyNumberFormat="1" applyFont="1"/>
    <xf numFmtId="0" fontId="0" fillId="36" borderId="0" xfId="0" applyFill="1" applyAlignment="1">
      <alignment horizontal="left" indent="1"/>
    </xf>
    <xf numFmtId="0" fontId="25" fillId="0" borderId="0" xfId="0" applyFont="1" applyAlignment="1">
      <alignment horizontal="left" indent="1"/>
    </xf>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2" fillId="36" borderId="0" xfId="0" quotePrefix="1" applyFont="1" applyFill="1" applyAlignment="1">
      <alignment vertical="center"/>
    </xf>
    <xf numFmtId="164" fontId="56" fillId="0" borderId="0" xfId="0" applyNumberFormat="1" applyFont="1" applyAlignment="1">
      <alignment horizontal="center"/>
    </xf>
    <xf numFmtId="165" fontId="21" fillId="0" borderId="0" xfId="0" applyNumberFormat="1" applyFont="1"/>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164" fontId="28" fillId="36" borderId="0" xfId="0" applyNumberFormat="1" applyFont="1" applyFill="1" applyAlignment="1">
      <alignment horizontal="right"/>
    </xf>
    <xf numFmtId="0" fontId="50" fillId="0" borderId="0" xfId="28" applyFont="1" applyAlignment="1">
      <alignment horizontal="left"/>
    </xf>
    <xf numFmtId="0" fontId="50" fillId="0" borderId="0" xfId="28" applyFont="1" applyAlignment="1">
      <alignment horizontal="center"/>
    </xf>
    <xf numFmtId="0" fontId="50" fillId="36" borderId="0" xfId="28"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50" fillId="0" borderId="0" xfId="28" applyFont="1" applyAlignment="1">
      <alignment horizontal="center" vertical="top"/>
    </xf>
    <xf numFmtId="0" fontId="25" fillId="0" borderId="0" xfId="0" quotePrefix="1" applyFont="1" applyAlignment="1">
      <alignment horizontal="center" vertical="top"/>
    </xf>
    <xf numFmtId="0" fontId="22" fillId="0" borderId="6" xfId="28" applyFont="1" applyBorder="1" applyAlignment="1">
      <alignment horizontal="center"/>
    </xf>
    <xf numFmtId="0" fontId="22" fillId="0" borderId="3" xfId="28" applyFont="1" applyBorder="1" applyAlignment="1">
      <alignment horizontal="center"/>
    </xf>
    <xf numFmtId="167" fontId="22" fillId="0" borderId="0" xfId="28" applyNumberFormat="1" applyFont="1" applyAlignment="1">
      <alignment horizontal="center"/>
    </xf>
    <xf numFmtId="167" fontId="22" fillId="0" borderId="0" xfId="28" applyNumberFormat="1" applyFont="1"/>
    <xf numFmtId="0" fontId="22" fillId="0" borderId="0" xfId="28" applyFont="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5" fillId="0" borderId="0" xfId="28" applyFont="1" applyAlignment="1">
      <alignment vertical="top" wrapText="1"/>
    </xf>
    <xf numFmtId="0" fontId="53" fillId="34" borderId="0" xfId="0" applyFont="1" applyFill="1"/>
    <xf numFmtId="0" fontId="53" fillId="0" borderId="0" xfId="0" applyFont="1" applyAlignment="1">
      <alignment horizontal="left" indent="2"/>
    </xf>
    <xf numFmtId="0" fontId="54" fillId="0" borderId="0" xfId="0" quotePrefix="1" applyFont="1" applyAlignment="1">
      <alignment horizontal="center"/>
    </xf>
    <xf numFmtId="0" fontId="53" fillId="0" borderId="0" xfId="0" quotePrefix="1" applyFont="1"/>
    <xf numFmtId="164" fontId="51" fillId="0" borderId="0" xfId="0" applyNumberFormat="1" applyFont="1" applyAlignment="1">
      <alignment horizontal="center"/>
    </xf>
    <xf numFmtId="0" fontId="21" fillId="0" borderId="0" xfId="0" applyFont="1" applyAlignment="1">
      <alignment horizontal="right"/>
    </xf>
    <xf numFmtId="0" fontId="21" fillId="0" borderId="0" xfId="0" applyFont="1" applyAlignment="1">
      <alignment horizontal="left" indent="1"/>
    </xf>
    <xf numFmtId="0" fontId="21" fillId="0" borderId="0" xfId="0" applyFont="1"/>
    <xf numFmtId="0" fontId="21" fillId="0" borderId="0" xfId="0" applyFont="1" applyAlignment="1">
      <alignment horizontal="center"/>
    </xf>
    <xf numFmtId="164" fontId="21" fillId="0" borderId="0" xfId="0" applyNumberFormat="1" applyFont="1"/>
    <xf numFmtId="179" fontId="21" fillId="34" borderId="0" xfId="35" applyNumberFormat="1" applyFont="1" applyFill="1" applyAlignment="1">
      <alignment horizontal="left"/>
    </xf>
    <xf numFmtId="179" fontId="21" fillId="0" borderId="0" xfId="35" applyNumberFormat="1" applyFont="1" applyAlignment="1">
      <alignment horizontal="left"/>
    </xf>
    <xf numFmtId="179" fontId="21" fillId="0" borderId="0" xfId="35" applyNumberFormat="1" applyFont="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xf numFmtId="10" fontId="0" fillId="0" borderId="0" xfId="37" applyNumberFormat="1" applyFont="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1" fillId="0" borderId="0" xfId="0" applyFont="1" applyAlignment="1">
      <alignment horizontal="right" indent="1"/>
    </xf>
    <xf numFmtId="0" fontId="21" fillId="0" borderId="0" xfId="0" applyFont="1" applyAlignment="1">
      <alignment horizontal="left" indent="2"/>
    </xf>
    <xf numFmtId="0" fontId="21" fillId="0" borderId="0" xfId="0" quotePrefix="1" applyFont="1" applyAlignment="1">
      <alignment horizontal="center" vertical="justify"/>
    </xf>
    <xf numFmtId="10" fontId="28" fillId="0" borderId="0" xfId="0" applyNumberFormat="1" applyFont="1"/>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Font="1" applyAlignment="1">
      <alignment horizontal="left"/>
    </xf>
    <xf numFmtId="164" fontId="21" fillId="36" borderId="0" xfId="0" applyNumberFormat="1" applyFont="1" applyFill="1"/>
    <xf numFmtId="0" fontId="21" fillId="0" borderId="0" xfId="28" applyFont="1" applyAlignment="1">
      <alignment horizontal="right"/>
    </xf>
    <xf numFmtId="3" fontId="21" fillId="0" borderId="0" xfId="28" applyNumberFormat="1" applyFont="1" applyAlignment="1">
      <alignment horizontal="left" indent="1"/>
    </xf>
    <xf numFmtId="1" fontId="21" fillId="0" borderId="0" xfId="28" applyNumberFormat="1" applyFont="1" applyAlignment="1">
      <alignment horizontal="center"/>
    </xf>
    <xf numFmtId="37" fontId="21" fillId="0" borderId="0" xfId="36" applyNumberFormat="1" applyFont="1" applyAlignment="1">
      <alignment horizontal="left" indent="1"/>
    </xf>
    <xf numFmtId="10" fontId="21" fillId="0" borderId="0" xfId="0" applyNumberFormat="1" applyFont="1"/>
    <xf numFmtId="0" fontId="21" fillId="36" borderId="0" xfId="34" applyFont="1" applyFill="1"/>
    <xf numFmtId="1" fontId="21" fillId="0" borderId="0" xfId="28" quotePrefix="1" applyNumberFormat="1" applyFont="1" applyAlignment="1">
      <alignment horizontal="right"/>
    </xf>
    <xf numFmtId="164" fontId="21" fillId="0" borderId="0" xfId="0" applyNumberFormat="1" applyFont="1" applyAlignment="1">
      <alignment horizontal="right"/>
    </xf>
    <xf numFmtId="164" fontId="22" fillId="0" borderId="0" xfId="0" applyNumberFormat="1" applyFont="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quotePrefix="1" applyFont="1" applyFill="1"/>
    <xf numFmtId="164" fontId="21" fillId="0" borderId="0" xfId="0" applyNumberFormat="1" applyFont="1" applyAlignment="1">
      <alignment horizontal="left" indent="1"/>
    </xf>
    <xf numFmtId="0" fontId="60" fillId="0" borderId="0" xfId="0" applyFont="1"/>
    <xf numFmtId="37" fontId="53" fillId="0" borderId="0" xfId="0" applyNumberFormat="1" applyFont="1"/>
    <xf numFmtId="165" fontId="53" fillId="0" borderId="0" xfId="0" applyNumberFormat="1" applyFont="1" applyAlignment="1">
      <alignment horizontal="left" indent="1"/>
    </xf>
    <xf numFmtId="164" fontId="55" fillId="0" borderId="0" xfId="0" applyNumberFormat="1" applyFont="1"/>
    <xf numFmtId="39" fontId="53" fillId="0" borderId="0" xfId="0" applyNumberFormat="1" applyFont="1" applyAlignment="1">
      <alignment horizontal="left" indent="1"/>
    </xf>
    <xf numFmtId="39" fontId="53" fillId="0" borderId="0" xfId="0" applyNumberFormat="1" applyFont="1"/>
    <xf numFmtId="0" fontId="21" fillId="36" borderId="0" xfId="0" quotePrefix="1" applyFont="1" applyFill="1" applyAlignment="1">
      <alignment horizontal="center"/>
    </xf>
    <xf numFmtId="170" fontId="21" fillId="0" borderId="0" xfId="0" applyNumberFormat="1" applyFont="1" applyAlignment="1">
      <alignment horizontal="center"/>
    </xf>
    <xf numFmtId="0" fontId="21" fillId="0" borderId="0" xfId="0" applyFont="1" applyAlignment="1">
      <alignment horizontal="left"/>
    </xf>
    <xf numFmtId="164" fontId="28" fillId="0" borderId="0" xfId="28" applyNumberFormat="1" applyFont="1"/>
    <xf numFmtId="37" fontId="21" fillId="0" borderId="0" xfId="0" applyNumberFormat="1" applyFont="1" applyAlignment="1">
      <alignment horizontal="left" indent="1"/>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Border="1"/>
    <xf numFmtId="39" fontId="21" fillId="0" borderId="3" xfId="22" applyNumberFormat="1" applyFont="1" applyFill="1" applyBorder="1" applyAlignment="1">
      <alignment horizontal="center"/>
    </xf>
    <xf numFmtId="0" fontId="21" fillId="0" borderId="0" xfId="0" applyFont="1" applyAlignment="1">
      <alignment vertical="top"/>
    </xf>
    <xf numFmtId="37" fontId="53" fillId="36" borderId="0" xfId="81" applyNumberFormat="1" applyFont="1" applyFill="1" applyAlignment="1">
      <alignment horizontal="right"/>
    </xf>
    <xf numFmtId="6" fontId="0" fillId="0" borderId="0" xfId="0" applyNumberFormat="1"/>
    <xf numFmtId="180" fontId="0" fillId="0" borderId="0" xfId="0" applyNumberFormat="1"/>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5" fillId="0" borderId="0" xfId="108" applyFont="1" applyAlignment="1">
      <alignment horizontal="center"/>
    </xf>
    <xf numFmtId="0" fontId="25" fillId="0" borderId="0" xfId="108" applyFont="1" applyAlignment="1">
      <alignment horizontal="left"/>
    </xf>
    <xf numFmtId="164" fontId="21" fillId="0" borderId="0" xfId="108" applyNumberFormat="1"/>
    <xf numFmtId="0" fontId="21" fillId="36" borderId="0" xfId="108" applyFill="1"/>
    <xf numFmtId="164" fontId="21" fillId="36" borderId="0" xfId="108" applyNumberFormat="1" applyFill="1"/>
    <xf numFmtId="164" fontId="28" fillId="36" borderId="0" xfId="108" applyNumberFormat="1" applyFont="1" applyFill="1"/>
    <xf numFmtId="3" fontId="31" fillId="0" borderId="0" xfId="34" applyNumberFormat="1" applyFont="1"/>
    <xf numFmtId="171" fontId="0" fillId="36" borderId="0" xfId="0" applyNumberFormat="1" applyFill="1"/>
    <xf numFmtId="167" fontId="21" fillId="0" borderId="0" xfId="28" applyNumberFormat="1" applyFont="1"/>
    <xf numFmtId="0" fontId="65" fillId="0" borderId="0" xfId="0" applyFont="1"/>
    <xf numFmtId="0" fontId="21" fillId="0" borderId="0" xfId="28" applyFont="1" applyAlignment="1" applyProtection="1">
      <alignment horizontal="left" indent="1"/>
      <protection locked="0"/>
    </xf>
    <xf numFmtId="0" fontId="21" fillId="0" borderId="0" xfId="100"/>
    <xf numFmtId="0" fontId="21" fillId="0" borderId="0" xfId="100" applyAlignment="1">
      <alignment horizontal="left" indent="1"/>
    </xf>
    <xf numFmtId="164" fontId="21" fillId="0" borderId="0" xfId="100" applyNumberFormat="1"/>
    <xf numFmtId="164" fontId="52" fillId="0" borderId="0" xfId="100" applyNumberFormat="1" applyFont="1"/>
    <xf numFmtId="0" fontId="22" fillId="0" borderId="0" xfId="100" applyFont="1"/>
    <xf numFmtId="0" fontId="22" fillId="0" borderId="0" xfId="100" applyFont="1" applyAlignment="1">
      <alignment horizontal="left" indent="1"/>
    </xf>
    <xf numFmtId="0" fontId="61" fillId="0" borderId="0" xfId="100" applyFont="1" applyAlignment="1">
      <alignment horizontal="left"/>
    </xf>
    <xf numFmtId="0" fontId="22" fillId="0" borderId="0" xfId="100" applyFont="1" applyAlignment="1">
      <alignment horizontal="center"/>
    </xf>
    <xf numFmtId="0" fontId="21" fillId="0" borderId="0" xfId="100" applyAlignment="1">
      <alignment horizontal="right"/>
    </xf>
    <xf numFmtId="0" fontId="22" fillId="0" borderId="0" xfId="100" applyFont="1" applyAlignment="1">
      <alignment horizontal="right"/>
    </xf>
    <xf numFmtId="0" fontId="22" fillId="0" borderId="8" xfId="100" applyFont="1" applyBorder="1" applyAlignment="1">
      <alignment horizontal="center"/>
    </xf>
    <xf numFmtId="0" fontId="21" fillId="36" borderId="0" xfId="100" applyFill="1"/>
    <xf numFmtId="164" fontId="21" fillId="36" borderId="0" xfId="100" applyNumberFormat="1" applyFill="1"/>
    <xf numFmtId="170" fontId="21" fillId="0" borderId="0" xfId="100" applyNumberFormat="1" applyAlignment="1">
      <alignment horizontal="center"/>
    </xf>
    <xf numFmtId="170" fontId="21" fillId="0" borderId="0" xfId="100" quotePrefix="1" applyNumberFormat="1" applyAlignment="1">
      <alignment horizontal="center"/>
    </xf>
    <xf numFmtId="164" fontId="21" fillId="0" borderId="0" xfId="96" applyNumberFormat="1" applyFont="1" applyBorder="1"/>
    <xf numFmtId="164" fontId="21" fillId="0" borderId="0" xfId="96" applyNumberFormat="1" applyFont="1"/>
    <xf numFmtId="168" fontId="21" fillId="0" borderId="0" xfId="96" applyNumberFormat="1" applyFont="1" applyBorder="1"/>
    <xf numFmtId="0" fontId="21" fillId="0" borderId="0" xfId="100" quotePrefix="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164" fontId="22" fillId="0" borderId="0" xfId="100" applyNumberFormat="1" applyFont="1" applyAlignment="1">
      <alignment horizontal="center"/>
    </xf>
    <xf numFmtId="164" fontId="22" fillId="0" borderId="8" xfId="100" applyNumberFormat="1" applyFont="1" applyBorder="1" applyAlignment="1">
      <alignment horizontal="center"/>
    </xf>
    <xf numFmtId="0" fontId="25" fillId="0" borderId="0" xfId="100" applyFont="1" applyAlignment="1">
      <alignment horizontal="center"/>
    </xf>
    <xf numFmtId="0" fontId="21" fillId="0" borderId="0" xfId="100" applyAlignment="1">
      <alignment horizontal="left"/>
    </xf>
    <xf numFmtId="1" fontId="21" fillId="36" borderId="0" xfId="100" applyNumberFormat="1" applyFill="1" applyAlignment="1">
      <alignment horizontal="center"/>
    </xf>
    <xf numFmtId="164" fontId="21" fillId="0" borderId="0" xfId="0" applyNumberFormat="1" applyFont="1" applyAlignment="1">
      <alignment horizontal="center"/>
    </xf>
    <xf numFmtId="1" fontId="21" fillId="0" borderId="0" xfId="100" quotePrefix="1" applyNumberFormat="1" applyAlignment="1">
      <alignment horizontal="right"/>
    </xf>
    <xf numFmtId="164" fontId="21" fillId="0" borderId="0" xfId="0" quotePrefix="1" applyNumberFormat="1" applyFont="1" applyAlignment="1">
      <alignment horizontal="center"/>
    </xf>
    <xf numFmtId="0" fontId="22" fillId="0" borderId="0" xfId="100" applyFont="1" applyAlignment="1">
      <alignment horizontal="left"/>
    </xf>
    <xf numFmtId="0" fontId="25" fillId="0" borderId="0" xfId="100" quotePrefix="1" applyFont="1" applyAlignment="1">
      <alignment horizontal="center"/>
    </xf>
    <xf numFmtId="0" fontId="21" fillId="0" borderId="0" xfId="100" quotePrefix="1" applyAlignment="1">
      <alignment horizontal="center"/>
    </xf>
    <xf numFmtId="0" fontId="21" fillId="0" borderId="0" xfId="100" applyAlignment="1">
      <alignment horizontal="center"/>
    </xf>
    <xf numFmtId="0" fontId="25" fillId="0" borderId="0" xfId="100" applyFo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Alignment="1">
      <alignment horizontal="right" indent="1"/>
    </xf>
    <xf numFmtId="167" fontId="0" fillId="0" borderId="0" xfId="19" applyNumberFormat="1" applyFont="1"/>
    <xf numFmtId="164" fontId="21" fillId="0" borderId="0" xfId="100" applyNumberFormat="1" applyAlignment="1">
      <alignment horizontal="right"/>
    </xf>
    <xf numFmtId="164" fontId="21" fillId="36" borderId="0" xfId="100" applyNumberFormat="1" applyFill="1" applyAlignment="1">
      <alignment horizontal="right"/>
    </xf>
    <xf numFmtId="10" fontId="0" fillId="0" borderId="0" xfId="37" applyNumberFormat="1" applyFont="1" applyAlignment="1">
      <alignment horizontal="center"/>
    </xf>
    <xf numFmtId="10" fontId="25" fillId="0" borderId="0" xfId="100" applyNumberFormat="1" applyFont="1" applyAlignment="1">
      <alignment horizontal="center"/>
    </xf>
    <xf numFmtId="10" fontId="21" fillId="0" borderId="0" xfId="37" applyNumberFormat="1" applyAlignment="1">
      <alignment horizontal="center"/>
    </xf>
    <xf numFmtId="0" fontId="23" fillId="0" borderId="0" xfId="0" applyFont="1" applyAlignment="1">
      <alignment horizontal="center"/>
    </xf>
    <xf numFmtId="0" fontId="22" fillId="0" borderId="0" xfId="0" applyFont="1" applyAlignment="1">
      <alignment horizontal="center" wrapText="1"/>
    </xf>
    <xf numFmtId="164" fontId="22" fillId="0" borderId="0" xfId="0" applyNumberFormat="1" applyFont="1" applyAlignment="1">
      <alignment horizontal="right" indent="1"/>
    </xf>
    <xf numFmtId="0" fontId="21" fillId="0" borderId="0" xfId="0" quotePrefix="1" applyFont="1" applyAlignment="1">
      <alignment horizontal="center" wrapText="1"/>
    </xf>
    <xf numFmtId="0" fontId="23" fillId="0" borderId="0" xfId="0" quotePrefix="1" applyFont="1" applyAlignment="1">
      <alignment horizontal="center"/>
    </xf>
    <xf numFmtId="0" fontId="21" fillId="0" borderId="0" xfId="100" quotePrefix="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172" fontId="0" fillId="0" borderId="0" xfId="0" applyNumberFormat="1"/>
    <xf numFmtId="0" fontId="21" fillId="36" borderId="0" xfId="0" applyFont="1" applyFill="1" applyAlignment="1">
      <alignment horizontal="center"/>
    </xf>
    <xf numFmtId="0" fontId="22" fillId="0" borderId="8" xfId="108" applyFont="1" applyBorder="1" applyAlignment="1">
      <alignment horizontal="center"/>
    </xf>
    <xf numFmtId="0" fontId="41" fillId="0" borderId="0" xfId="0" applyFont="1"/>
    <xf numFmtId="164" fontId="21" fillId="0" borderId="14" xfId="108" applyNumberFormat="1" applyBorder="1"/>
    <xf numFmtId="0" fontId="22" fillId="0" borderId="0" xfId="108" quotePrefix="1" applyFont="1" applyAlignment="1">
      <alignment horizontal="center"/>
    </xf>
    <xf numFmtId="0" fontId="39" fillId="0" borderId="0" xfId="0" applyFont="1" applyAlignment="1">
      <alignment horizontal="center"/>
    </xf>
    <xf numFmtId="164" fontId="21" fillId="0" borderId="0" xfId="108" applyNumberFormat="1" applyAlignment="1">
      <alignment horizontal="right"/>
    </xf>
    <xf numFmtId="164" fontId="21" fillId="0" borderId="15" xfId="108" applyNumberFormat="1" applyBorder="1"/>
    <xf numFmtId="0" fontId="21" fillId="0" borderId="8" xfId="0" applyFont="1" applyBorder="1" applyAlignment="1">
      <alignment horizontal="center"/>
    </xf>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1" fillId="0" borderId="0" xfId="0" applyFont="1" applyAlignment="1">
      <alignment wrapText="1"/>
    </xf>
    <xf numFmtId="164" fontId="21" fillId="36" borderId="0" xfId="19" applyNumberFormat="1" applyFont="1" applyFill="1" applyBorder="1"/>
    <xf numFmtId="9" fontId="0" fillId="0" borderId="8" xfId="0" applyNumberFormat="1" applyBorder="1"/>
    <xf numFmtId="0" fontId="21" fillId="36" borderId="0" xfId="100" quotePrefix="1" applyFill="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37" fontId="21"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xf numFmtId="164" fontId="21" fillId="36" borderId="0" xfId="125" applyNumberFormat="1" applyFill="1"/>
    <xf numFmtId="39" fontId="21" fillId="0" borderId="0" xfId="0" applyNumberFormat="1" applyFont="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7" fillId="0" borderId="0" xfId="126" applyFont="1"/>
    <xf numFmtId="0" fontId="21" fillId="0" borderId="0" xfId="126"/>
    <xf numFmtId="0" fontId="21" fillId="0" borderId="0" xfId="126" applyAlignment="1">
      <alignment horizontal="center"/>
    </xf>
    <xf numFmtId="0" fontId="25" fillId="0" borderId="0" xfId="126" applyFont="1" applyAlignment="1">
      <alignment horizontal="center"/>
    </xf>
    <xf numFmtId="0" fontId="22" fillId="0" borderId="0" xfId="126" applyFont="1" applyAlignment="1">
      <alignment horizontal="right"/>
    </xf>
    <xf numFmtId="0" fontId="21" fillId="0" borderId="0" xfId="126" applyAlignment="1">
      <alignment horizontal="left" indent="1"/>
    </xf>
    <xf numFmtId="0" fontId="22" fillId="34" borderId="0" xfId="127" applyFont="1" applyFill="1"/>
    <xf numFmtId="0" fontId="21" fillId="36" borderId="0" xfId="127" applyFill="1"/>
    <xf numFmtId="164" fontId="21" fillId="0" borderId="0" xfId="126" applyNumberFormat="1"/>
    <xf numFmtId="0" fontId="25" fillId="0" borderId="0" xfId="126" quotePrefix="1" applyFont="1" applyAlignment="1">
      <alignment horizontal="center"/>
    </xf>
    <xf numFmtId="0" fontId="21" fillId="0" borderId="0" xfId="126" quotePrefix="1" applyAlignment="1">
      <alignment horizontal="center" wrapText="1"/>
    </xf>
    <xf numFmtId="0" fontId="25" fillId="0" borderId="0" xfId="126" quotePrefix="1" applyFont="1" applyAlignment="1">
      <alignment horizontal="center" vertical="center" wrapText="1"/>
    </xf>
    <xf numFmtId="0" fontId="22" fillId="0" borderId="3" xfId="126" applyFont="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Border="1" applyAlignment="1">
      <alignment horizontal="center"/>
    </xf>
    <xf numFmtId="0" fontId="22" fillId="0" borderId="4" xfId="126" applyFont="1" applyBorder="1" applyAlignment="1">
      <alignment horizontal="center" wrapText="1"/>
    </xf>
    <xf numFmtId="0" fontId="22" fillId="0" borderId="0" xfId="126" applyFont="1" applyAlignment="1">
      <alignment horizontal="center"/>
    </xf>
    <xf numFmtId="0" fontId="21" fillId="0" borderId="0" xfId="126" quotePrefix="1" applyAlignment="1">
      <alignment horizontal="center"/>
    </xf>
    <xf numFmtId="179" fontId="21" fillId="34" borderId="0" xfId="35" quotePrefix="1" applyNumberFormat="1" applyFont="1" applyFill="1" applyAlignment="1">
      <alignment horizontal="left"/>
    </xf>
    <xf numFmtId="3" fontId="21" fillId="0" borderId="0" xfId="126" applyNumberFormat="1"/>
    <xf numFmtId="3" fontId="43" fillId="0" borderId="0" xfId="129" applyNumberFormat="1"/>
    <xf numFmtId="2" fontId="22" fillId="0" borderId="3" xfId="126" applyNumberFormat="1" applyFont="1" applyBorder="1" applyAlignment="1">
      <alignment horizontal="center" wrapText="1"/>
    </xf>
    <xf numFmtId="2" fontId="21" fillId="0" borderId="0" xfId="126" applyNumberFormat="1" applyAlignment="1">
      <alignment horizontal="center" wrapText="1"/>
    </xf>
    <xf numFmtId="2" fontId="22" fillId="0" borderId="0" xfId="126" applyNumberFormat="1" applyFont="1" applyAlignment="1">
      <alignment horizontal="center"/>
    </xf>
    <xf numFmtId="2" fontId="21" fillId="0" borderId="0" xfId="126" applyNumberFormat="1"/>
    <xf numFmtId="2" fontId="21" fillId="0" borderId="0" xfId="126" applyNumberFormat="1" applyAlignment="1">
      <alignment horizontal="center"/>
    </xf>
    <xf numFmtId="0" fontId="22" fillId="0" borderId="0" xfId="126" applyFont="1" applyAlignment="1">
      <alignment horizontal="center" vertical="center" wrapText="1"/>
    </xf>
    <xf numFmtId="179" fontId="22" fillId="0" borderId="3" xfId="35" applyNumberFormat="1" applyFont="1" applyBorder="1" applyAlignment="1">
      <alignment horizontal="center"/>
    </xf>
    <xf numFmtId="0" fontId="25" fillId="0" borderId="0" xfId="126" applyFont="1"/>
    <xf numFmtId="0" fontId="21" fillId="0" borderId="0" xfId="126" applyAlignment="1">
      <alignment horizontal="left"/>
    </xf>
    <xf numFmtId="0" fontId="22" fillId="0" borderId="6" xfId="126" applyFont="1" applyBorder="1"/>
    <xf numFmtId="0" fontId="21" fillId="0" borderId="9" xfId="126" applyBorder="1"/>
    <xf numFmtId="0" fontId="21" fillId="36" borderId="0" xfId="126" applyFill="1"/>
    <xf numFmtId="0" fontId="22" fillId="0" borderId="0" xfId="126" applyFont="1" applyAlignment="1">
      <alignment horizontal="center" vertical="center"/>
    </xf>
    <xf numFmtId="0" fontId="25" fillId="0" borderId="0" xfId="126" quotePrefix="1" applyFont="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164" fontId="52" fillId="0" borderId="0" xfId="135" applyNumberFormat="1" applyFont="1"/>
    <xf numFmtId="164" fontId="69" fillId="0" borderId="0" xfId="135" applyNumberFormat="1" applyFont="1"/>
    <xf numFmtId="164" fontId="57" fillId="0" borderId="0" xfId="135" applyNumberFormat="1" applyFont="1"/>
    <xf numFmtId="0" fontId="21" fillId="0" borderId="0" xfId="28" applyFont="1" applyAlignment="1">
      <alignment horizontal="center" vertical="center"/>
    </xf>
    <xf numFmtId="43" fontId="21" fillId="0" borderId="0" xfId="0" applyNumberFormat="1" applyFont="1"/>
    <xf numFmtId="0" fontId="21" fillId="0" borderId="0" xfId="28" applyFont="1" applyAlignment="1">
      <alignment horizontal="center"/>
    </xf>
    <xf numFmtId="167" fontId="21" fillId="0" borderId="0" xfId="22" applyNumberFormat="1" applyFont="1"/>
    <xf numFmtId="164" fontId="21" fillId="0" borderId="0" xfId="28" applyNumberFormat="1" applyFont="1"/>
    <xf numFmtId="164" fontId="21" fillId="0" borderId="0" xfId="28" applyNumberFormat="1" applyFont="1" applyAlignment="1">
      <alignment horizontal="center"/>
    </xf>
    <xf numFmtId="0" fontId="21" fillId="36" borderId="0" xfId="28" applyFont="1" applyFill="1"/>
    <xf numFmtId="167" fontId="21" fillId="36" borderId="0" xfId="28" quotePrefix="1" applyNumberFormat="1" applyFont="1" applyFill="1" applyAlignment="1">
      <alignment horizontal="center"/>
    </xf>
    <xf numFmtId="167" fontId="21" fillId="0" borderId="8" xfId="28" applyNumberFormat="1" applyFont="1" applyBorder="1" applyAlignment="1">
      <alignment horizontal="center"/>
    </xf>
    <xf numFmtId="164" fontId="21" fillId="0" borderId="8" xfId="28" applyNumberFormat="1" applyFont="1" applyBorder="1" applyAlignment="1">
      <alignment horizontal="center"/>
    </xf>
    <xf numFmtId="5" fontId="21" fillId="0" borderId="8" xfId="28" quotePrefix="1" applyNumberFormat="1" applyFont="1" applyBorder="1" applyAlignment="1">
      <alignment horizontal="right"/>
    </xf>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8" xfId="28" quotePrefix="1" applyNumberFormat="1" applyFont="1" applyBorder="1" applyAlignment="1">
      <alignment horizontal="center"/>
    </xf>
    <xf numFmtId="167" fontId="21" fillId="0" borderId="8" xfId="28" applyNumberFormat="1" applyFont="1" applyBorder="1"/>
    <xf numFmtId="0" fontId="21" fillId="0" borderId="0" xfId="22" applyNumberFormat="1" applyFont="1" applyFill="1" applyBorder="1"/>
    <xf numFmtId="164" fontId="21" fillId="0" borderId="0" xfId="28" applyNumberFormat="1" applyFont="1" applyAlignment="1">
      <alignment vertical="top" wrapText="1"/>
    </xf>
    <xf numFmtId="167" fontId="21" fillId="0" borderId="0" xfId="22" applyNumberFormat="1" applyFont="1" applyFill="1" applyBorder="1" applyAlignment="1">
      <alignment horizontal="center" wrapText="1"/>
    </xf>
    <xf numFmtId="167" fontId="21" fillId="0" borderId="0" xfId="22" applyNumberFormat="1" applyFont="1" applyFill="1" applyBorder="1" applyAlignment="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Alignment="1">
      <alignment vertical="justify"/>
    </xf>
    <xf numFmtId="0" fontId="21" fillId="0" borderId="0" xfId="28" applyFont="1" applyAlignment="1">
      <alignment vertical="top"/>
    </xf>
    <xf numFmtId="167" fontId="21" fillId="0" borderId="0" xfId="22" applyNumberFormat="1" applyFont="1" applyFill="1"/>
    <xf numFmtId="0" fontId="21" fillId="0" borderId="0" xfId="28" applyFont="1" applyAlignment="1">
      <alignment vertical="top" wrapText="1"/>
    </xf>
    <xf numFmtId="0" fontId="21" fillId="0" borderId="0" xfId="28" applyFont="1" applyAlignment="1" applyProtection="1">
      <alignment horizontal="left" vertical="top" indent="1"/>
      <protection locked="0"/>
    </xf>
    <xf numFmtId="0" fontId="21" fillId="0" borderId="0" xfId="28" applyFont="1" applyAlignment="1">
      <alignment horizontal="left" indent="1"/>
    </xf>
    <xf numFmtId="165" fontId="21" fillId="0" borderId="0" xfId="28" applyNumberFormat="1" applyFont="1"/>
    <xf numFmtId="0" fontId="21" fillId="36" borderId="0" xfId="100" applyFill="1" applyAlignment="1">
      <alignment horizontal="center"/>
    </xf>
    <xf numFmtId="0" fontId="21" fillId="0" borderId="0" xfId="0" quotePrefix="1" applyFont="1" applyAlignment="1">
      <alignment horizontal="left" indent="2"/>
    </xf>
    <xf numFmtId="0" fontId="21" fillId="0" borderId="0" xfId="0" applyFont="1" applyAlignment="1">
      <alignment horizontal="left" indent="3"/>
    </xf>
    <xf numFmtId="0" fontId="53" fillId="0" borderId="0" xfId="0" applyFont="1" applyAlignment="1">
      <alignment horizontal="left"/>
    </xf>
    <xf numFmtId="10" fontId="21" fillId="0" borderId="0" xfId="0" quotePrefix="1" applyNumberFormat="1" applyFont="1" applyAlignment="1">
      <alignment horizontal="right"/>
    </xf>
    <xf numFmtId="0" fontId="54" fillId="36" borderId="0" xfId="0" quotePrefix="1" applyFont="1" applyFill="1" applyAlignment="1">
      <alignment horizontal="center"/>
    </xf>
    <xf numFmtId="0" fontId="64" fillId="0" borderId="0" xfId="0" applyFont="1" applyAlignment="1">
      <alignment horizontal="left" vertical="center"/>
    </xf>
    <xf numFmtId="0" fontId="21" fillId="0" borderId="0" xfId="34" applyFont="1" applyAlignment="1">
      <alignment horizontal="right"/>
    </xf>
    <xf numFmtId="0" fontId="55" fillId="0" borderId="0" xfId="0" applyFont="1" applyAlignment="1">
      <alignment horizontal="left" indent="1"/>
    </xf>
    <xf numFmtId="0" fontId="53" fillId="0" borderId="0" xfId="0" quotePrefix="1" applyFont="1" applyAlignment="1">
      <alignment horizontal="center"/>
    </xf>
    <xf numFmtId="164" fontId="0" fillId="0" borderId="0" xfId="0" applyNumberFormat="1" applyAlignment="1">
      <alignment horizontal="right"/>
    </xf>
    <xf numFmtId="10" fontId="21" fillId="0" borderId="0" xfId="37" applyNumberFormat="1" applyFont="1" applyFill="1" applyAlignment="1">
      <alignment horizontal="center"/>
    </xf>
    <xf numFmtId="0" fontId="22" fillId="0" borderId="7" xfId="28" applyFont="1" applyBorder="1" applyAlignment="1">
      <alignment horizontal="center"/>
    </xf>
    <xf numFmtId="0" fontId="21" fillId="0" borderId="0" xfId="28" quotePrefix="1" applyFont="1"/>
    <xf numFmtId="0" fontId="21" fillId="0" borderId="0" xfId="28" applyFont="1" applyAlignment="1" applyProtection="1">
      <alignment horizontal="left" indent="2"/>
      <protection locked="0"/>
    </xf>
    <xf numFmtId="10" fontId="21" fillId="0" borderId="0" xfId="28" applyNumberFormat="1" applyFont="1"/>
    <xf numFmtId="0" fontId="63" fillId="0" borderId="0" xfId="0" applyFont="1"/>
    <xf numFmtId="37" fontId="21" fillId="0" borderId="3" xfId="0" applyNumberFormat="1" applyFont="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Font="1" applyBorder="1"/>
    <xf numFmtId="0" fontId="21" fillId="0" borderId="3" xfId="0" quotePrefix="1" applyFont="1" applyBorder="1" applyAlignment="1">
      <alignment horizontal="center"/>
    </xf>
    <xf numFmtId="49" fontId="21" fillId="0" borderId="0" xfId="22" applyNumberFormat="1" applyFont="1" applyFill="1" applyBorder="1" applyAlignment="1">
      <alignment horizontal="left"/>
    </xf>
    <xf numFmtId="0" fontId="21" fillId="0" borderId="0" xfId="108" applyAlignment="1">
      <alignment horizontal="left" indent="1"/>
    </xf>
    <xf numFmtId="171" fontId="0" fillId="0" borderId="0" xfId="0" applyNumberFormat="1"/>
    <xf numFmtId="0" fontId="36" fillId="0" borderId="0" xfId="28" applyFont="1" applyAlignment="1">
      <alignment vertical="center"/>
    </xf>
    <xf numFmtId="164" fontId="21" fillId="0" borderId="0" xfId="106" applyNumberFormat="1" applyFont="1" applyFill="1"/>
    <xf numFmtId="0" fontId="31" fillId="0" borderId="0" xfId="100" applyFont="1"/>
    <xf numFmtId="0" fontId="21" fillId="0" borderId="0" xfId="28" applyFont="1" applyAlignment="1">
      <alignment vertical="center"/>
    </xf>
    <xf numFmtId="164" fontId="21" fillId="0" borderId="8" xfId="96" applyNumberFormat="1" applyFont="1" applyBorder="1"/>
    <xf numFmtId="17" fontId="21" fillId="36" borderId="0" xfId="100" quotePrefix="1"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ill="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3" fontId="0" fillId="36" borderId="0" xfId="0" applyNumberFormat="1" applyFill="1"/>
    <xf numFmtId="170" fontId="21" fillId="36" borderId="0" xfId="100" applyNumberFormat="1" applyFill="1" applyAlignment="1">
      <alignment horizontal="center"/>
    </xf>
    <xf 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1">
      <alignment horizontal="center"/>
    </xf>
    <xf numFmtId="0" fontId="21" fillId="36" borderId="0" xfId="125" applyFill="1"/>
    <xf numFmtId="164" fontId="53" fillId="36" borderId="0" xfId="96" applyNumberFormat="1" applyFont="1" applyFill="1" applyBorder="1"/>
    <xf numFmtId="164" fontId="64" fillId="36" borderId="0" xfId="0" applyNumberFormat="1" applyFont="1" applyFill="1"/>
    <xf numFmtId="37" fontId="21" fillId="36" borderId="3" xfId="97" quotePrefix="1"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81" fontId="22" fillId="36" borderId="0" xfId="19" applyNumberFormat="1" applyFont="1" applyFill="1" applyAlignment="1">
      <alignment horizontal="center"/>
    </xf>
    <xf numFmtId="10" fontId="21" fillId="0" borderId="0" xfId="0" applyNumberFormat="1" applyFont="1" applyAlignment="1">
      <alignment horizontal="right" wrapText="1"/>
    </xf>
    <xf numFmtId="0" fontId="52" fillId="0" borderId="0" xfId="126" applyFont="1" applyAlignment="1">
      <alignment horizontal="center"/>
    </xf>
    <xf numFmtId="0" fontId="21" fillId="0" borderId="5" xfId="126" applyBorder="1" applyAlignment="1">
      <alignment horizontal="center" wrapText="1"/>
    </xf>
    <xf numFmtId="0" fontId="21" fillId="0" borderId="0" xfId="126" applyAlignment="1">
      <alignment horizontal="center" wrapText="1"/>
    </xf>
    <xf numFmtId="0" fontId="21" fillId="0" borderId="18" xfId="126" applyBorder="1" applyAlignment="1">
      <alignment horizontal="center"/>
    </xf>
    <xf numFmtId="9" fontId="21" fillId="0" borderId="0" xfId="37" applyFont="1" applyFill="1"/>
    <xf numFmtId="0" fontId="157" fillId="0" borderId="0" xfId="126" applyFont="1" applyAlignment="1">
      <alignment horizontal="center"/>
    </xf>
    <xf numFmtId="0" fontId="22" fillId="0" borderId="4" xfId="126" applyFont="1" applyBorder="1" applyAlignment="1">
      <alignment horizontal="center"/>
    </xf>
    <xf numFmtId="0" fontId="157" fillId="0" borderId="0" xfId="126" quotePrefix="1" applyFont="1" applyAlignment="1">
      <alignment horizontal="center" wrapText="1"/>
    </xf>
    <xf numFmtId="0" fontId="159" fillId="0" borderId="0" xfId="126" quotePrefix="1" applyFont="1" applyAlignment="1">
      <alignment horizontal="center"/>
    </xf>
    <xf numFmtId="2" fontId="160" fillId="0" borderId="28" xfId="126" applyNumberFormat="1" applyFont="1" applyBorder="1" applyAlignment="1">
      <alignment horizontal="center" wrapText="1"/>
    </xf>
    <xf numFmtId="2" fontId="160" fillId="0" borderId="0" xfId="126" applyNumberFormat="1" applyFont="1" applyAlignment="1">
      <alignment horizontal="center" wrapText="1"/>
    </xf>
    <xf numFmtId="2" fontId="157" fillId="0" borderId="0" xfId="126" applyNumberFormat="1" applyFont="1"/>
    <xf numFmtId="164" fontId="157" fillId="0" borderId="0" xfId="126" applyNumberFormat="1" applyFont="1"/>
    <xf numFmtId="1" fontId="157" fillId="0" borderId="0" xfId="126" applyNumberFormat="1" applyFont="1"/>
    <xf numFmtId="0" fontId="21" fillId="0" borderId="0" xfId="126" applyAlignment="1">
      <alignment readingOrder="1"/>
    </xf>
    <xf numFmtId="0" fontId="21" fillId="0" borderId="0" xfId="126" applyAlignment="1">
      <alignment wrapText="1"/>
    </xf>
    <xf numFmtId="10" fontId="21" fillId="0" borderId="0" xfId="126" applyNumberFormat="1"/>
    <xf numFmtId="0" fontId="21" fillId="0" borderId="0" xfId="100" applyAlignment="1">
      <alignment horizontal="left" indent="2"/>
    </xf>
    <xf numFmtId="0" fontId="21" fillId="0" borderId="0" xfId="0" applyFont="1" applyAlignment="1">
      <alignment horizontal="left" indent="4"/>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37" fontId="0" fillId="36" borderId="0" xfId="19" applyNumberFormat="1" applyFont="1" applyFill="1"/>
    <xf numFmtId="3" fontId="21" fillId="0" borderId="0" xfId="100" applyNumberFormat="1" applyAlignment="1">
      <alignment horizontal="left" indent="1"/>
    </xf>
    <xf numFmtId="167" fontId="22" fillId="0" borderId="0" xfId="96" applyNumberFormat="1" applyFont="1" applyFill="1" applyBorder="1" applyAlignment="1">
      <alignment horizontal="center"/>
    </xf>
    <xf numFmtId="165" fontId="0" fillId="36" borderId="0" xfId="0" applyNumberFormat="1" applyFill="1"/>
    <xf numFmtId="164" fontId="21" fillId="36" borderId="0" xfId="100" applyNumberFormat="1" applyFill="1" applyAlignment="1">
      <alignment vertical="top" wrapText="1"/>
    </xf>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0" borderId="0" xfId="100" quotePrefix="1" applyAlignment="1">
      <alignment horizontal="left"/>
    </xf>
    <xf numFmtId="164" fontId="21" fillId="0" borderId="0" xfId="96" applyNumberFormat="1" applyFont="1" applyFill="1" applyBorder="1" applyAlignment="1">
      <alignment horizontal="right"/>
    </xf>
    <xf numFmtId="167" fontId="21" fillId="0" borderId="0" xfId="100" quotePrefix="1" applyNumberFormat="1" applyAlignment="1">
      <alignment horizontal="left" indent="1"/>
    </xf>
    <xf numFmtId="0" fontId="25" fillId="0" borderId="0" xfId="100" applyFont="1" applyAlignment="1">
      <alignment horizontal="left"/>
    </xf>
    <xf numFmtId="167" fontId="21" fillId="0" borderId="0" xfId="100" applyNumberFormat="1" applyAlignment="1">
      <alignment horizontal="left" indent="1"/>
    </xf>
    <xf numFmtId="167" fontId="21" fillId="0" borderId="0" xfId="96" applyNumberFormat="1" applyFont="1" applyFill="1" applyBorder="1" applyAlignment="1">
      <alignment horizontal="right"/>
    </xf>
    <xf numFmtId="167" fontId="21" fillId="0" borderId="0" xfId="100" applyNumberFormat="1" applyAlignment="1">
      <alignment horizontal="right"/>
    </xf>
    <xf numFmtId="1" fontId="21" fillId="0" borderId="0" xfId="100" applyNumberFormat="1" applyAlignment="1">
      <alignment horizontal="center"/>
    </xf>
    <xf numFmtId="3" fontId="21" fillId="0" borderId="0" xfId="100" applyNumberFormat="1"/>
    <xf numFmtId="3" fontId="25" fillId="0" borderId="0" xfId="100" applyNumberFormat="1" applyFont="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1" fillId="0" borderId="0" xfId="0" quotePrefix="1" applyFont="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Alignment="1">
      <alignment horizontal="left"/>
    </xf>
    <xf numFmtId="0" fontId="64" fillId="0" borderId="0" xfId="0" applyFont="1" applyAlignment="1">
      <alignment horizontal="left" vertical="center" indent="1"/>
    </xf>
    <xf numFmtId="171" fontId="21" fillId="0" borderId="0" xfId="0" applyNumberFormat="1" applyFont="1"/>
    <xf numFmtId="37" fontId="22" fillId="36" borderId="3" xfId="97" quotePrefix="1" applyNumberFormat="1" applyFont="1" applyFill="1" applyBorder="1" applyAlignment="1">
      <alignment horizontal="center"/>
    </xf>
    <xf numFmtId="0" fontId="21" fillId="36" borderId="3" xfId="0" quotePrefix="1" applyFont="1" applyFill="1" applyBorder="1" applyAlignment="1">
      <alignment horizontal="center"/>
    </xf>
    <xf numFmtId="0" fontId="21" fillId="36" borderId="3" xfId="0" applyFont="1" applyFill="1" applyBorder="1"/>
    <xf numFmtId="0" fontId="21" fillId="36" borderId="3" xfId="0" applyFont="1" applyFill="1" applyBorder="1" applyAlignment="1">
      <alignment horizontal="center"/>
    </xf>
    <xf numFmtId="164" fontId="21" fillId="36" borderId="0" xfId="100" applyNumberFormat="1" applyFill="1" applyAlignment="1">
      <alignment horizontal="right" vertical="center" wrapText="1"/>
    </xf>
    <xf numFmtId="164" fontId="28" fillId="36" borderId="0" xfId="100" applyNumberFormat="1" applyFont="1" applyFill="1" applyAlignment="1">
      <alignment horizontal="right" vertical="center" wrapText="1"/>
    </xf>
    <xf numFmtId="164" fontId="21" fillId="36" borderId="0" xfId="96" applyNumberFormat="1" applyFont="1" applyFill="1"/>
    <xf numFmtId="164" fontId="35" fillId="36" borderId="0" xfId="96" applyNumberFormat="1" applyFont="1" applyFill="1"/>
    <xf numFmtId="164" fontId="35" fillId="36" borderId="0" xfId="100" applyNumberFormat="1" applyFont="1" applyFill="1"/>
    <xf numFmtId="1" fontId="21" fillId="36" borderId="0" xfId="126" applyNumberFormat="1" applyFill="1"/>
    <xf numFmtId="0" fontId="52" fillId="0" borderId="0" xfId="0" applyFont="1"/>
    <xf numFmtId="0" fontId="21" fillId="0" borderId="11" xfId="0" applyFont="1" applyBorder="1" applyAlignment="1">
      <alignment horizontal="center"/>
    </xf>
    <xf numFmtId="0" fontId="21" fillId="0" borderId="4" xfId="0" applyFont="1" applyBorder="1" applyAlignment="1">
      <alignment horizontal="center"/>
    </xf>
    <xf numFmtId="0" fontId="21" fillId="0" borderId="56" xfId="0" applyFont="1" applyBorder="1" applyAlignment="1">
      <alignment horizontal="center"/>
    </xf>
    <xf numFmtId="164" fontId="21" fillId="36" borderId="0" xfId="0" applyNumberFormat="1" applyFont="1" applyFill="1" applyAlignment="1">
      <alignment horizontal="center"/>
    </xf>
    <xf numFmtId="3" fontId="53" fillId="0" borderId="0" xfId="0" applyNumberFormat="1" applyFont="1"/>
    <xf numFmtId="164" fontId="21" fillId="0" borderId="0" xfId="23" applyNumberFormat="1" applyFont="1" applyFill="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1" fillId="0" borderId="0" xfId="0" applyFont="1" applyAlignment="1">
      <alignment horizontal="left" wrapText="1"/>
    </xf>
    <xf numFmtId="49" fontId="71" fillId="0" borderId="0" xfId="0" quotePrefix="1" applyNumberFormat="1" applyFont="1" applyAlignment="1">
      <alignment horizontal="left" indent="1"/>
    </xf>
    <xf numFmtId="0" fontId="71" fillId="0" borderId="0" xfId="0" applyFont="1"/>
    <xf numFmtId="49" fontId="71" fillId="0" borderId="0" xfId="0" applyNumberFormat="1" applyFont="1" applyAlignment="1">
      <alignment horizontal="left" indent="1"/>
    </xf>
    <xf numFmtId="3" fontId="21" fillId="0" borderId="0" xfId="23" applyNumberFormat="1" applyFont="1" applyBorder="1" applyAlignment="1">
      <alignment horizontal="right"/>
    </xf>
    <xf numFmtId="3" fontId="21" fillId="0" borderId="0" xfId="0" applyNumberFormat="1" applyFont="1"/>
    <xf numFmtId="49" fontId="55"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0" fontId="57" fillId="0" borderId="0" xfId="0" applyFont="1" applyAlignment="1">
      <alignment horizontal="center"/>
    </xf>
    <xf numFmtId="37" fontId="52" fillId="0" borderId="0" xfId="0" applyNumberFormat="1" applyFont="1"/>
    <xf numFmtId="0" fontId="21" fillId="0" borderId="3" xfId="0" applyFont="1" applyBorder="1" applyAlignment="1">
      <alignment horizontal="left"/>
    </xf>
    <xf numFmtId="0" fontId="21" fillId="0" borderId="3" xfId="0" quotePrefix="1" applyFont="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Border="1" applyAlignment="1">
      <alignment horizontal="center"/>
    </xf>
    <xf numFmtId="10" fontId="21" fillId="36" borderId="0" xfId="0" applyNumberFormat="1" applyFont="1" applyFill="1" applyAlignment="1">
      <alignment horizontal="right"/>
    </xf>
    <xf numFmtId="0" fontId="69" fillId="0" borderId="0" xfId="0" applyFont="1"/>
    <xf numFmtId="167" fontId="21" fillId="0" borderId="0" xfId="28" applyNumberFormat="1" applyFont="1" applyAlignment="1">
      <alignment vertical="center"/>
    </xf>
    <xf numFmtId="0" fontId="22" fillId="0" borderId="0" xfId="0" applyFont="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xf numFmtId="0" fontId="21" fillId="0" borderId="0" xfId="100" quotePrefix="1" applyAlignment="1">
      <alignment horizontal="center" wrapText="1"/>
    </xf>
    <xf numFmtId="10" fontId="21" fillId="0" borderId="0" xfId="37" quotePrefix="1" applyNumberFormat="1" applyFont="1" applyFill="1" applyAlignment="1">
      <alignment horizontal="center" wrapText="1"/>
    </xf>
    <xf numFmtId="0" fontId="21" fillId="0" borderId="0" xfId="100" applyAlignment="1">
      <alignment horizontal="center" wrapText="1"/>
    </xf>
    <xf numFmtId="164" fontId="21" fillId="0" borderId="0" xfId="100" quotePrefix="1" applyNumberFormat="1" applyAlignment="1">
      <alignment horizontal="center"/>
    </xf>
    <xf numFmtId="10" fontId="0" fillId="0" borderId="0" xfId="37" applyNumberFormat="1" applyFont="1" applyFill="1" applyAlignment="1">
      <alignment horizontal="center"/>
    </xf>
    <xf numFmtId="1" fontId="24" fillId="0" borderId="0" xfId="28" quotePrefix="1" applyNumberFormat="1" applyAlignment="1">
      <alignment horizontal="right"/>
    </xf>
    <xf numFmtId="164" fontId="21" fillId="0" borderId="0" xfId="96" applyNumberFormat="1" applyFont="1" applyFill="1" applyBorder="1" applyAlignment="1">
      <alignment horizontal="left" indent="1"/>
    </xf>
    <xf numFmtId="0" fontId="21" fillId="0" borderId="0" xfId="28" quotePrefix="1" applyFont="1" applyAlignment="1">
      <alignment horizontal="center" vertical="center"/>
    </xf>
    <xf numFmtId="0" fontId="21" fillId="0" borderId="0" xfId="28" quotePrefix="1" applyFont="1" applyAlignment="1">
      <alignment horizontal="center"/>
    </xf>
    <xf numFmtId="167" fontId="21" fillId="0" borderId="0" xfId="28" quotePrefix="1" applyNumberFormat="1" applyFont="1" applyAlignment="1">
      <alignment horizontal="center"/>
    </xf>
    <xf numFmtId="0" fontId="21" fillId="0" borderId="0" xfId="28" quotePrefix="1" applyFont="1" applyAlignment="1">
      <alignment vertical="center"/>
    </xf>
    <xf numFmtId="0" fontId="24" fillId="0" borderId="0" xfId="28" applyAlignment="1">
      <alignment vertical="center"/>
    </xf>
    <xf numFmtId="0" fontId="22" fillId="0" borderId="0" xfId="28" applyFont="1" applyAlignment="1">
      <alignment horizontal="right" vertical="center"/>
    </xf>
    <xf numFmtId="0" fontId="21" fillId="0" borderId="0" xfId="126" applyAlignment="1">
      <alignment vertical="center" wrapText="1"/>
    </xf>
    <xf numFmtId="0" fontId="21" fillId="0" borderId="0" xfId="126" applyAlignment="1">
      <alignment horizontal="center" vertical="center" wrapText="1"/>
    </xf>
    <xf numFmtId="0" fontId="21" fillId="0" borderId="17" xfId="0" applyFont="1" applyBorder="1" applyAlignment="1">
      <alignment horizontal="center"/>
    </xf>
    <xf numFmtId="166" fontId="21" fillId="0" borderId="0" xfId="126" applyNumberFormat="1"/>
    <xf numFmtId="3" fontId="21" fillId="0" borderId="0" xfId="131" applyNumberFormat="1" applyFont="1"/>
    <xf numFmtId="3" fontId="21" fillId="0" borderId="0" xfId="132" applyNumberFormat="1" applyFont="1"/>
    <xf numFmtId="3" fontId="21" fillId="0" borderId="0" xfId="130" applyNumberFormat="1" applyFont="1" applyAlignment="1">
      <alignment horizontal="center"/>
    </xf>
    <xf numFmtId="179" fontId="22" fillId="0" borderId="0" xfId="35" applyNumberFormat="1" applyFont="1" applyAlignment="1">
      <alignment horizontal="left"/>
    </xf>
    <xf numFmtId="0" fontId="21" fillId="0" borderId="7" xfId="126" applyBorder="1"/>
    <xf numFmtId="0" fontId="21" fillId="0" borderId="7" xfId="126" applyBorder="1" applyAlignment="1">
      <alignment horizontal="center"/>
    </xf>
    <xf numFmtId="174" fontId="21" fillId="36" borderId="0" xfId="0" applyNumberFormat="1" applyFont="1" applyFill="1" applyAlignment="1">
      <alignment horizontal="center"/>
    </xf>
    <xf numFmtId="0" fontId="52" fillId="0" borderId="10" xfId="126" applyFont="1" applyBorder="1" applyAlignment="1">
      <alignment horizontal="center"/>
    </xf>
    <xf numFmtId="9" fontId="0" fillId="0" borderId="0" xfId="0" applyNumberFormat="1" applyAlignment="1">
      <alignment horizontal="left"/>
    </xf>
    <xf numFmtId="0" fontId="21" fillId="0" borderId="4" xfId="126" applyBorder="1" applyAlignment="1">
      <alignment wrapText="1"/>
    </xf>
    <xf numFmtId="0" fontId="21" fillId="0" borderId="0" xfId="126" quotePrefix="1" applyAlignment="1">
      <alignment horizontal="center" vertical="center" wrapText="1"/>
    </xf>
    <xf numFmtId="0" fontId="21" fillId="0" borderId="0" xfId="126" quotePrefix="1" applyAlignment="1">
      <alignment horizontal="center" vertical="top" wrapText="1"/>
    </xf>
    <xf numFmtId="3" fontId="21" fillId="0" borderId="3" xfId="126" applyNumberFormat="1" applyBorder="1"/>
    <xf numFmtId="10" fontId="21" fillId="0" borderId="3" xfId="126" applyNumberFormat="1" applyBorder="1"/>
    <xf numFmtId="10" fontId="53" fillId="0" borderId="3" xfId="134" applyNumberFormat="1" applyFont="1" applyFill="1" applyBorder="1"/>
    <xf numFmtId="0" fontId="63" fillId="0" borderId="0" xfId="126" quotePrefix="1" applyFont="1" applyAlignment="1">
      <alignment horizontal="center" vertical="center" wrapText="1"/>
    </xf>
    <xf numFmtId="0" fontId="21" fillId="0" borderId="6" xfId="126" quotePrefix="1" applyBorder="1" applyAlignment="1">
      <alignment horizontal="center" wrapText="1"/>
    </xf>
    <xf numFmtId="0" fontId="21" fillId="0" borderId="5" xfId="126" quotePrefix="1" applyBorder="1" applyAlignment="1">
      <alignment horizontal="center" wrapText="1"/>
    </xf>
    <xf numFmtId="0" fontId="22" fillId="0" borderId="9" xfId="126" applyFont="1" applyBorder="1"/>
    <xf numFmtId="0" fontId="21" fillId="0" borderId="4" xfId="126"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69" fillId="0" borderId="0" xfId="0" applyFont="1" applyAlignment="1">
      <alignment horizontal="left" indent="2"/>
    </xf>
    <xf numFmtId="0" fontId="162" fillId="0" borderId="0" xfId="0" applyFont="1"/>
    <xf numFmtId="0" fontId="69" fillId="0" borderId="0" xfId="0" applyFont="1" applyAlignment="1">
      <alignment horizontal="left" indent="1"/>
    </xf>
    <xf numFmtId="0" fontId="26" fillId="37" borderId="0" xfId="0" applyFont="1" applyFill="1"/>
    <xf numFmtId="0" fontId="69" fillId="36" borderId="0" xfId="0" applyFont="1" applyFill="1"/>
    <xf numFmtId="0" fontId="162" fillId="0" borderId="0" xfId="0" applyFont="1" applyAlignment="1">
      <alignment horizontal="right"/>
    </xf>
    <xf numFmtId="0" fontId="64" fillId="0" borderId="0" xfId="0" applyFont="1"/>
    <xf numFmtId="0" fontId="163" fillId="0" borderId="0" xfId="0" applyFont="1"/>
    <xf numFmtId="0" fontId="0" fillId="0" borderId="0" xfId="0" applyAlignment="1">
      <alignment horizontal="left" vertical="center" indent="1"/>
    </xf>
    <xf numFmtId="3" fontId="60" fillId="0" borderId="0" xfId="0" applyNumberFormat="1" applyFont="1"/>
    <xf numFmtId="0" fontId="22" fillId="0" borderId="0" xfId="34" applyFont="1" applyAlignment="1">
      <alignment horizontal="right"/>
    </xf>
    <xf numFmtId="0" fontId="22" fillId="0" borderId="0" xfId="0" applyFont="1" applyAlignment="1">
      <alignment horizontal="right" indent="1"/>
    </xf>
    <xf numFmtId="0" fontId="21" fillId="0" borderId="4" xfId="0" applyFont="1" applyBorder="1"/>
    <xf numFmtId="167" fontId="54" fillId="0" borderId="0" xfId="19" quotePrefix="1" applyNumberFormat="1" applyFont="1"/>
    <xf numFmtId="167" fontId="54" fillId="0" borderId="0" xfId="19" applyNumberFormat="1" applyFont="1" applyBorder="1" applyAlignment="1">
      <alignment horizontal="center"/>
    </xf>
    <xf numFmtId="167" fontId="51" fillId="0" borderId="0" xfId="19" applyNumberFormat="1" applyFont="1" applyBorder="1" applyAlignment="1"/>
    <xf numFmtId="167" fontId="53" fillId="0" borderId="0" xfId="19" applyNumberFormat="1" applyFont="1"/>
    <xf numFmtId="167" fontId="54" fillId="0" borderId="0" xfId="19" quotePrefix="1" applyNumberFormat="1" applyFont="1" applyAlignment="1">
      <alignment horizontal="right"/>
    </xf>
    <xf numFmtId="181" fontId="54" fillId="36" borderId="0" xfId="19" quotePrefix="1" applyNumberFormat="1" applyFont="1" applyFill="1" applyAlignment="1">
      <alignment horizontal="center"/>
    </xf>
    <xf numFmtId="167" fontId="53" fillId="0" borderId="0" xfId="19" applyNumberFormat="1" applyFont="1" applyAlignment="1">
      <alignment horizontal="center"/>
    </xf>
    <xf numFmtId="167" fontId="54" fillId="0" borderId="0" xfId="19" quotePrefix="1" applyNumberFormat="1" applyFont="1" applyAlignment="1">
      <alignment horizontal="center"/>
    </xf>
    <xf numFmtId="167" fontId="0" fillId="0" borderId="0" xfId="19" applyNumberFormat="1" applyFont="1" applyAlignment="1">
      <alignment horizontal="center"/>
    </xf>
    <xf numFmtId="167" fontId="60" fillId="0" borderId="0" xfId="19" applyNumberFormat="1" applyFont="1" applyAlignment="1">
      <alignment horizontal="center"/>
    </xf>
    <xf numFmtId="167" fontId="54" fillId="0" borderId="61" xfId="19" applyNumberFormat="1" applyFont="1" applyBorder="1" applyAlignment="1">
      <alignment horizontal="center" vertical="center"/>
    </xf>
    <xf numFmtId="167" fontId="54" fillId="0" borderId="61" xfId="19" quotePrefix="1" applyNumberFormat="1" applyFont="1" applyBorder="1" applyAlignment="1">
      <alignment horizontal="center" vertical="center"/>
    </xf>
    <xf numFmtId="167" fontId="165" fillId="0" borderId="0" xfId="19" applyNumberFormat="1" applyFont="1" applyAlignment="1">
      <alignment horizontal="center"/>
    </xf>
    <xf numFmtId="167" fontId="54"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4" fillId="0" borderId="0" xfId="19" applyNumberFormat="1" applyFont="1" applyAlignment="1">
      <alignment horizontal="center"/>
    </xf>
    <xf numFmtId="167" fontId="55" fillId="0" borderId="0" xfId="19" applyNumberFormat="1" applyFont="1"/>
    <xf numFmtId="167" fontId="166" fillId="0" borderId="0" xfId="19" applyNumberFormat="1" applyFont="1"/>
    <xf numFmtId="167" fontId="53" fillId="0" borderId="0" xfId="19" applyNumberFormat="1" applyFont="1" applyFill="1"/>
    <xf numFmtId="0" fontId="53" fillId="0" borderId="0" xfId="19" applyNumberFormat="1" applyFont="1" applyFill="1" applyAlignment="1">
      <alignment horizontal="center"/>
    </xf>
    <xf numFmtId="167" fontId="53" fillId="36" borderId="0" xfId="19" applyNumberFormat="1" applyFont="1" applyFill="1"/>
    <xf numFmtId="167" fontId="53" fillId="36" borderId="0" xfId="19" quotePrefix="1" applyNumberFormat="1" applyFont="1" applyFill="1" applyAlignment="1">
      <alignment vertical="center"/>
    </xf>
    <xf numFmtId="0" fontId="53" fillId="36" borderId="0" xfId="19" applyNumberFormat="1" applyFont="1" applyFill="1"/>
    <xf numFmtId="0" fontId="54" fillId="0" borderId="0" xfId="19" quotePrefix="1" applyNumberFormat="1" applyFont="1" applyAlignment="1">
      <alignment horizontal="center"/>
    </xf>
    <xf numFmtId="167" fontId="53" fillId="0" borderId="0" xfId="19" applyNumberFormat="1" applyFont="1" applyFill="1" applyAlignment="1">
      <alignment horizontal="right"/>
    </xf>
    <xf numFmtId="0" fontId="53" fillId="0" borderId="0" xfId="19" applyNumberFormat="1" applyFont="1" applyFill="1"/>
    <xf numFmtId="167" fontId="166" fillId="0" borderId="0" xfId="19" applyNumberFormat="1" applyFont="1" applyFill="1"/>
    <xf numFmtId="0" fontId="166" fillId="0" borderId="0" xfId="19" applyNumberFormat="1" applyFont="1" applyFill="1"/>
    <xf numFmtId="41" fontId="53" fillId="0" borderId="0" xfId="0" applyNumberFormat="1" applyFont="1"/>
    <xf numFmtId="167" fontId="167" fillId="0" borderId="0" xfId="19" applyNumberFormat="1" applyFont="1" applyFill="1"/>
    <xf numFmtId="41" fontId="53" fillId="36" borderId="9" xfId="0" applyNumberFormat="1" applyFont="1" applyFill="1" applyBorder="1"/>
    <xf numFmtId="167" fontId="54" fillId="0" borderId="0" xfId="19" applyNumberFormat="1" applyFont="1" applyFill="1"/>
    <xf numFmtId="0" fontId="54" fillId="0" borderId="0" xfId="19" applyNumberFormat="1" applyFont="1" applyFill="1"/>
    <xf numFmtId="167" fontId="52" fillId="0" borderId="0" xfId="19" applyNumberFormat="1" applyFont="1" applyFill="1"/>
    <xf numFmtId="0" fontId="52" fillId="0" borderId="0" xfId="19" applyNumberFormat="1" applyFont="1" applyFill="1"/>
    <xf numFmtId="167" fontId="54" fillId="0" borderId="0" xfId="19" applyNumberFormat="1" applyFont="1"/>
    <xf numFmtId="41" fontId="53" fillId="0" borderId="0" xfId="53892" applyFont="1"/>
    <xf numFmtId="167" fontId="52" fillId="0" borderId="0" xfId="19" applyNumberFormat="1" applyFont="1"/>
    <xf numFmtId="167" fontId="53" fillId="0" borderId="0" xfId="19" applyNumberFormat="1" applyFont="1" applyBorder="1"/>
    <xf numFmtId="167" fontId="25" fillId="0" borderId="0" xfId="19" applyNumberFormat="1" applyFont="1"/>
    <xf numFmtId="167" fontId="168" fillId="0" borderId="0" xfId="19" applyNumberFormat="1" applyFont="1"/>
    <xf numFmtId="167" fontId="21" fillId="0" borderId="0" xfId="19" applyNumberFormat="1" applyFont="1" applyAlignment="1">
      <alignment horizontal="left" indent="1"/>
    </xf>
    <xf numFmtId="167" fontId="53" fillId="0" borderId="0" xfId="19" applyNumberFormat="1" applyFont="1" applyAlignment="1">
      <alignment horizontal="left" indent="1"/>
    </xf>
    <xf numFmtId="167" fontId="53" fillId="0" borderId="0" xfId="19" applyNumberFormat="1" applyFont="1" applyAlignment="1">
      <alignment horizontal="right"/>
    </xf>
    <xf numFmtId="167" fontId="53" fillId="36" borderId="0" xfId="19" quotePrefix="1" applyNumberFormat="1" applyFont="1" applyFill="1" applyAlignment="1">
      <alignment horizontal="right"/>
    </xf>
    <xf numFmtId="181" fontId="53" fillId="36" borderId="0" xfId="19" applyNumberFormat="1" applyFont="1" applyFill="1" applyAlignment="1">
      <alignment horizontal="right"/>
    </xf>
    <xf numFmtId="167" fontId="54" fillId="0" borderId="0" xfId="19" quotePrefix="1" applyNumberFormat="1" applyFont="1" applyBorder="1" applyAlignment="1">
      <alignment horizontal="center"/>
    </xf>
    <xf numFmtId="167" fontId="54" fillId="36" borderId="0" xfId="19" quotePrefix="1" applyNumberFormat="1" applyFont="1" applyFill="1" applyAlignment="1">
      <alignment horizontal="center"/>
    </xf>
    <xf numFmtId="167" fontId="54" fillId="0" borderId="0" xfId="19" applyNumberFormat="1" applyFont="1" applyAlignment="1">
      <alignment horizontal="right"/>
    </xf>
    <xf numFmtId="10" fontId="53" fillId="36" borderId="0" xfId="19" applyNumberFormat="1" applyFont="1" applyFill="1" applyAlignment="1">
      <alignment horizontal="center"/>
    </xf>
    <xf numFmtId="167" fontId="54" fillId="0" borderId="66" xfId="19" applyNumberFormat="1" applyFont="1" applyBorder="1" applyAlignment="1">
      <alignment horizontal="center"/>
    </xf>
    <xf numFmtId="167" fontId="54" fillId="0" borderId="40" xfId="19" applyNumberFormat="1" applyFont="1" applyBorder="1" applyAlignment="1">
      <alignment horizontal="center"/>
    </xf>
    <xf numFmtId="167" fontId="54" fillId="0" borderId="61" xfId="19" quotePrefix="1" applyNumberFormat="1" applyFont="1" applyBorder="1" applyAlignment="1">
      <alignment horizontal="center"/>
    </xf>
    <xf numFmtId="167" fontId="54" fillId="0" borderId="40" xfId="19" quotePrefix="1" applyNumberFormat="1" applyFont="1" applyBorder="1" applyAlignment="1">
      <alignment horizontal="center"/>
    </xf>
    <xf numFmtId="167" fontId="54" fillId="0" borderId="61" xfId="19" applyNumberFormat="1" applyFont="1" applyFill="1" applyBorder="1" applyAlignment="1">
      <alignment horizontal="center" wrapText="1"/>
    </xf>
    <xf numFmtId="41" fontId="53" fillId="36" borderId="0" xfId="53892" applyFont="1" applyFill="1"/>
    <xf numFmtId="167" fontId="55" fillId="0" borderId="0" xfId="19" applyNumberFormat="1" applyFont="1" applyFill="1"/>
    <xf numFmtId="167" fontId="53" fillId="0" borderId="0" xfId="19" applyNumberFormat="1" applyFont="1" applyFill="1" applyAlignment="1">
      <alignment horizontal="left" indent="1"/>
    </xf>
    <xf numFmtId="167" fontId="22" fillId="0" borderId="0" xfId="19" quotePrefix="1" applyNumberFormat="1" applyFont="1"/>
    <xf numFmtId="0" fontId="54" fillId="0" borderId="0" xfId="0" applyFont="1" applyAlignment="1">
      <alignment horizontal="right"/>
    </xf>
    <xf numFmtId="5" fontId="53" fillId="0" borderId="0" xfId="19" applyNumberFormat="1" applyFont="1" applyFill="1"/>
    <xf numFmtId="5" fontId="53" fillId="0" borderId="62" xfId="19" applyNumberFormat="1" applyFont="1" applyFill="1" applyBorder="1"/>
    <xf numFmtId="5" fontId="53" fillId="0" borderId="9" xfId="53892" applyNumberFormat="1" applyFont="1" applyFill="1" applyBorder="1"/>
    <xf numFmtId="5" fontId="53" fillId="0" borderId="9" xfId="19" applyNumberFormat="1" applyFont="1" applyFill="1" applyBorder="1"/>
    <xf numFmtId="5" fontId="53" fillId="0" borderId="15" xfId="0" applyNumberFormat="1" applyFont="1" applyBorder="1"/>
    <xf numFmtId="5" fontId="53" fillId="0" borderId="0" xfId="19" applyNumberFormat="1" applyFont="1"/>
    <xf numFmtId="5" fontId="53" fillId="0" borderId="15" xfId="53892" applyNumberFormat="1" applyFont="1" applyBorder="1"/>
    <xf numFmtId="5" fontId="53" fillId="0" borderId="15" xfId="53892" applyNumberFormat="1" applyFont="1" applyFill="1" applyBorder="1"/>
    <xf numFmtId="5" fontId="53" fillId="0" borderId="15" xfId="19" applyNumberFormat="1" applyFont="1" applyBorder="1"/>
    <xf numFmtId="5" fontId="53" fillId="0" borderId="62" xfId="19" applyNumberFormat="1" applyFont="1" applyBorder="1"/>
    <xf numFmtId="164" fontId="53" fillId="0" borderId="9" xfId="19" applyNumberFormat="1" applyFont="1" applyFill="1" applyBorder="1"/>
    <xf numFmtId="164" fontId="53" fillId="0" borderId="9" xfId="0" applyNumberFormat="1" applyFont="1" applyBorder="1"/>
    <xf numFmtId="0" fontId="21" fillId="0" borderId="3" xfId="126" applyBorder="1" applyAlignment="1">
      <alignment horizontal="center" wrapText="1"/>
    </xf>
    <xf numFmtId="0" fontId="21" fillId="0" borderId="3" xfId="126"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169" fillId="36" borderId="0" xfId="0" applyFont="1" applyFill="1" applyAlignment="1">
      <alignment horizontal="center"/>
    </xf>
    <xf numFmtId="0" fontId="64"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2" fillId="36" borderId="3" xfId="22" quotePrefix="1" applyNumberFormat="1" applyFont="1" applyFill="1" applyBorder="1" applyAlignment="1">
      <alignment horizontal="center"/>
    </xf>
    <xf numFmtId="0" fontId="52" fillId="36" borderId="3" xfId="0" applyFont="1" applyFill="1" applyBorder="1" applyAlignment="1">
      <alignment horizontal="center"/>
    </xf>
    <xf numFmtId="0" fontId="21" fillId="36" borderId="3" xfId="0" applyFont="1" applyFill="1" applyBorder="1" applyAlignment="1">
      <alignment horizontal="left"/>
    </xf>
    <xf numFmtId="177" fontId="21" fillId="36" borderId="3" xfId="22" applyNumberFormat="1" applyFont="1" applyFill="1" applyBorder="1"/>
    <xf numFmtId="177" fontId="52" fillId="36" borderId="3" xfId="22" applyNumberFormat="1" applyFont="1" applyFill="1" applyBorder="1"/>
    <xf numFmtId="10" fontId="21" fillId="34" borderId="0" xfId="0" applyNumberFormat="1" applyFont="1" applyFill="1"/>
    <xf numFmtId="3" fontId="21" fillId="36" borderId="3" xfId="97" quotePrefix="1" applyNumberFormat="1" applyFont="1" applyFill="1" applyBorder="1" applyAlignment="1">
      <alignment horizontal="center"/>
    </xf>
    <xf numFmtId="3" fontId="21"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0" fontId="161" fillId="0" borderId="0" xfId="0" applyFont="1"/>
    <xf numFmtId="0" fontId="21" fillId="36" borderId="0" xfId="100" applyFill="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10" fontId="53" fillId="36" borderId="0" xfId="0" applyNumberFormat="1" applyFont="1" applyFill="1" applyAlignment="1">
      <alignment horizontal="center"/>
    </xf>
    <xf numFmtId="165" fontId="0" fillId="0" borderId="0" xfId="0" applyNumberFormat="1" applyAlignment="1">
      <alignment horizontal="center"/>
    </xf>
    <xf numFmtId="165" fontId="28" fillId="0" borderId="0" xfId="0" applyNumberFormat="1" applyFont="1" applyAlignment="1">
      <alignment horizontal="center"/>
    </xf>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21" fillId="36" borderId="0" xfId="53893" applyNumberFormat="1" applyFont="1" applyFill="1"/>
    <xf numFmtId="0" fontId="25" fillId="36" borderId="0" xfId="0" quotePrefix="1" applyFont="1" applyFill="1" applyAlignment="1">
      <alignment horizontal="center"/>
    </xf>
    <xf numFmtId="0" fontId="21" fillId="36" borderId="0" xfId="0" applyFont="1" applyFill="1" applyAlignment="1">
      <alignment horizontal="right"/>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97" applyNumberFormat="1" applyFont="1" applyFill="1" applyBorder="1" applyAlignment="1">
      <alignment horizontal="left"/>
    </xf>
    <xf numFmtId="0" fontId="53" fillId="36" borderId="0" xfId="0" applyFont="1" applyFill="1" applyAlignment="1">
      <alignment horizontal="left"/>
    </xf>
    <xf numFmtId="164" fontId="21" fillId="36" borderId="0" xfId="96" applyNumberFormat="1" applyFont="1" applyFill="1" applyBorder="1" applyAlignment="1">
      <alignment horizontal="right"/>
    </xf>
    <xf numFmtId="10" fontId="53" fillId="36" borderId="0" xfId="100" applyNumberFormat="1" applyFont="1" applyFill="1"/>
    <xf numFmtId="164" fontId="53" fillId="36" borderId="0" xfId="0" applyNumberFormat="1" applyFont="1" applyFill="1" applyAlignment="1">
      <alignment wrapText="1"/>
    </xf>
    <xf numFmtId="164" fontId="53" fillId="36" borderId="0" xfId="19" applyNumberFormat="1" applyFont="1" applyFill="1" applyBorder="1"/>
    <xf numFmtId="37" fontId="52" fillId="36" borderId="3" xfId="97" quotePrefix="1" applyNumberFormat="1" applyFont="1" applyFill="1" applyBorder="1" applyAlignment="1">
      <alignment horizontal="center"/>
    </xf>
    <xf numFmtId="37" fontId="52" fillId="36" borderId="3" xfId="0" applyNumberFormat="1" applyFont="1" applyFill="1" applyBorder="1" applyAlignment="1">
      <alignment horizontal="center"/>
    </xf>
    <xf numFmtId="39" fontId="21" fillId="0" borderId="0" xfId="97" applyNumberFormat="1" applyFont="1" applyFill="1" applyBorder="1" applyAlignment="1">
      <alignment horizontal="right"/>
    </xf>
    <xf numFmtId="37" fontId="53" fillId="36" borderId="3" xfId="97" quotePrefix="1" applyNumberFormat="1" applyFont="1" applyFill="1" applyBorder="1" applyAlignment="1">
      <alignment horizontal="center"/>
    </xf>
    <xf numFmtId="164" fontId="21" fillId="0" borderId="0" xfId="19" applyNumberFormat="1" applyFont="1"/>
    <xf numFmtId="0" fontId="54"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7" fontId="21" fillId="0" borderId="0" xfId="97" applyNumberFormat="1" applyFont="1" applyFill="1"/>
    <xf numFmtId="167" fontId="21" fillId="0" borderId="0" xfId="97" applyNumberFormat="1" applyFont="1"/>
    <xf numFmtId="0" fontId="162" fillId="0" borderId="0" xfId="100" applyFont="1" applyAlignment="1">
      <alignment horizontal="center"/>
    </xf>
    <xf numFmtId="0" fontId="52" fillId="0" borderId="0" xfId="0" quotePrefix="1" applyFont="1"/>
    <xf numFmtId="164" fontId="52" fillId="0" borderId="0" xfId="0" applyNumberFormat="1" applyFont="1"/>
    <xf numFmtId="39" fontId="21" fillId="0" borderId="0" xfId="97" applyNumberFormat="1" applyFont="1" applyBorder="1" applyAlignment="1">
      <alignment horizontal="center"/>
    </xf>
    <xf numFmtId="0" fontId="57" fillId="0" borderId="0" xfId="28" applyFont="1"/>
    <xf numFmtId="167" fontId="52" fillId="0" borderId="0" xfId="28" applyNumberFormat="1" applyFont="1"/>
    <xf numFmtId="0" fontId="57" fillId="0" borderId="0" xfId="39" applyNumberFormat="1" applyFont="1" applyFill="1" applyBorder="1" applyAlignment="1">
      <alignment horizontal="center" wrapText="1"/>
    </xf>
    <xf numFmtId="167" fontId="52" fillId="0" borderId="0" xfId="22" applyNumberFormat="1" applyFont="1" applyBorder="1"/>
    <xf numFmtId="167" fontId="52" fillId="0" borderId="0" xfId="22" applyNumberFormat="1" applyFont="1" applyFill="1" applyBorder="1"/>
    <xf numFmtId="0" fontId="52" fillId="0" borderId="0" xfId="28" applyFont="1"/>
    <xf numFmtId="0" fontId="52" fillId="0" borderId="0" xfId="0" applyFont="1" applyAlignment="1">
      <alignment horizontal="left" indent="2"/>
    </xf>
    <xf numFmtId="0" fontId="52" fillId="0" borderId="0" xfId="0" applyFont="1" applyAlignment="1">
      <alignment horizontal="left" indent="3"/>
    </xf>
    <xf numFmtId="0" fontId="22" fillId="0" borderId="6" xfId="28" applyFont="1" applyBorder="1"/>
    <xf numFmtId="0" fontId="22" fillId="0" borderId="9" xfId="0" applyFont="1" applyBorder="1" applyAlignment="1">
      <alignment horizontal="center"/>
    </xf>
    <xf numFmtId="0" fontId="22" fillId="0" borderId="4" xfId="0" applyFont="1" applyBorder="1"/>
    <xf numFmtId="167" fontId="21" fillId="0" borderId="4" xfId="28" applyNumberFormat="1" applyFont="1" applyBorder="1"/>
    <xf numFmtId="0" fontId="52" fillId="0" borderId="0" xfId="0" applyFont="1" applyAlignment="1">
      <alignment horizontal="left"/>
    </xf>
    <xf numFmtId="164" fontId="21" fillId="0" borderId="8" xfId="28" applyNumberFormat="1" applyFont="1" applyBorder="1"/>
    <xf numFmtId="0" fontId="52" fillId="0" borderId="0" xfId="0" applyFont="1" applyAlignment="1">
      <alignment horizontal="center"/>
    </xf>
    <xf numFmtId="164" fontId="69" fillId="0" borderId="0" xfId="0" applyNumberFormat="1" applyFont="1"/>
    <xf numFmtId="0" fontId="52" fillId="0" borderId="0" xfId="0" quotePrefix="1" applyFont="1" applyAlignment="1">
      <alignment horizontal="center"/>
    </xf>
    <xf numFmtId="167" fontId="22" fillId="0" borderId="0" xfId="97" applyNumberFormat="1" applyFont="1" applyFill="1"/>
    <xf numFmtId="3" fontId="52" fillId="0" borderId="0" xfId="0" applyNumberFormat="1" applyFont="1"/>
    <xf numFmtId="167" fontId="170" fillId="0" borderId="0" xfId="28" applyNumberFormat="1" applyFont="1"/>
    <xf numFmtId="0" fontId="170" fillId="0" borderId="0" xfId="0" applyFont="1"/>
    <xf numFmtId="164" fontId="171" fillId="0" borderId="0" xfId="0" applyNumberFormat="1" applyFont="1"/>
    <xf numFmtId="0" fontId="171" fillId="0" borderId="0" xfId="0" applyFont="1"/>
    <xf numFmtId="0" fontId="157" fillId="0" borderId="0" xfId="0" applyFont="1"/>
    <xf numFmtId="39" fontId="170" fillId="0" borderId="0" xfId="97" applyNumberFormat="1" applyFont="1" applyBorder="1" applyAlignment="1">
      <alignment horizontal="center"/>
    </xf>
    <xf numFmtId="0" fontId="170" fillId="0" borderId="0" xfId="0" applyFont="1" applyAlignment="1">
      <alignment horizontal="center"/>
    </xf>
    <xf numFmtId="164" fontId="170" fillId="0" borderId="0" xfId="0" applyNumberFormat="1" applyFont="1"/>
    <xf numFmtId="39" fontId="57" fillId="36" borderId="3" xfId="22" quotePrefix="1" applyNumberFormat="1" applyFont="1" applyFill="1" applyBorder="1" applyAlignment="1">
      <alignment horizontal="center"/>
    </xf>
    <xf numFmtId="37" fontId="57" fillId="36" borderId="3" xfId="22" quotePrefix="1" applyNumberFormat="1" applyFont="1" applyFill="1" applyBorder="1" applyAlignment="1">
      <alignment horizontal="center"/>
    </xf>
    <xf numFmtId="37" fontId="57" fillId="0" borderId="0" xfId="22" quotePrefix="1" applyNumberFormat="1" applyFont="1" applyFill="1" applyBorder="1" applyAlignment="1">
      <alignment horizontal="center"/>
    </xf>
    <xf numFmtId="39" fontId="57" fillId="0" borderId="0" xfId="22" quotePrefix="1" applyNumberFormat="1" applyFont="1" applyFill="1" applyBorder="1" applyAlignment="1">
      <alignment horizontal="center"/>
    </xf>
    <xf numFmtId="0" fontId="0" fillId="0" borderId="0" xfId="0" applyAlignment="1">
      <alignment wrapText="1"/>
    </xf>
    <xf numFmtId="3" fontId="22" fillId="0" borderId="0" xfId="97" applyNumberFormat="1" applyFont="1" applyFill="1" applyBorder="1" applyAlignment="1">
      <alignment horizontal="center"/>
    </xf>
    <xf numFmtId="39" fontId="52" fillId="0" borderId="0" xfId="22" applyNumberFormat="1" applyFont="1" applyBorder="1" applyAlignment="1">
      <alignment horizontal="center"/>
    </xf>
    <xf numFmtId="39" fontId="52" fillId="0" borderId="0" xfId="22" applyNumberFormat="1" applyFont="1" applyFill="1" applyBorder="1" applyAlignment="1">
      <alignment horizontal="center"/>
    </xf>
    <xf numFmtId="176" fontId="52" fillId="0" borderId="0" xfId="22" applyFont="1" applyBorder="1" applyAlignment="1">
      <alignment horizontal="center"/>
    </xf>
    <xf numFmtId="39" fontId="57" fillId="37" borderId="3" xfId="22" applyNumberFormat="1" applyFont="1" applyFill="1" applyBorder="1" applyAlignment="1">
      <alignment horizontal="center"/>
    </xf>
    <xf numFmtId="3" fontId="57" fillId="0" borderId="0" xfId="22" applyNumberFormat="1" applyFont="1" applyFill="1" applyBorder="1" applyAlignment="1">
      <alignment horizontal="center"/>
    </xf>
    <xf numFmtId="3" fontId="57" fillId="0" borderId="0" xfId="22" applyNumberFormat="1" applyFont="1" applyBorder="1" applyAlignment="1">
      <alignment horizontal="center"/>
    </xf>
    <xf numFmtId="39" fontId="57" fillId="0" borderId="0" xfId="22" applyNumberFormat="1" applyFont="1" applyFill="1" applyBorder="1" applyAlignment="1">
      <alignment horizontal="center"/>
    </xf>
    <xf numFmtId="39" fontId="57" fillId="0" borderId="0" xfId="22" applyNumberFormat="1" applyFont="1" applyBorder="1" applyAlignment="1">
      <alignment horizontal="center"/>
    </xf>
    <xf numFmtId="3" fontId="57" fillId="37" borderId="3" xfId="22" applyNumberFormat="1" applyFont="1" applyFill="1" applyBorder="1" applyAlignment="1">
      <alignment horizontal="center"/>
    </xf>
    <xf numFmtId="0" fontId="52" fillId="36" borderId="3" xfId="0" quotePrefix="1" applyFont="1" applyFill="1" applyBorder="1" applyAlignment="1">
      <alignment horizontal="center"/>
    </xf>
    <xf numFmtId="0" fontId="52" fillId="36" borderId="3" xfId="0" quotePrefix="1" applyFont="1" applyFill="1" applyBorder="1"/>
    <xf numFmtId="0" fontId="162" fillId="0" borderId="0" xfId="100" applyFont="1"/>
    <xf numFmtId="167" fontId="162" fillId="0" borderId="0" xfId="97" applyNumberFormat="1" applyFont="1" applyFill="1" applyAlignment="1">
      <alignment horizontal="center"/>
    </xf>
    <xf numFmtId="168" fontId="21" fillId="0" borderId="0" xfId="0" applyNumberFormat="1" applyFont="1" applyAlignment="1">
      <alignment horizontal="right"/>
    </xf>
    <xf numFmtId="172" fontId="21" fillId="0" borderId="0" xfId="0" applyNumberFormat="1" applyFont="1" applyAlignment="1">
      <alignment horizontal="right"/>
    </xf>
    <xf numFmtId="168" fontId="21" fillId="0" borderId="0" xfId="0" applyNumberFormat="1" applyFont="1"/>
    <xf numFmtId="165" fontId="21" fillId="0" borderId="0" xfId="0" applyNumberFormat="1" applyFont="1" applyAlignment="1">
      <alignment horizontal="left" indent="1"/>
    </xf>
    <xf numFmtId="164" fontId="21" fillId="0" borderId="62" xfId="0" applyNumberFormat="1" applyFont="1" applyBorder="1"/>
    <xf numFmtId="167" fontId="21" fillId="0" borderId="0" xfId="19" applyNumberFormat="1" applyFont="1" applyBorder="1"/>
    <xf numFmtId="171" fontId="21" fillId="0" borderId="0" xfId="37" applyNumberFormat="1" applyFont="1" applyBorder="1" applyAlignment="1">
      <alignment horizontal="left" indent="3"/>
    </xf>
    <xf numFmtId="10" fontId="21" fillId="0" borderId="0" xfId="37" applyNumberFormat="1" applyFont="1" applyBorder="1" applyAlignment="1">
      <alignment horizontal="center"/>
    </xf>
    <xf numFmtId="164" fontId="21" fillId="0" borderId="0" xfId="19" applyNumberFormat="1" applyFont="1" applyBorder="1"/>
    <xf numFmtId="41" fontId="21" fillId="0" borderId="0" xfId="19" applyNumberFormat="1" applyFont="1" applyBorder="1"/>
    <xf numFmtId="10" fontId="21" fillId="0" borderId="0" xfId="37" applyNumberFormat="1" applyFont="1" applyFill="1" applyBorder="1" applyAlignment="1">
      <alignment horizontal="center"/>
    </xf>
    <xf numFmtId="164" fontId="21" fillId="0" borderId="0" xfId="19" applyNumberFormat="1" applyFont="1" applyBorder="1" applyAlignment="1">
      <alignment horizontal="left" indent="1"/>
    </xf>
    <xf numFmtId="164" fontId="21" fillId="0" borderId="62" xfId="96" applyNumberFormat="1" applyFont="1" applyBorder="1"/>
    <xf numFmtId="164" fontId="21" fillId="0" borderId="62" xfId="96" applyNumberFormat="1" applyFont="1" applyFill="1" applyBorder="1"/>
    <xf numFmtId="164" fontId="21" fillId="36" borderId="8" xfId="0" applyNumberFormat="1" applyFont="1" applyFill="1" applyBorder="1"/>
    <xf numFmtId="164" fontId="21" fillId="0" borderId="0" xfId="20" applyNumberFormat="1" applyFont="1" applyFill="1" applyBorder="1" applyAlignment="1">
      <alignment horizontal="right"/>
    </xf>
    <xf numFmtId="167" fontId="21" fillId="0" borderId="0" xfId="20" applyNumberFormat="1" applyFont="1" applyFill="1" applyBorder="1" applyAlignment="1">
      <alignment horizontal="right"/>
    </xf>
    <xf numFmtId="0" fontId="21" fillId="37" borderId="3" xfId="0" applyFont="1" applyFill="1" applyBorder="1" applyAlignment="1">
      <alignment horizontal="center"/>
    </xf>
    <xf numFmtId="0" fontId="21" fillId="37" borderId="3" xfId="0" applyFont="1" applyFill="1" applyBorder="1"/>
    <xf numFmtId="39" fontId="21" fillId="37" borderId="3" xfId="22" applyNumberFormat="1" applyFont="1" applyFill="1" applyBorder="1" applyAlignment="1">
      <alignment horizontal="center"/>
    </xf>
    <xf numFmtId="39" fontId="21" fillId="0" borderId="3" xfId="22" applyNumberFormat="1" applyFont="1" applyBorder="1" applyAlignment="1">
      <alignment horizontal="center" wrapText="1"/>
    </xf>
    <xf numFmtId="37" fontId="21" fillId="0" borderId="3" xfId="22" quotePrefix="1" applyNumberFormat="1" applyFont="1" applyFill="1" applyBorder="1" applyAlignment="1">
      <alignment horizontal="center"/>
    </xf>
    <xf numFmtId="39" fontId="21" fillId="0" borderId="3" xfId="22" quotePrefix="1" applyNumberFormat="1" applyFont="1" applyFill="1" applyBorder="1" applyAlignment="1">
      <alignment horizontal="center"/>
    </xf>
    <xf numFmtId="39" fontId="21" fillId="36" borderId="4" xfId="22" quotePrefix="1" applyNumberFormat="1" applyFont="1" applyFill="1" applyBorder="1" applyAlignment="1">
      <alignment horizontal="center"/>
    </xf>
    <xf numFmtId="39" fontId="21" fillId="36" borderId="3" xfId="22" quotePrefix="1" applyNumberFormat="1" applyFont="1" applyFill="1" applyBorder="1" applyAlignment="1">
      <alignment horizontal="center"/>
    </xf>
    <xf numFmtId="3" fontId="21" fillId="0" borderId="3" xfId="22" applyNumberFormat="1" applyFont="1" applyFill="1" applyBorder="1" applyAlignment="1">
      <alignment horizontal="center"/>
    </xf>
    <xf numFmtId="37" fontId="21" fillId="0" borderId="0" xfId="0" applyNumberFormat="1" applyFont="1" applyAlignment="1">
      <alignment horizontal="center"/>
    </xf>
    <xf numFmtId="37" fontId="21" fillId="0" borderId="3" xfId="22" applyNumberFormat="1" applyFont="1" applyFill="1" applyBorder="1" applyAlignment="1">
      <alignment horizontal="center"/>
    </xf>
    <xf numFmtId="37" fontId="21" fillId="36" borderId="3"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176" fontId="21" fillId="0" borderId="0" xfId="22" applyFont="1" applyBorder="1" applyAlignment="1">
      <alignment horizontal="center"/>
    </xf>
    <xf numFmtId="0" fontId="21" fillId="36" borderId="6" xfId="0" applyFont="1" applyFill="1" applyBorder="1"/>
    <xf numFmtId="39" fontId="21" fillId="36" borderId="3" xfId="22" applyNumberFormat="1" applyFont="1" applyFill="1" applyBorder="1" applyAlignment="1">
      <alignment horizontal="center"/>
    </xf>
    <xf numFmtId="39" fontId="21" fillId="36" borderId="3" xfId="0" applyNumberFormat="1" applyFont="1" applyFill="1" applyBorder="1" applyAlignment="1">
      <alignment horizontal="center"/>
    </xf>
    <xf numFmtId="39" fontId="21" fillId="0" borderId="0" xfId="22" quotePrefix="1" applyNumberFormat="1" applyFont="1" applyBorder="1" applyAlignment="1">
      <alignment horizontal="center"/>
    </xf>
    <xf numFmtId="39" fontId="21" fillId="0" borderId="0" xfId="22" quotePrefix="1" applyNumberFormat="1" applyFont="1" applyFill="1" applyBorder="1" applyAlignment="1">
      <alignment horizontal="center"/>
    </xf>
    <xf numFmtId="0" fontId="21" fillId="37" borderId="3" xfId="0" quotePrefix="1" applyFont="1" applyFill="1" applyBorder="1"/>
    <xf numFmtId="39" fontId="21" fillId="0" borderId="3" xfId="22" applyNumberFormat="1" applyFont="1" applyBorder="1" applyAlignment="1">
      <alignment horizontal="right"/>
    </xf>
    <xf numFmtId="49" fontId="21" fillId="0" borderId="0" xfId="22" applyNumberFormat="1" applyFont="1" applyBorder="1" applyAlignment="1">
      <alignment horizontal="left"/>
    </xf>
    <xf numFmtId="39" fontId="21" fillId="0" borderId="3" xfId="22" quotePrefix="1" applyNumberFormat="1" applyFont="1" applyBorder="1" applyAlignment="1">
      <alignment horizontal="center"/>
    </xf>
    <xf numFmtId="49" fontId="21" fillId="0" borderId="0" xfId="22" quotePrefix="1" applyNumberFormat="1" applyFont="1" applyFill="1" applyBorder="1" applyAlignment="1">
      <alignment horizontal="left"/>
    </xf>
    <xf numFmtId="49" fontId="21" fillId="0" borderId="0" xfId="0" applyNumberFormat="1" applyFont="1" applyAlignment="1">
      <alignment horizontal="left"/>
    </xf>
    <xf numFmtId="10" fontId="21" fillId="0" borderId="3" xfId="38" applyNumberFormat="1" applyFont="1" applyFill="1" applyBorder="1" applyAlignment="1">
      <alignment horizontal="center"/>
    </xf>
    <xf numFmtId="176" fontId="21" fillId="0" borderId="0" xfId="22" applyFont="1" applyFill="1" applyBorder="1" applyAlignment="1">
      <alignment horizontal="center"/>
    </xf>
    <xf numFmtId="39" fontId="21" fillId="0" borderId="0" xfId="19" applyNumberFormat="1" applyFont="1" applyFill="1" applyBorder="1" applyAlignment="1">
      <alignment horizontal="center"/>
    </xf>
    <xf numFmtId="39" fontId="21" fillId="0" borderId="0" xfId="19" applyNumberFormat="1" applyFont="1" applyBorder="1" applyAlignment="1">
      <alignment horizontal="center"/>
    </xf>
    <xf numFmtId="164" fontId="21" fillId="0" borderId="0" xfId="19" applyNumberFormat="1" applyFont="1" applyBorder="1" applyAlignment="1">
      <alignment horizontal="center"/>
    </xf>
    <xf numFmtId="164" fontId="21" fillId="0" borderId="0" xfId="19" applyNumberFormat="1" applyFont="1" applyBorder="1" applyAlignment="1">
      <alignment horizontal="right"/>
    </xf>
    <xf numFmtId="39" fontId="21" fillId="36" borderId="0" xfId="22" applyNumberFormat="1" applyFont="1" applyFill="1" applyBorder="1" applyAlignment="1">
      <alignment horizontal="center"/>
    </xf>
    <xf numFmtId="164" fontId="21" fillId="0" borderId="0" xfId="0" applyNumberFormat="1" applyFont="1" applyAlignment="1">
      <alignment horizontal="right" indent="1"/>
    </xf>
    <xf numFmtId="164" fontId="21" fillId="0" borderId="0" xfId="20" applyNumberFormat="1" applyFont="1" applyFill="1"/>
    <xf numFmtId="41" fontId="21" fillId="0" borderId="0" xfId="20" applyNumberFormat="1" applyFont="1" applyFill="1"/>
    <xf numFmtId="41" fontId="21" fillId="0" borderId="0" xfId="20" applyNumberFormat="1" applyFont="1"/>
    <xf numFmtId="41" fontId="21" fillId="0" borderId="0" xfId="20" applyNumberFormat="1" applyFont="1" applyAlignment="1" applyProtection="1">
      <alignment horizontal="right" indent="2"/>
    </xf>
    <xf numFmtId="42" fontId="21" fillId="0" borderId="0" xfId="20" applyNumberFormat="1" applyFont="1" applyFill="1" applyBorder="1"/>
    <xf numFmtId="42" fontId="21" fillId="0" borderId="0" xfId="20" applyNumberFormat="1" applyFont="1" applyBorder="1"/>
    <xf numFmtId="164" fontId="21" fillId="0" borderId="0" xfId="20" applyNumberFormat="1" applyFont="1" applyFill="1" applyBorder="1"/>
    <xf numFmtId="164" fontId="21" fillId="0" borderId="0" xfId="20" applyNumberFormat="1" applyFont="1" applyBorder="1"/>
    <xf numFmtId="10" fontId="21" fillId="0" borderId="0" xfId="39" applyNumberFormat="1" applyFont="1" applyFill="1" applyBorder="1" applyAlignment="1">
      <alignment vertical="center"/>
    </xf>
    <xf numFmtId="10" fontId="21" fillId="0" borderId="0" xfId="39" applyNumberFormat="1" applyFont="1" applyFill="1" applyBorder="1"/>
    <xf numFmtId="164" fontId="21" fillId="0" borderId="0" xfId="39" applyNumberFormat="1" applyFont="1" applyFill="1"/>
    <xf numFmtId="42" fontId="21" fillId="0" borderId="0" xfId="20" applyNumberFormat="1" applyFont="1" applyFill="1"/>
    <xf numFmtId="42" fontId="21" fillId="0" borderId="0" xfId="39" applyNumberFormat="1" applyFont="1" applyFill="1"/>
    <xf numFmtId="0" fontId="172" fillId="0" borderId="0" xfId="0" applyFont="1"/>
    <xf numFmtId="164" fontId="28" fillId="0" borderId="0" xfId="0" quotePrefix="1" applyNumberFormat="1" applyFont="1"/>
    <xf numFmtId="0" fontId="22" fillId="0" borderId="61" xfId="19" applyNumberFormat="1" applyFont="1" applyBorder="1" applyAlignment="1">
      <alignment horizontal="center" vertical="center" wrapText="1"/>
    </xf>
    <xf numFmtId="0" fontId="22" fillId="0" borderId="17" xfId="19" applyNumberFormat="1" applyFont="1" applyBorder="1" applyAlignment="1">
      <alignment horizontal="center" vertical="center" wrapText="1"/>
    </xf>
    <xf numFmtId="0" fontId="0" fillId="0" borderId="0" xfId="19" applyNumberFormat="1" applyFont="1"/>
    <xf numFmtId="0" fontId="28" fillId="0" borderId="0" xfId="19" applyNumberFormat="1" applyFont="1"/>
    <xf numFmtId="0" fontId="21" fillId="0" borderId="0" xfId="19" applyNumberFormat="1" applyFont="1" applyBorder="1" applyAlignment="1">
      <alignment horizontal="left" indent="1"/>
    </xf>
    <xf numFmtId="0" fontId="21" fillId="0" borderId="0" xfId="19" applyNumberFormat="1" applyFont="1"/>
    <xf numFmtId="0" fontId="21" fillId="36" borderId="0" xfId="19" applyNumberFormat="1" applyFont="1" applyFill="1"/>
    <xf numFmtId="0" fontId="21" fillId="0" borderId="0" xfId="19" applyNumberFormat="1" applyFont="1" applyBorder="1"/>
    <xf numFmtId="0" fontId="35" fillId="0" borderId="0" xfId="0" applyFont="1"/>
    <xf numFmtId="0" fontId="174" fillId="0" borderId="0" xfId="0" applyFont="1"/>
    <xf numFmtId="5" fontId="53" fillId="0" borderId="0" xfId="19" applyNumberFormat="1" applyFont="1" applyBorder="1"/>
    <xf numFmtId="0" fontId="22" fillId="0" borderId="0" xfId="19" applyNumberFormat="1" applyFont="1" applyAlignment="1">
      <alignment horizontal="center"/>
    </xf>
    <xf numFmtId="167" fontId="21" fillId="0" borderId="0" xfId="19" applyNumberFormat="1" applyFont="1" applyAlignment="1">
      <alignment horizontal="center"/>
    </xf>
    <xf numFmtId="168" fontId="21" fillId="0" borderId="0" xfId="0" quotePrefix="1" applyNumberFormat="1" applyFont="1" applyAlignment="1">
      <alignment horizontal="right"/>
    </xf>
    <xf numFmtId="0" fontId="22" fillId="0" borderId="61" xfId="19" applyNumberFormat="1" applyFont="1" applyFill="1" applyBorder="1" applyAlignment="1">
      <alignment horizontal="center" vertical="center" wrapText="1"/>
    </xf>
    <xf numFmtId="0" fontId="25" fillId="0" borderId="0" xfId="19" applyNumberFormat="1" applyFont="1"/>
    <xf numFmtId="0" fontId="21" fillId="0" borderId="0" xfId="19" applyNumberFormat="1" applyFont="1" applyAlignment="1"/>
    <xf numFmtId="0" fontId="21" fillId="0" borderId="0" xfId="19" applyNumberFormat="1" applyFont="1" applyAlignment="1">
      <alignment horizontal="left" indent="1"/>
    </xf>
    <xf numFmtId="0" fontId="22" fillId="0" borderId="3" xfId="28" applyFont="1" applyBorder="1" applyAlignment="1">
      <alignment horizontal="center" wrapText="1"/>
    </xf>
    <xf numFmtId="164" fontId="21" fillId="0" borderId="0" xfId="28" quotePrefix="1" applyNumberFormat="1" applyFont="1" applyAlignment="1">
      <alignment horizontal="right"/>
    </xf>
    <xf numFmtId="39" fontId="22" fillId="0" borderId="3" xfId="22" quotePrefix="1" applyNumberFormat="1" applyFont="1" applyBorder="1" applyAlignment="1">
      <alignment horizontal="center"/>
    </xf>
    <xf numFmtId="39" fontId="22" fillId="0" borderId="3" xfId="22" quotePrefix="1" applyNumberFormat="1" applyFont="1" applyFill="1" applyBorder="1" applyAlignment="1">
      <alignment horizontal="center"/>
    </xf>
    <xf numFmtId="0" fontId="21" fillId="0" borderId="5" xfId="0" quotePrefix="1" applyFont="1" applyBorder="1" applyAlignment="1">
      <alignment horizontal="center"/>
    </xf>
    <xf numFmtId="3" fontId="22" fillId="36" borderId="5" xfId="97" quotePrefix="1" applyNumberFormat="1" applyFont="1" applyFill="1" applyBorder="1" applyAlignment="1">
      <alignment horizontal="center"/>
    </xf>
    <xf numFmtId="0" fontId="22" fillId="36" borderId="3" xfId="0" applyFont="1" applyFill="1" applyBorder="1" applyAlignment="1">
      <alignment horizontal="center"/>
    </xf>
    <xf numFmtId="0" fontId="21" fillId="36" borderId="0" xfId="100" applyFill="1" applyAlignment="1">
      <alignment horizontal="left" indent="1"/>
    </xf>
    <xf numFmtId="164" fontId="28" fillId="36" borderId="8" xfId="0" applyNumberFormat="1" applyFont="1" applyFill="1" applyBorder="1"/>
    <xf numFmtId="0" fontId="21" fillId="36" borderId="8" xfId="0" applyFont="1" applyFill="1" applyBorder="1"/>
    <xf numFmtId="164" fontId="28" fillId="0" borderId="0" xfId="100" applyNumberFormat="1" applyFont="1" applyAlignment="1">
      <alignment horizontal="right"/>
    </xf>
    <xf numFmtId="0" fontId="28" fillId="0" borderId="0" xfId="100" applyFont="1"/>
    <xf numFmtId="0" fontId="28" fillId="0" borderId="0" xfId="100" applyFont="1" applyAlignment="1">
      <alignment horizontal="left" indent="1"/>
    </xf>
    <xf numFmtId="164" fontId="28" fillId="0" borderId="8" xfId="100" applyNumberFormat="1" applyFont="1" applyBorder="1" applyAlignment="1">
      <alignment horizontal="right"/>
    </xf>
    <xf numFmtId="0" fontId="175" fillId="0" borderId="0" xfId="0" applyFont="1" applyAlignment="1">
      <alignment horizontal="left" indent="1"/>
    </xf>
    <xf numFmtId="0" fontId="175" fillId="0" borderId="0" xfId="0" applyFont="1"/>
    <xf numFmtId="167" fontId="22" fillId="0" borderId="0" xfId="19" applyNumberFormat="1" applyFont="1"/>
    <xf numFmtId="167" fontId="54" fillId="0" borderId="0" xfId="19" applyNumberFormat="1" applyFont="1" applyAlignment="1">
      <alignment horizontal="center"/>
    </xf>
    <xf numFmtId="10" fontId="21" fillId="0" borderId="0" xfId="0" applyNumberFormat="1" applyFont="1" applyAlignment="1">
      <alignment horizontal="right"/>
    </xf>
    <xf numFmtId="0" fontId="50" fillId="0" borderId="0" xfId="0" applyFont="1"/>
    <xf numFmtId="164" fontId="21" fillId="0" borderId="8" xfId="100" applyNumberFormat="1" applyBorder="1" applyAlignment="1">
      <alignment horizontal="right"/>
    </xf>
    <xf numFmtId="167" fontId="53" fillId="0" borderId="67" xfId="19" applyNumberFormat="1" applyFont="1" applyBorder="1" applyAlignment="1">
      <alignment horizontal="center"/>
    </xf>
    <xf numFmtId="0" fontId="21" fillId="0" borderId="6" xfId="0" quotePrefix="1" applyFont="1" applyBorder="1" applyAlignment="1">
      <alignment horizontal="left"/>
    </xf>
    <xf numFmtId="0" fontId="53" fillId="0" borderId="3" xfId="0" quotePrefix="1" applyFont="1" applyBorder="1" applyAlignment="1">
      <alignment horizontal="center"/>
    </xf>
    <xf numFmtId="37" fontId="21" fillId="0" borderId="3" xfId="97" applyNumberFormat="1" applyFont="1" applyFill="1" applyBorder="1" applyAlignment="1">
      <alignment horizontal="center"/>
    </xf>
    <xf numFmtId="164" fontId="21" fillId="0" borderId="8" xfId="108" applyNumberFormat="1" applyBorder="1" applyAlignment="1">
      <alignment horizontal="center"/>
    </xf>
    <xf numFmtId="164" fontId="21" fillId="0" borderId="0" xfId="108" applyNumberFormat="1" applyAlignment="1">
      <alignment horizontal="center"/>
    </xf>
    <xf numFmtId="167" fontId="21" fillId="36" borderId="0" xfId="19" applyNumberFormat="1" applyFont="1" applyFill="1"/>
    <xf numFmtId="0" fontId="176" fillId="36" borderId="0" xfId="0" applyFont="1" applyFill="1" applyAlignment="1">
      <alignment horizontal="center"/>
    </xf>
    <xf numFmtId="2" fontId="24" fillId="34" borderId="0" xfId="35" applyNumberFormat="1" applyFill="1" applyAlignment="1">
      <alignment horizontal="left"/>
    </xf>
    <xf numFmtId="179" fontId="24" fillId="34" borderId="0" xfId="35" quotePrefix="1" applyNumberFormat="1" applyFill="1" applyAlignment="1">
      <alignment horizontal="left"/>
    </xf>
    <xf numFmtId="179" fontId="24" fillId="34" borderId="0" xfId="35" applyNumberFormat="1" applyFill="1" applyAlignment="1">
      <alignment horizontal="left"/>
    </xf>
    <xf numFmtId="179" fontId="24" fillId="36" borderId="0" xfId="35" applyNumberFormat="1" applyFill="1" applyAlignment="1">
      <alignment horizontal="left"/>
    </xf>
    <xf numFmtId="0" fontId="24" fillId="36" borderId="0" xfId="35" applyFill="1" applyAlignment="1">
      <alignment horizontal="left" vertical="top" indent="1"/>
    </xf>
    <xf numFmtId="0" fontId="24" fillId="36" borderId="0" xfId="35" applyFill="1" applyAlignment="1">
      <alignment horizontal="left" vertical="top" indent="2"/>
    </xf>
    <xf numFmtId="179" fontId="24" fillId="36" borderId="0" xfId="35" quotePrefix="1" applyNumberFormat="1" applyFill="1" applyAlignment="1">
      <alignment horizontal="left"/>
    </xf>
    <xf numFmtId="5" fontId="21" fillId="36" borderId="0" xfId="97" applyNumberFormat="1" applyFont="1" applyFill="1" applyBorder="1"/>
    <xf numFmtId="5" fontId="21" fillId="36" borderId="0" xfId="97" applyNumberFormat="1" applyFont="1" applyFill="1" applyBorder="1" applyAlignment="1">
      <alignment horizontal="center"/>
    </xf>
    <xf numFmtId="0" fontId="177" fillId="0" borderId="0" xfId="0" applyFont="1" applyAlignment="1">
      <alignment horizontal="left"/>
    </xf>
    <xf numFmtId="0" fontId="177" fillId="0" borderId="0" xfId="0" applyFont="1"/>
    <xf numFmtId="0" fontId="177" fillId="0" borderId="0" xfId="0" applyFont="1" applyAlignment="1">
      <alignment horizontal="center"/>
    </xf>
    <xf numFmtId="37" fontId="22" fillId="36" borderId="3" xfId="97" applyNumberFormat="1" applyFont="1" applyFill="1" applyBorder="1" applyAlignment="1">
      <alignment horizontal="center"/>
    </xf>
    <xf numFmtId="3" fontId="22" fillId="36" borderId="3" xfId="97" applyNumberFormat="1" applyFont="1" applyFill="1" applyBorder="1" applyAlignment="1">
      <alignment horizontal="center"/>
    </xf>
    <xf numFmtId="167" fontId="21" fillId="36" borderId="0" xfId="19" applyNumberFormat="1" applyFill="1"/>
    <xf numFmtId="167" fontId="53" fillId="0" borderId="0" xfId="19" applyNumberFormat="1" applyFont="1" applyAlignment="1">
      <alignment horizontal="left"/>
    </xf>
    <xf numFmtId="164" fontId="21" fillId="34" borderId="0" xfId="19" applyNumberFormat="1" applyFont="1" applyFill="1"/>
    <xf numFmtId="164" fontId="24" fillId="0" borderId="0" xfId="34" applyNumberFormat="1"/>
    <xf numFmtId="164" fontId="58" fillId="36" borderId="0" xfId="19" applyNumberFormat="1" applyFont="1" applyFill="1" applyBorder="1"/>
    <xf numFmtId="3" fontId="21" fillId="36" borderId="4" xfId="97" quotePrefix="1" applyNumberFormat="1" applyFont="1" applyFill="1" applyBorder="1" applyAlignment="1">
      <alignment horizontal="center"/>
    </xf>
    <xf numFmtId="164" fontId="53" fillId="0" borderId="0" xfId="125" applyNumberFormat="1" applyFont="1"/>
    <xf numFmtId="165" fontId="53" fillId="34" borderId="0" xfId="0" applyNumberFormat="1" applyFont="1" applyFill="1" applyAlignment="1">
      <alignment wrapText="1"/>
    </xf>
    <xf numFmtId="206" fontId="21" fillId="0" borderId="0" xfId="0" applyNumberFormat="1" applyFont="1"/>
    <xf numFmtId="168" fontId="0" fillId="0" borderId="0" xfId="0" applyNumberFormat="1"/>
    <xf numFmtId="164" fontId="53" fillId="36" borderId="0" xfId="0" applyNumberFormat="1" applyFont="1" applyFill="1" applyAlignment="1">
      <alignment horizontal="right"/>
    </xf>
    <xf numFmtId="164" fontId="35" fillId="0" borderId="0" xfId="0" quotePrefix="1" applyNumberFormat="1" applyFont="1" applyAlignment="1">
      <alignment horizontal="right"/>
    </xf>
    <xf numFmtId="165" fontId="21" fillId="0" borderId="0" xfId="0" applyNumberFormat="1" applyFont="1" applyAlignment="1">
      <alignment horizontal="center"/>
    </xf>
    <xf numFmtId="164" fontId="0" fillId="0" borderId="0" xfId="0" quotePrefix="1" applyNumberFormat="1" applyAlignment="1">
      <alignment horizontal="center"/>
    </xf>
    <xf numFmtId="173" fontId="0" fillId="0" borderId="0" xfId="0" applyNumberFormat="1"/>
    <xf numFmtId="169" fontId="0" fillId="0" borderId="0" xfId="0" applyNumberFormat="1"/>
    <xf numFmtId="168" fontId="21" fillId="0" borderId="0" xfId="39" applyNumberFormat="1" applyFont="1" applyFill="1" applyBorder="1" applyAlignment="1">
      <alignment vertical="center"/>
    </xf>
    <xf numFmtId="168" fontId="24" fillId="0" borderId="0" xfId="28" applyNumberFormat="1"/>
    <xf numFmtId="167" fontId="21" fillId="0" borderId="0" xfId="19" applyNumberFormat="1" applyFont="1" applyFill="1"/>
    <xf numFmtId="164" fontId="21" fillId="0" borderId="0" xfId="19" applyNumberFormat="1" applyFont="1" applyFill="1"/>
    <xf numFmtId="164" fontId="21" fillId="0" borderId="3" xfId="126" applyNumberFormat="1" applyBorder="1"/>
    <xf numFmtId="173" fontId="21" fillId="0" borderId="0" xfId="126" applyNumberFormat="1" applyAlignment="1">
      <alignment horizontal="center"/>
    </xf>
    <xf numFmtId="166" fontId="21" fillId="0" borderId="16" xfId="126" applyNumberFormat="1" applyBorder="1" applyAlignment="1">
      <alignment horizontal="center"/>
    </xf>
    <xf numFmtId="166" fontId="21" fillId="0" borderId="0" xfId="126" applyNumberFormat="1" applyAlignment="1">
      <alignment horizontal="center"/>
    </xf>
    <xf numFmtId="164" fontId="21" fillId="0" borderId="17" xfId="126" applyNumberFormat="1" applyBorder="1"/>
    <xf numFmtId="166" fontId="21" fillId="0" borderId="17" xfId="126" applyNumberFormat="1" applyBorder="1" applyAlignment="1">
      <alignment horizontal="center"/>
    </xf>
    <xf numFmtId="3" fontId="21" fillId="36" borderId="0" xfId="129" applyNumberFormat="1" applyFont="1" applyFill="1" applyAlignment="1">
      <alignment horizontal="right"/>
    </xf>
    <xf numFmtId="3" fontId="21" fillId="0" borderId="0" xfId="0" applyNumberFormat="1" applyFont="1" applyAlignment="1">
      <alignment horizontal="right"/>
    </xf>
    <xf numFmtId="166" fontId="21" fillId="0" borderId="0" xfId="0" applyNumberFormat="1" applyFont="1" applyAlignment="1">
      <alignment horizontal="right"/>
    </xf>
    <xf numFmtId="173" fontId="21" fillId="0" borderId="0" xfId="126" quotePrefix="1" applyNumberFormat="1" applyAlignment="1">
      <alignment horizontal="center"/>
    </xf>
    <xf numFmtId="164" fontId="21" fillId="0" borderId="0" xfId="126" quotePrefix="1" applyNumberFormat="1" applyAlignment="1">
      <alignment horizontal="center"/>
    </xf>
    <xf numFmtId="164" fontId="21" fillId="0" borderId="0" xfId="126" applyNumberFormat="1" applyAlignment="1">
      <alignment horizontal="right"/>
    </xf>
    <xf numFmtId="166" fontId="21" fillId="0" borderId="16" xfId="126" quotePrefix="1" applyNumberFormat="1" applyBorder="1" applyAlignment="1">
      <alignment horizontal="center"/>
    </xf>
    <xf numFmtId="173" fontId="52" fillId="0" borderId="0" xfId="126" applyNumberFormat="1" applyFont="1" applyAlignment="1">
      <alignment horizontal="center"/>
    </xf>
    <xf numFmtId="166" fontId="21" fillId="0" borderId="0" xfId="126" quotePrefix="1" applyNumberFormat="1" applyAlignment="1">
      <alignment horizontal="center"/>
    </xf>
    <xf numFmtId="173" fontId="21" fillId="0" borderId="58" xfId="126" applyNumberFormat="1" applyBorder="1" applyAlignment="1">
      <alignment horizontal="center"/>
    </xf>
    <xf numFmtId="173" fontId="21" fillId="0" borderId="60" xfId="126" applyNumberFormat="1" applyBorder="1" applyAlignment="1">
      <alignment horizontal="center"/>
    </xf>
    <xf numFmtId="174" fontId="21" fillId="36" borderId="0" xfId="53787" applyNumberFormat="1" applyFill="1" applyAlignment="1">
      <alignment horizontal="center"/>
    </xf>
    <xf numFmtId="164" fontId="178" fillId="0" borderId="0" xfId="0" applyNumberFormat="1" applyFont="1"/>
    <xf numFmtId="0" fontId="69" fillId="0" borderId="0" xfId="0" quotePrefix="1" applyFont="1" applyAlignment="1">
      <alignment horizontal="left" indent="1"/>
    </xf>
    <xf numFmtId="0" fontId="52" fillId="0" borderId="0" xfId="0" applyFont="1" applyAlignment="1">
      <alignment horizontal="left" indent="1"/>
    </xf>
    <xf numFmtId="0" fontId="24" fillId="0" borderId="0" xfId="34" applyAlignment="1">
      <alignment horizontal="left" indent="2"/>
    </xf>
    <xf numFmtId="0" fontId="24" fillId="0" borderId="0" xfId="34" applyAlignment="1">
      <alignment horizontal="left"/>
    </xf>
    <xf numFmtId="0" fontId="22" fillId="0" borderId="0" xfId="34" applyFont="1" applyAlignment="1">
      <alignment horizontal="left"/>
    </xf>
    <xf numFmtId="0" fontId="21" fillId="0" borderId="9" xfId="0" applyFont="1" applyBorder="1"/>
    <xf numFmtId="170" fontId="21" fillId="36" borderId="0" xfId="100" quotePrefix="1" applyNumberFormat="1" applyFill="1" applyAlignment="1">
      <alignment horizontal="center"/>
    </xf>
    <xf numFmtId="0" fontId="0" fillId="0" borderId="3" xfId="0" applyBorder="1" applyAlignment="1">
      <alignment horizontal="left"/>
    </xf>
    <xf numFmtId="0" fontId="21" fillId="0" borderId="4" xfId="0" quotePrefix="1" applyFont="1" applyBorder="1"/>
    <xf numFmtId="0" fontId="21" fillId="0" borderId="9" xfId="0" quotePrefix="1" applyFont="1" applyBorder="1"/>
    <xf numFmtId="39" fontId="22" fillId="0" borderId="7" xfId="22" quotePrefix="1" applyNumberFormat="1" applyFont="1" applyBorder="1" applyAlignment="1">
      <alignment horizontal="center" wrapText="1"/>
    </xf>
    <xf numFmtId="39" fontId="21" fillId="36" borderId="11" xfId="22" quotePrefix="1" applyNumberFormat="1" applyFont="1" applyFill="1" applyBorder="1" applyAlignment="1">
      <alignment horizontal="center"/>
    </xf>
    <xf numFmtId="37" fontId="21" fillId="36" borderId="4" xfId="22" quotePrefix="1" applyNumberFormat="1" applyFont="1" applyFill="1" applyBorder="1" applyAlignment="1">
      <alignment horizontal="center"/>
    </xf>
    <xf numFmtId="164" fontId="53" fillId="36" borderId="0" xfId="23" quotePrefix="1" applyNumberFormat="1" applyFont="1" applyFill="1" applyAlignment="1">
      <alignment horizontal="right"/>
    </xf>
    <xf numFmtId="0" fontId="22" fillId="36" borderId="0" xfId="28" applyFont="1" applyFill="1"/>
    <xf numFmtId="0" fontId="53" fillId="36" borderId="0" xfId="28" applyFont="1" applyFill="1"/>
    <xf numFmtId="0" fontId="25" fillId="36" borderId="0" xfId="28" applyFont="1" applyFill="1" applyAlignment="1">
      <alignment horizontal="center"/>
    </xf>
    <xf numFmtId="0" fontId="21" fillId="36" borderId="0" xfId="28" applyFont="1" applyFill="1" applyAlignment="1">
      <alignment horizontal="left" indent="1"/>
    </xf>
    <xf numFmtId="0" fontId="53" fillId="36" borderId="0" xfId="28" applyFont="1" applyFill="1" applyAlignment="1">
      <alignment horizontal="right"/>
    </xf>
    <xf numFmtId="0" fontId="53" fillId="36" borderId="0" xfId="28" applyFont="1" applyFill="1" applyAlignment="1">
      <alignment horizontal="left"/>
    </xf>
    <xf numFmtId="0" fontId="53" fillId="36" borderId="0" xfId="28" applyFont="1" applyFill="1" applyAlignment="1">
      <alignment horizontal="left" indent="1"/>
    </xf>
    <xf numFmtId="10" fontId="53" fillId="36" borderId="0" xfId="28" applyNumberFormat="1" applyFont="1" applyFill="1" applyAlignment="1">
      <alignment horizontal="right"/>
    </xf>
    <xf numFmtId="10" fontId="53" fillId="36" borderId="0" xfId="28" applyNumberFormat="1" applyFont="1" applyFill="1" applyAlignment="1">
      <alignment horizontal="left"/>
    </xf>
    <xf numFmtId="0" fontId="53" fillId="36" borderId="0" xfId="28" quotePrefix="1" applyFont="1" applyFill="1" applyAlignment="1">
      <alignment horizontal="center"/>
    </xf>
    <xf numFmtId="0" fontId="179" fillId="36" borderId="0" xfId="28" applyFont="1" applyFill="1"/>
    <xf numFmtId="0" fontId="179" fillId="36" borderId="0" xfId="28" applyFont="1" applyFill="1" applyAlignment="1">
      <alignment horizontal="right"/>
    </xf>
    <xf numFmtId="0" fontId="179" fillId="36" borderId="0" xfId="28" applyFont="1" applyFill="1" applyAlignment="1">
      <alignment horizontal="left"/>
    </xf>
    <xf numFmtId="0" fontId="179" fillId="36" borderId="0" xfId="28" applyFont="1" applyFill="1" applyAlignment="1">
      <alignment horizontal="left" indent="1"/>
    </xf>
    <xf numFmtId="10" fontId="179" fillId="36" borderId="0" xfId="28" applyNumberFormat="1" applyFont="1" applyFill="1" applyAlignment="1">
      <alignment horizontal="right"/>
    </xf>
    <xf numFmtId="10" fontId="179" fillId="36" borderId="0" xfId="28" applyNumberFormat="1" applyFont="1" applyFill="1" applyAlignment="1">
      <alignment horizontal="left"/>
    </xf>
    <xf numFmtId="0" fontId="21" fillId="36" borderId="0" xfId="28" applyFont="1" applyFill="1" applyAlignment="1">
      <alignment horizontal="left" vertical="center"/>
    </xf>
    <xf numFmtId="0" fontId="21" fillId="36" borderId="0" xfId="28" quotePrefix="1" applyFont="1" applyFill="1"/>
    <xf numFmtId="0" fontId="22" fillId="36" borderId="0" xfId="28" applyFont="1" applyFill="1" applyAlignment="1">
      <alignment horizontal="left"/>
    </xf>
    <xf numFmtId="0" fontId="21" fillId="113" borderId="0" xfId="0" applyFont="1" applyFill="1"/>
    <xf numFmtId="5" fontId="21" fillId="0" borderId="9" xfId="0" quotePrefix="1" applyNumberFormat="1" applyFont="1" applyBorder="1" applyAlignment="1">
      <alignment horizontal="center"/>
    </xf>
    <xf numFmtId="0" fontId="0" fillId="36" borderId="0" xfId="0" applyFill="1" applyAlignment="1">
      <alignment horizontal="left"/>
    </xf>
    <xf numFmtId="0" fontId="52" fillId="36" borderId="0" xfId="0" applyFont="1" applyFill="1" applyAlignment="1">
      <alignment horizontal="left" indent="1"/>
    </xf>
    <xf numFmtId="0" fontId="52" fillId="113" borderId="0" xfId="0" applyFont="1" applyFill="1"/>
    <xf numFmtId="0" fontId="162" fillId="0" borderId="0" xfId="0" applyFont="1" applyAlignment="1">
      <alignment horizontal="center"/>
    </xf>
    <xf numFmtId="164" fontId="57" fillId="0" borderId="0" xfId="0" applyNumberFormat="1" applyFont="1" applyAlignment="1">
      <alignment horizontal="right" indent="1"/>
    </xf>
    <xf numFmtId="164" fontId="52" fillId="36" borderId="0" xfId="0" applyNumberFormat="1" applyFont="1" applyFill="1" applyAlignment="1">
      <alignment horizontal="center"/>
    </xf>
    <xf numFmtId="164" fontId="57" fillId="36" borderId="0" xfId="0" applyNumberFormat="1" applyFont="1" applyFill="1" applyAlignment="1">
      <alignment horizontal="center"/>
    </xf>
    <xf numFmtId="164" fontId="21" fillId="36" borderId="0" xfId="0" quotePrefix="1" applyNumberFormat="1" applyFont="1" applyFill="1" applyAlignment="1">
      <alignment horizontal="center"/>
    </xf>
    <xf numFmtId="164" fontId="28" fillId="0" borderId="0" xfId="19" applyNumberFormat="1" applyFont="1"/>
    <xf numFmtId="0" fontId="52" fillId="0" borderId="0" xfId="28" applyFont="1" applyAlignment="1">
      <alignment horizontal="left"/>
    </xf>
    <xf numFmtId="1" fontId="52" fillId="0" borderId="0" xfId="100" applyNumberFormat="1" applyFont="1" applyAlignment="1">
      <alignment horizontal="center"/>
    </xf>
    <xf numFmtId="0" fontId="0" fillId="36" borderId="0" xfId="0" quotePrefix="1" applyFill="1" applyAlignment="1">
      <alignment horizontal="left" indent="1"/>
    </xf>
    <xf numFmtId="0" fontId="22" fillId="0" borderId="0" xfId="125" applyFont="1" applyAlignment="1">
      <alignment horizontal="center"/>
    </xf>
    <xf numFmtId="164" fontId="21" fillId="0" borderId="0" xfId="125" applyNumberFormat="1"/>
    <xf numFmtId="209" fontId="28" fillId="0" borderId="0" xfId="125" applyNumberFormat="1" applyFont="1"/>
    <xf numFmtId="164" fontId="25" fillId="36" borderId="0" xfId="0" applyNumberFormat="1" applyFont="1" applyFill="1" applyAlignment="1">
      <alignment horizontal="center" wrapText="1"/>
    </xf>
    <xf numFmtId="164" fontId="25" fillId="36" borderId="0" xfId="0" applyNumberFormat="1" applyFont="1" applyFill="1" applyAlignment="1">
      <alignment horizontal="center"/>
    </xf>
    <xf numFmtId="0" fontId="28" fillId="36" borderId="0" xfId="0" applyFont="1" applyFill="1"/>
    <xf numFmtId="0" fontId="25" fillId="0" borderId="0" xfId="0" applyFont="1" applyAlignment="1">
      <alignment horizontal="left" indent="2"/>
    </xf>
    <xf numFmtId="0" fontId="21" fillId="36" borderId="0" xfId="0" quotePrefix="1" applyFont="1" applyFill="1" applyAlignment="1">
      <alignment horizontal="left"/>
    </xf>
    <xf numFmtId="0" fontId="25" fillId="36" borderId="0" xfId="100" applyFont="1" applyFill="1" applyAlignment="1">
      <alignment horizontal="left"/>
    </xf>
    <xf numFmtId="0" fontId="22" fillId="36" borderId="0" xfId="0" applyFont="1" applyFill="1"/>
    <xf numFmtId="10" fontId="71" fillId="36" borderId="0" xfId="28" applyNumberFormat="1" applyFont="1" applyFill="1" applyAlignment="1">
      <alignment horizontal="left"/>
    </xf>
    <xf numFmtId="164" fontId="28" fillId="36" borderId="0" xfId="100" applyNumberFormat="1" applyFont="1" applyFill="1"/>
    <xf numFmtId="165" fontId="53" fillId="34" borderId="0" xfId="0" applyNumberFormat="1" applyFont="1" applyFill="1"/>
    <xf numFmtId="3" fontId="53" fillId="36" borderId="0" xfId="247" applyNumberFormat="1" applyFont="1" applyFill="1"/>
    <xf numFmtId="0" fontId="21" fillId="0" borderId="3" xfId="126" applyBorder="1" applyAlignment="1">
      <alignment horizontal="center" vertical="center" wrapText="1"/>
    </xf>
    <xf numFmtId="164" fontId="64" fillId="113" borderId="0" xfId="0" applyNumberFormat="1" applyFont="1" applyFill="1"/>
    <xf numFmtId="0" fontId="161" fillId="0" borderId="0" xfId="0" applyFont="1" applyAlignment="1">
      <alignment horizontal="center"/>
    </xf>
    <xf numFmtId="0" fontId="66" fillId="0" borderId="0" xfId="0" applyFont="1" applyAlignment="1">
      <alignment horizontal="center"/>
    </xf>
    <xf numFmtId="0" fontId="50" fillId="0" borderId="0" xfId="0" applyFont="1" applyAlignment="1">
      <alignment horizontal="center"/>
    </xf>
    <xf numFmtId="167" fontId="54" fillId="0" borderId="63" xfId="19" applyNumberFormat="1" applyFont="1" applyBorder="1" applyAlignment="1">
      <alignment horizontal="center"/>
    </xf>
    <xf numFmtId="167" fontId="54" fillId="0" borderId="64" xfId="19" applyNumberFormat="1" applyFont="1" applyBorder="1" applyAlignment="1">
      <alignment horizontal="center"/>
    </xf>
    <xf numFmtId="167" fontId="54" fillId="0" borderId="65" xfId="19" applyNumberFormat="1" applyFont="1" applyBorder="1" applyAlignment="1">
      <alignment horizontal="center"/>
    </xf>
    <xf numFmtId="0" fontId="21" fillId="36" borderId="0" xfId="0" applyFont="1" applyFill="1" applyAlignment="1">
      <alignment horizontal="center"/>
    </xf>
    <xf numFmtId="0" fontId="21" fillId="0" borderId="0" xfId="0" applyFont="1" applyAlignment="1">
      <alignment horizontal="left"/>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Border="1" applyAlignment="1">
      <alignment horizontal="center"/>
    </xf>
    <xf numFmtId="0" fontId="22" fillId="0" borderId="9" xfId="28" applyFont="1" applyBorder="1" applyAlignment="1">
      <alignment horizontal="center"/>
    </xf>
    <xf numFmtId="0" fontId="22" fillId="0" borderId="3" xfId="28" applyFont="1" applyBorder="1"/>
    <xf numFmtId="0" fontId="22" fillId="0" borderId="6" xfId="28" applyFont="1" applyBorder="1" applyAlignment="1">
      <alignment horizontal="center"/>
    </xf>
    <xf numFmtId="0" fontId="22" fillId="0" borderId="4" xfId="28" applyFont="1" applyBorder="1" applyAlignment="1">
      <alignment horizontal="center"/>
    </xf>
    <xf numFmtId="0" fontId="21" fillId="0" borderId="0" xfId="0" applyFont="1" applyAlignment="1">
      <alignment vertical="top" wrapText="1"/>
    </xf>
    <xf numFmtId="0" fontId="0" fillId="0" borderId="0" xfId="0" applyAlignment="1">
      <alignment vertical="top" wrapText="1"/>
    </xf>
    <xf numFmtId="0" fontId="0" fillId="0" borderId="0" xfId="0"/>
    <xf numFmtId="0" fontId="0" fillId="0" borderId="0" xfId="0" applyAlignment="1">
      <alignment wrapText="1"/>
    </xf>
    <xf numFmtId="39" fontId="21"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Font="1" applyBorder="1" applyAlignment="1">
      <alignment wrapText="1"/>
    </xf>
    <xf numFmtId="0" fontId="0" fillId="0" borderId="3" xfId="0" applyBorder="1" applyAlignment="1">
      <alignment wrapText="1"/>
    </xf>
    <xf numFmtId="0" fontId="22" fillId="0" borderId="6" xfId="0" applyFont="1" applyBorder="1"/>
    <xf numFmtId="0" fontId="21" fillId="0" borderId="6" xfId="0" applyFont="1" applyBorder="1" applyAlignment="1">
      <alignment horizontal="left"/>
    </xf>
    <xf numFmtId="0" fontId="21" fillId="0" borderId="4" xfId="0" applyFont="1" applyBorder="1" applyAlignment="1">
      <alignment horizontal="left"/>
    </xf>
    <xf numFmtId="0" fontId="22" fillId="0" borderId="10" xfId="0" applyFont="1" applyBorder="1"/>
    <xf numFmtId="0" fontId="22" fillId="0" borderId="8" xfId="0" applyFont="1" applyBorder="1"/>
    <xf numFmtId="0" fontId="22" fillId="0" borderId="11" xfId="0" applyFont="1" applyBorder="1"/>
    <xf numFmtId="0" fontId="21" fillId="0" borderId="3" xfId="0" applyFont="1" applyBorder="1" applyAlignment="1">
      <alignment horizontal="left"/>
    </xf>
    <xf numFmtId="0" fontId="52" fillId="36" borderId="3" xfId="0" applyFont="1" applyFill="1" applyBorder="1" applyAlignment="1">
      <alignment horizontal="center"/>
    </xf>
    <xf numFmtId="0" fontId="22" fillId="0" borderId="9" xfId="0" applyFont="1" applyBorder="1"/>
    <xf numFmtId="0" fontId="22" fillId="0" borderId="4" xfId="0" applyFont="1" applyBorder="1"/>
    <xf numFmtId="0" fontId="22"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Alignment="1">
      <alignment wrapText="1"/>
    </xf>
    <xf numFmtId="0" fontId="21" fillId="113" borderId="0" xfId="0" applyFont="1" applyFill="1"/>
    <xf numFmtId="0" fontId="21" fillId="0" borderId="3" xfId="126" applyBorder="1" applyAlignment="1">
      <alignment horizontal="center"/>
    </xf>
    <xf numFmtId="0" fontId="0" fillId="0" borderId="3" xfId="0" applyBorder="1"/>
    <xf numFmtId="0" fontId="21" fillId="0" borderId="12" xfId="126" applyBorder="1" applyAlignment="1">
      <alignment horizontal="center"/>
    </xf>
    <xf numFmtId="0" fontId="21" fillId="0" borderId="62" xfId="126" applyBorder="1" applyAlignment="1">
      <alignment horizontal="center"/>
    </xf>
    <xf numFmtId="0" fontId="21" fillId="0" borderId="13" xfId="126" applyBorder="1" applyAlignment="1">
      <alignment horizontal="center"/>
    </xf>
    <xf numFmtId="173" fontId="21" fillId="0" borderId="57" xfId="126" quotePrefix="1" applyNumberFormat="1" applyBorder="1" applyAlignment="1">
      <alignment horizontal="center" vertical="center"/>
    </xf>
    <xf numFmtId="173" fontId="21" fillId="0" borderId="59" xfId="126" quotePrefix="1" applyNumberFormat="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2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auto="1"/>
      </font>
    </dxf>
  </dxfs>
  <tableStyles count="0" defaultTableStyle="TableStyleMedium9" defaultPivotStyle="PivotStyleLight16"/>
  <colors>
    <mruColors>
      <color rgb="FFFFCCCC"/>
      <color rgb="FFCCFFCC"/>
      <color rgb="FF99FFCC"/>
      <color rgb="FFFFCC99"/>
      <color rgb="FF0000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2578125" defaultRowHeight="12.75"/>
  <cols>
    <col min="2" max="2" width="5.85546875" customWidth="1"/>
    <col min="3" max="3" width="8.42578125" customWidth="1"/>
  </cols>
  <sheetData>
    <row r="2" spans="1:14" ht="12" customHeight="1">
      <c r="A2" s="788"/>
      <c r="B2" s="788"/>
      <c r="C2" s="788"/>
      <c r="D2" s="788"/>
      <c r="E2" s="788"/>
      <c r="F2" s="788"/>
      <c r="G2" s="788"/>
      <c r="H2" s="788"/>
      <c r="I2" s="788"/>
      <c r="J2" s="788"/>
      <c r="K2" s="788"/>
    </row>
    <row r="3" spans="1:14" ht="23.25">
      <c r="A3" s="1103" t="s">
        <v>2962</v>
      </c>
      <c r="B3" s="1103"/>
      <c r="C3" s="1103"/>
      <c r="D3" s="1103"/>
      <c r="E3" s="1103"/>
      <c r="F3" s="1103"/>
      <c r="G3" s="1103"/>
      <c r="H3" s="1103"/>
      <c r="I3" s="1103"/>
      <c r="J3" s="1103"/>
      <c r="K3" s="1103"/>
    </row>
    <row r="4" spans="1:14" ht="12.75" customHeight="1">
      <c r="B4" s="788"/>
      <c r="C4" s="788"/>
      <c r="D4" s="788"/>
      <c r="E4" s="788"/>
      <c r="F4" s="788"/>
      <c r="G4" s="788"/>
      <c r="H4" s="788"/>
      <c r="I4" s="788"/>
    </row>
    <row r="5" spans="1:14" ht="26.25">
      <c r="A5" s="1104" t="s">
        <v>2750</v>
      </c>
      <c r="B5" s="1104"/>
      <c r="C5" s="1104"/>
      <c r="D5" s="1104"/>
      <c r="E5" s="1104"/>
      <c r="F5" s="1104"/>
      <c r="G5" s="1104"/>
      <c r="H5" s="1104"/>
      <c r="I5" s="1104"/>
      <c r="J5" s="1104"/>
      <c r="K5" s="1104"/>
    </row>
    <row r="6" spans="1:14" ht="12" customHeight="1">
      <c r="D6" s="1"/>
      <c r="K6" s="788"/>
      <c r="L6" s="788"/>
      <c r="M6" s="788"/>
      <c r="N6" s="788"/>
    </row>
    <row r="7" spans="1:14" ht="20.25">
      <c r="A7" s="1105" t="s">
        <v>2751</v>
      </c>
      <c r="B7" s="1105"/>
      <c r="C7" s="1105"/>
      <c r="D7" s="1105"/>
      <c r="E7" s="1105"/>
      <c r="F7" s="1105"/>
      <c r="G7" s="1105"/>
      <c r="H7" s="1105"/>
      <c r="I7" s="1105"/>
      <c r="J7" s="1105"/>
      <c r="K7" s="1105"/>
    </row>
    <row r="8" spans="1:14" ht="12.75" customHeight="1">
      <c r="D8" s="977"/>
    </row>
    <row r="9" spans="1:14">
      <c r="C9" s="593"/>
    </row>
    <row r="10" spans="1:14">
      <c r="C10" s="593"/>
    </row>
  </sheetData>
  <mergeCells count="3">
    <mergeCell ref="A3:K3"/>
    <mergeCell ref="A5:K5"/>
    <mergeCell ref="A7:K7"/>
  </mergeCells>
  <pageMargins left="0.7" right="0.7" top="0.75" bottom="0.75" header="0.3" footer="0.3"/>
  <pageSetup scale="89" orientation="portrait" r:id="rId1"/>
  <headerFooter>
    <oddHeader>&amp;C&amp;"Arial,Bold"
&amp;RTO2025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236"/>
  <sheetViews>
    <sheetView zoomScaleNormal="100" workbookViewId="0"/>
  </sheetViews>
  <sheetFormatPr defaultColWidth="8.5703125" defaultRowHeight="12.75"/>
  <cols>
    <col min="1" max="1" width="4.5703125" customWidth="1"/>
    <col min="2" max="2" width="10.5703125" customWidth="1"/>
    <col min="3" max="3" width="13.5703125" customWidth="1"/>
    <col min="4" max="4" width="14.85546875" customWidth="1"/>
    <col min="5" max="6" width="13.5703125" customWidth="1"/>
    <col min="7" max="7" width="14.42578125" customWidth="1"/>
    <col min="8" max="12" width="13.5703125" customWidth="1"/>
    <col min="13" max="13" width="15.85546875" customWidth="1"/>
    <col min="14" max="14" width="8.5703125" customWidth="1"/>
  </cols>
  <sheetData>
    <row r="1" spans="1:13">
      <c r="A1" s="199" t="s">
        <v>627</v>
      </c>
      <c r="B1" s="113"/>
      <c r="C1" s="113"/>
      <c r="D1" s="113"/>
      <c r="E1" s="113"/>
      <c r="F1" s="113"/>
      <c r="G1" s="113"/>
      <c r="H1" s="113"/>
      <c r="I1" s="242" t="s">
        <v>628</v>
      </c>
      <c r="J1" s="200"/>
      <c r="K1" s="113"/>
      <c r="L1" s="113"/>
    </row>
    <row r="2" spans="1:13">
      <c r="A2" s="199"/>
      <c r="B2" s="1" t="s">
        <v>629</v>
      </c>
      <c r="C2" s="113"/>
      <c r="D2" s="113"/>
      <c r="E2" s="242" t="s">
        <v>630</v>
      </c>
      <c r="F2" s="200"/>
      <c r="G2" s="200"/>
      <c r="H2" s="113"/>
      <c r="I2" s="113"/>
      <c r="J2" s="113"/>
      <c r="K2" s="113"/>
      <c r="L2" s="113"/>
    </row>
    <row r="3" spans="1:13">
      <c r="A3" s="199"/>
      <c r="B3" s="113"/>
      <c r="C3" s="113"/>
      <c r="D3" s="113"/>
      <c r="E3" s="242" t="s">
        <v>631</v>
      </c>
      <c r="F3" s="200"/>
      <c r="G3" s="200"/>
      <c r="H3" s="113"/>
      <c r="I3" s="113"/>
      <c r="J3" s="113"/>
      <c r="K3" s="113"/>
      <c r="L3" s="113"/>
    </row>
    <row r="4" spans="1:13">
      <c r="A4" s="199"/>
      <c r="B4" s="199" t="s">
        <v>632</v>
      </c>
      <c r="C4" s="113"/>
      <c r="D4" s="113"/>
      <c r="E4" s="618"/>
      <c r="F4" s="113"/>
      <c r="G4" s="113"/>
      <c r="H4" s="113"/>
      <c r="I4" s="113"/>
      <c r="J4" s="113"/>
      <c r="K4" s="113"/>
      <c r="L4" s="113"/>
    </row>
    <row r="5" spans="1:13">
      <c r="A5" s="199"/>
      <c r="B5" s="199"/>
      <c r="C5" s="113"/>
      <c r="D5" s="113"/>
      <c r="E5" s="113"/>
      <c r="F5" s="113"/>
      <c r="G5" s="113"/>
      <c r="H5" s="113"/>
      <c r="I5" s="113"/>
      <c r="J5" s="113"/>
      <c r="K5" s="113"/>
      <c r="L5" s="113"/>
    </row>
    <row r="6" spans="1:13">
      <c r="A6" s="199"/>
      <c r="B6" s="235" t="s">
        <v>633</v>
      </c>
      <c r="C6" s="113"/>
      <c r="D6" s="113"/>
      <c r="E6" s="113"/>
      <c r="F6" s="113"/>
      <c r="G6" s="113"/>
      <c r="H6" s="235"/>
      <c r="I6" s="114" t="s">
        <v>634</v>
      </c>
      <c r="J6" s="486">
        <v>2023</v>
      </c>
      <c r="K6" s="113"/>
      <c r="L6" s="113"/>
    </row>
    <row r="7" spans="1:13">
      <c r="A7" s="199"/>
      <c r="B7" s="235"/>
      <c r="C7" s="113"/>
      <c r="D7" s="113"/>
      <c r="E7" s="113"/>
      <c r="F7" s="113"/>
      <c r="G7" s="113"/>
      <c r="H7" s="113"/>
      <c r="I7" s="113"/>
      <c r="J7" s="113"/>
      <c r="K7" s="113"/>
      <c r="L7" s="113"/>
    </row>
    <row r="8" spans="1:13">
      <c r="A8" s="199"/>
      <c r="B8" s="48" t="s">
        <v>329</v>
      </c>
      <c r="C8" s="48" t="s">
        <v>330</v>
      </c>
      <c r="D8" s="48" t="s">
        <v>331</v>
      </c>
      <c r="E8" s="48" t="s">
        <v>332</v>
      </c>
      <c r="F8" s="48" t="s">
        <v>333</v>
      </c>
      <c r="G8" s="48" t="s">
        <v>334</v>
      </c>
      <c r="H8" s="48" t="s">
        <v>335</v>
      </c>
      <c r="I8" s="48" t="s">
        <v>336</v>
      </c>
      <c r="J8" s="48" t="s">
        <v>337</v>
      </c>
      <c r="K8" s="48" t="s">
        <v>582</v>
      </c>
      <c r="L8" s="48" t="s">
        <v>583</v>
      </c>
      <c r="M8" s="48" t="s">
        <v>584</v>
      </c>
    </row>
    <row r="9" spans="1:13">
      <c r="A9" s="113"/>
      <c r="B9" s="116"/>
      <c r="C9" s="113"/>
      <c r="D9" s="113"/>
      <c r="E9" s="113"/>
      <c r="F9" s="113"/>
      <c r="G9" s="113"/>
      <c r="H9" s="113"/>
      <c r="I9" s="113"/>
      <c r="J9" s="113"/>
      <c r="K9" s="113"/>
      <c r="M9" s="126" t="s">
        <v>635</v>
      </c>
    </row>
    <row r="10" spans="1:13">
      <c r="A10" s="113"/>
      <c r="B10" s="2"/>
      <c r="C10" s="48"/>
      <c r="D10" s="48"/>
      <c r="E10" s="113"/>
      <c r="F10" s="113"/>
      <c r="G10" s="113"/>
      <c r="H10" s="113"/>
      <c r="I10" s="113"/>
      <c r="J10" s="113"/>
      <c r="K10" s="113"/>
      <c r="L10" s="113"/>
    </row>
    <row r="11" spans="1: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c r="A12" s="2">
        <v>1</v>
      </c>
      <c r="B12" s="510" t="s">
        <v>2806</v>
      </c>
      <c r="C12" s="255">
        <v>91354351.12134552</v>
      </c>
      <c r="D12" s="286">
        <v>186649854.17376119</v>
      </c>
      <c r="E12" s="117">
        <v>905947634.99990344</v>
      </c>
      <c r="F12" s="255">
        <v>4413849878.0075893</v>
      </c>
      <c r="G12" s="255">
        <v>2498952320.6450973</v>
      </c>
      <c r="H12" s="255">
        <v>632230698.139871</v>
      </c>
      <c r="I12" s="255">
        <v>1693990750.0441651</v>
      </c>
      <c r="J12" s="255">
        <v>215308526.7923716</v>
      </c>
      <c r="K12" s="255">
        <v>58752899.030000001</v>
      </c>
      <c r="L12" s="255">
        <v>226348866.10201341</v>
      </c>
      <c r="M12" s="115">
        <f t="shared" ref="M12:M24" si="0">SUM(C12:L12)</f>
        <v>10923385779.056118</v>
      </c>
    </row>
    <row r="13" spans="1:13">
      <c r="A13" s="2">
        <f>A12+1</f>
        <v>2</v>
      </c>
      <c r="B13" s="389" t="s">
        <v>2904</v>
      </c>
      <c r="C13" s="115">
        <f>C131+C198 +C12</f>
        <v>91360856.024223939</v>
      </c>
      <c r="D13" s="115">
        <f>D131+D198 +D12</f>
        <v>186686635.66252437</v>
      </c>
      <c r="E13" s="115">
        <f t="shared" ref="E13:L13" si="1">E131+E198 +E12</f>
        <v>909575987.60012722</v>
      </c>
      <c r="F13" s="115">
        <f t="shared" si="1"/>
        <v>4425324110.192091</v>
      </c>
      <c r="G13" s="115">
        <f t="shared" si="1"/>
        <v>2496828979.3316588</v>
      </c>
      <c r="H13" s="115">
        <f t="shared" si="1"/>
        <v>632833301.76334608</v>
      </c>
      <c r="I13" s="115">
        <f t="shared" si="1"/>
        <v>1694222032.1924815</v>
      </c>
      <c r="J13" s="115">
        <f t="shared" si="1"/>
        <v>215308527.45386115</v>
      </c>
      <c r="K13" s="115">
        <f t="shared" si="1"/>
        <v>58752899.030000001</v>
      </c>
      <c r="L13" s="115">
        <f t="shared" si="1"/>
        <v>226351598.33994603</v>
      </c>
      <c r="M13" s="115">
        <f>SUM(C13:L13)</f>
        <v>10937244927.590261</v>
      </c>
    </row>
    <row r="14" spans="1:13">
      <c r="A14" s="2">
        <f t="shared" ref="A14:A25" si="2">A13+1</f>
        <v>3</v>
      </c>
      <c r="B14" s="389" t="s">
        <v>2905</v>
      </c>
      <c r="C14" s="115">
        <f>C132+C199 +C13</f>
        <v>91360844.404224038</v>
      </c>
      <c r="D14" s="115">
        <f t="shared" ref="C14:D23" si="3">D132+D199 +D13</f>
        <v>186682150.40498695</v>
      </c>
      <c r="E14" s="115">
        <f t="shared" ref="E14:E23" si="4">E132+E199 +E13</f>
        <v>911200712.79662108</v>
      </c>
      <c r="F14" s="115">
        <f t="shared" ref="F14:F23" si="5">F132+F199 +F13</f>
        <v>4432348094.0657139</v>
      </c>
      <c r="G14" s="115">
        <f t="shared" ref="G14:G23" si="6">G132+G199 +G13</f>
        <v>2497548341.0226398</v>
      </c>
      <c r="H14" s="115">
        <f t="shared" ref="H14:H23" si="7">H132+H199 +H13</f>
        <v>633997058.15013897</v>
      </c>
      <c r="I14" s="115">
        <f t="shared" ref="I14:I23" si="8">I132+I199 +I13</f>
        <v>1695235031.7030413</v>
      </c>
      <c r="J14" s="115">
        <f t="shared" ref="J14:J23" si="9">J132+J199 +J13</f>
        <v>215308526.80438283</v>
      </c>
      <c r="K14" s="115">
        <f t="shared" ref="K14:K23" si="10">K132+K199 +K13</f>
        <v>58752899.030000001</v>
      </c>
      <c r="L14" s="115">
        <f t="shared" ref="L14:L23" si="11">L132+L199 +L13</f>
        <v>225665596.47564393</v>
      </c>
      <c r="M14" s="115">
        <f>SUM(C14:L14)</f>
        <v>10948099254.857391</v>
      </c>
    </row>
    <row r="15" spans="1:13">
      <c r="A15" s="2">
        <f t="shared" si="2"/>
        <v>4</v>
      </c>
      <c r="B15" s="389" t="s">
        <v>2906</v>
      </c>
      <c r="C15" s="115">
        <f t="shared" si="3"/>
        <v>91360844.404224038</v>
      </c>
      <c r="D15" s="115">
        <f t="shared" si="3"/>
        <v>186683913.60611191</v>
      </c>
      <c r="E15" s="115">
        <f t="shared" si="4"/>
        <v>913184865.19247019</v>
      </c>
      <c r="F15" s="115">
        <f t="shared" si="5"/>
        <v>4435269825.3638945</v>
      </c>
      <c r="G15" s="115">
        <f t="shared" si="6"/>
        <v>2505072967.5939345</v>
      </c>
      <c r="H15" s="115">
        <f>H133+H200 +H14</f>
        <v>634857718.98928499</v>
      </c>
      <c r="I15" s="115">
        <f t="shared" si="8"/>
        <v>1693743629.9988923</v>
      </c>
      <c r="J15" s="115">
        <f t="shared" si="9"/>
        <v>215308526.7051594</v>
      </c>
      <c r="K15" s="115">
        <f t="shared" si="10"/>
        <v>58752899.030000001</v>
      </c>
      <c r="L15" s="115">
        <f t="shared" si="11"/>
        <v>225672159.08589929</v>
      </c>
      <c r="M15" s="115">
        <f t="shared" si="0"/>
        <v>10959907349.969872</v>
      </c>
    </row>
    <row r="16" spans="1:13">
      <c r="A16" s="2">
        <f t="shared" si="2"/>
        <v>5</v>
      </c>
      <c r="B16" s="389" t="s">
        <v>2907</v>
      </c>
      <c r="C16" s="115">
        <f>C134+C201 +C15</f>
        <v>96924490.60422352</v>
      </c>
      <c r="D16" s="115">
        <f t="shared" si="3"/>
        <v>186690925.89820161</v>
      </c>
      <c r="E16" s="115">
        <f t="shared" si="4"/>
        <v>914330604.68388569</v>
      </c>
      <c r="F16" s="115">
        <f t="shared" si="5"/>
        <v>4439166131.0007229</v>
      </c>
      <c r="G16" s="115">
        <f t="shared" si="6"/>
        <v>2503226894.7353525</v>
      </c>
      <c r="H16" s="115">
        <f t="shared" si="7"/>
        <v>630607091.60477042</v>
      </c>
      <c r="I16" s="115">
        <f t="shared" si="8"/>
        <v>1693787861.5151427</v>
      </c>
      <c r="J16" s="115">
        <f t="shared" si="9"/>
        <v>215308524.15616161</v>
      </c>
      <c r="K16" s="115">
        <f t="shared" si="10"/>
        <v>58752899.030000001</v>
      </c>
      <c r="L16" s="115">
        <f t="shared" si="11"/>
        <v>225684581.27664745</v>
      </c>
      <c r="M16" s="115">
        <f t="shared" si="0"/>
        <v>10964480004.50511</v>
      </c>
    </row>
    <row r="17" spans="1:13">
      <c r="A17" s="2">
        <f t="shared" si="2"/>
        <v>6</v>
      </c>
      <c r="B17" s="389" t="s">
        <v>2908</v>
      </c>
      <c r="C17" s="115">
        <f t="shared" si="3"/>
        <v>96932345.806224823</v>
      </c>
      <c r="D17" s="115">
        <f t="shared" si="3"/>
        <v>188210233.85660809</v>
      </c>
      <c r="E17" s="115">
        <f t="shared" si="4"/>
        <v>920079893.30575597</v>
      </c>
      <c r="F17" s="115">
        <f t="shared" si="5"/>
        <v>4446749948.468976</v>
      </c>
      <c r="G17" s="115">
        <f t="shared" si="6"/>
        <v>2504645136.8927774</v>
      </c>
      <c r="H17" s="115">
        <f t="shared" si="7"/>
        <v>632206763.31792939</v>
      </c>
      <c r="I17" s="115">
        <f t="shared" si="8"/>
        <v>1696885127.3318267</v>
      </c>
      <c r="J17" s="115">
        <f t="shared" si="9"/>
        <v>215308524.0142895</v>
      </c>
      <c r="K17" s="115">
        <f t="shared" si="10"/>
        <v>58752899.030000001</v>
      </c>
      <c r="L17" s="115">
        <f t="shared" si="11"/>
        <v>225717785.99956226</v>
      </c>
      <c r="M17" s="115">
        <f t="shared" si="0"/>
        <v>10985488658.023952</v>
      </c>
    </row>
    <row r="18" spans="1:13">
      <c r="A18" s="2">
        <f t="shared" si="2"/>
        <v>7</v>
      </c>
      <c r="B18" s="389" t="s">
        <v>2909</v>
      </c>
      <c r="C18" s="115">
        <f t="shared" si="3"/>
        <v>97013963.319464684</v>
      </c>
      <c r="D18" s="115">
        <f t="shared" si="3"/>
        <v>188227486.1263299</v>
      </c>
      <c r="E18" s="115">
        <f t="shared" si="4"/>
        <v>927134528.08582163</v>
      </c>
      <c r="F18" s="115">
        <f t="shared" si="5"/>
        <v>4446534444.3025551</v>
      </c>
      <c r="G18" s="115">
        <f t="shared" si="6"/>
        <v>2505368006.5414114</v>
      </c>
      <c r="H18" s="115">
        <f t="shared" si="7"/>
        <v>637561192.23332167</v>
      </c>
      <c r="I18" s="115">
        <f t="shared" si="8"/>
        <v>1697201495.6214955</v>
      </c>
      <c r="J18" s="115">
        <f t="shared" si="9"/>
        <v>215309100.8932426</v>
      </c>
      <c r="K18" s="115">
        <f t="shared" si="10"/>
        <v>58752899.030000001</v>
      </c>
      <c r="L18" s="115">
        <f t="shared" si="11"/>
        <v>225744291.82482889</v>
      </c>
      <c r="M18" s="115">
        <f t="shared" si="0"/>
        <v>10998847407.978472</v>
      </c>
    </row>
    <row r="19" spans="1:13">
      <c r="A19" s="2">
        <f t="shared" si="2"/>
        <v>8</v>
      </c>
      <c r="B19" s="389" t="s">
        <v>2910</v>
      </c>
      <c r="C19" s="115">
        <f t="shared" si="3"/>
        <v>97017136.745377705</v>
      </c>
      <c r="D19" s="115">
        <f t="shared" si="3"/>
        <v>188238587.09769842</v>
      </c>
      <c r="E19" s="115">
        <f t="shared" si="4"/>
        <v>929027289.46914983</v>
      </c>
      <c r="F19" s="115">
        <f t="shared" si="5"/>
        <v>4451242490.1925058</v>
      </c>
      <c r="G19" s="115">
        <f t="shared" si="6"/>
        <v>2507643127.5174818</v>
      </c>
      <c r="H19" s="115">
        <f t="shared" si="7"/>
        <v>638754330.26226163</v>
      </c>
      <c r="I19" s="115">
        <f t="shared" si="8"/>
        <v>1698491796.0801141</v>
      </c>
      <c r="J19" s="115">
        <f t="shared" si="9"/>
        <v>215307589.11542669</v>
      </c>
      <c r="K19" s="115">
        <f t="shared" si="10"/>
        <v>58752899.030000001</v>
      </c>
      <c r="L19" s="115">
        <f t="shared" si="11"/>
        <v>225774293.45965403</v>
      </c>
      <c r="M19" s="115">
        <f t="shared" si="0"/>
        <v>11010249538.969671</v>
      </c>
    </row>
    <row r="20" spans="1:13">
      <c r="A20" s="2">
        <f t="shared" si="2"/>
        <v>9</v>
      </c>
      <c r="B20" s="389" t="s">
        <v>2911</v>
      </c>
      <c r="C20" s="115">
        <f t="shared" si="3"/>
        <v>97039965.250894785</v>
      </c>
      <c r="D20" s="115">
        <f t="shared" si="3"/>
        <v>188251995.32741889</v>
      </c>
      <c r="E20" s="115">
        <f t="shared" si="4"/>
        <v>931531685.81284404</v>
      </c>
      <c r="F20" s="115">
        <f t="shared" si="5"/>
        <v>4451183663.2286968</v>
      </c>
      <c r="G20" s="115">
        <f t="shared" si="6"/>
        <v>2507638328.3265815</v>
      </c>
      <c r="H20" s="115">
        <f t="shared" si="7"/>
        <v>639899681.40671182</v>
      </c>
      <c r="I20" s="115">
        <f t="shared" si="8"/>
        <v>1698886746.6513004</v>
      </c>
      <c r="J20" s="115">
        <f t="shared" si="9"/>
        <v>215307591.47067767</v>
      </c>
      <c r="K20" s="115">
        <f t="shared" si="10"/>
        <v>58752899.030000001</v>
      </c>
      <c r="L20" s="115">
        <f t="shared" si="11"/>
        <v>225777463.08971265</v>
      </c>
      <c r="M20" s="115">
        <f t="shared" si="0"/>
        <v>11014270019.594839</v>
      </c>
    </row>
    <row r="21" spans="1:13">
      <c r="A21" s="2">
        <f t="shared" si="2"/>
        <v>10</v>
      </c>
      <c r="B21" s="389" t="s">
        <v>2912</v>
      </c>
      <c r="C21" s="115">
        <f t="shared" si="3"/>
        <v>97764256.392680928</v>
      </c>
      <c r="D21" s="115">
        <f t="shared" si="3"/>
        <v>188272015.30422691</v>
      </c>
      <c r="E21" s="115">
        <f t="shared" si="4"/>
        <v>931968248.89327264</v>
      </c>
      <c r="F21" s="115">
        <f t="shared" si="5"/>
        <v>4454855538.3186417</v>
      </c>
      <c r="G21" s="115">
        <f t="shared" si="6"/>
        <v>2507757154.1499157</v>
      </c>
      <c r="H21" s="115">
        <f t="shared" si="7"/>
        <v>642090532.26635039</v>
      </c>
      <c r="I21" s="115">
        <f t="shared" si="8"/>
        <v>1696020142.0419817</v>
      </c>
      <c r="J21" s="115">
        <f t="shared" si="9"/>
        <v>215307591.15838498</v>
      </c>
      <c r="K21" s="115">
        <f t="shared" si="10"/>
        <v>58752899.030000001</v>
      </c>
      <c r="L21" s="115">
        <f t="shared" si="11"/>
        <v>226012989.90165657</v>
      </c>
      <c r="M21" s="115">
        <f t="shared" si="0"/>
        <v>11018801367.457111</v>
      </c>
    </row>
    <row r="22" spans="1:13">
      <c r="A22" s="2">
        <f t="shared" si="2"/>
        <v>11</v>
      </c>
      <c r="B22" s="389" t="s">
        <v>2913</v>
      </c>
      <c r="C22" s="115">
        <f t="shared" si="3"/>
        <v>97848755.615085199</v>
      </c>
      <c r="D22" s="115">
        <f t="shared" si="3"/>
        <v>188253758.39412954</v>
      </c>
      <c r="E22" s="115">
        <f t="shared" si="4"/>
        <v>932409203.35064852</v>
      </c>
      <c r="F22" s="115">
        <f t="shared" si="5"/>
        <v>4460257403.9530258</v>
      </c>
      <c r="G22" s="115">
        <f t="shared" si="6"/>
        <v>2509077222.8719516</v>
      </c>
      <c r="H22" s="115">
        <f t="shared" si="7"/>
        <v>644495932.13584304</v>
      </c>
      <c r="I22" s="115">
        <f t="shared" si="8"/>
        <v>1691740804.2394595</v>
      </c>
      <c r="J22" s="115">
        <f t="shared" si="9"/>
        <v>215307591.15716645</v>
      </c>
      <c r="K22" s="115">
        <f t="shared" si="10"/>
        <v>58752899.030000001</v>
      </c>
      <c r="L22" s="115">
        <f t="shared" si="11"/>
        <v>226024101.20543167</v>
      </c>
      <c r="M22" s="115">
        <f t="shared" si="0"/>
        <v>11024167671.952742</v>
      </c>
    </row>
    <row r="23" spans="1:13">
      <c r="A23" s="2">
        <f t="shared" si="2"/>
        <v>12</v>
      </c>
      <c r="B23" s="389" t="s">
        <v>2914</v>
      </c>
      <c r="C23" s="115">
        <f t="shared" si="3"/>
        <v>95809960.664716199</v>
      </c>
      <c r="D23" s="115">
        <f t="shared" si="3"/>
        <v>188240853.2761232</v>
      </c>
      <c r="E23" s="115">
        <f t="shared" si="4"/>
        <v>935085457.02228713</v>
      </c>
      <c r="F23" s="115">
        <f t="shared" si="5"/>
        <v>4469400341.0722008</v>
      </c>
      <c r="G23" s="115">
        <f t="shared" si="6"/>
        <v>2510377346.1847472</v>
      </c>
      <c r="H23" s="115">
        <f t="shared" si="7"/>
        <v>645828469.18593907</v>
      </c>
      <c r="I23" s="115">
        <f t="shared" si="8"/>
        <v>1691999537.0352275</v>
      </c>
      <c r="J23" s="115">
        <f t="shared" si="9"/>
        <v>215307591.156122</v>
      </c>
      <c r="K23" s="115">
        <f t="shared" si="10"/>
        <v>58752899.030000001</v>
      </c>
      <c r="L23" s="115">
        <f t="shared" si="11"/>
        <v>226050423.49171647</v>
      </c>
      <c r="M23" s="115">
        <f t="shared" si="0"/>
        <v>11036852878.119081</v>
      </c>
    </row>
    <row r="24" spans="1:13">
      <c r="A24" s="2">
        <f t="shared" si="2"/>
        <v>13</v>
      </c>
      <c r="B24" s="389" t="s">
        <v>2915</v>
      </c>
      <c r="C24" s="61">
        <v>95810136.794716418</v>
      </c>
      <c r="D24" s="61">
        <v>188241273.68068492</v>
      </c>
      <c r="E24" s="185">
        <f>'7-PlantStudy'!E10</f>
        <v>936218418.31468368</v>
      </c>
      <c r="F24" s="185">
        <f>'7-PlantStudy'!E11</f>
        <v>4482729299.8015165</v>
      </c>
      <c r="G24" s="185">
        <f>'7-PlantStudy'!E20</f>
        <v>2512776503.7365317</v>
      </c>
      <c r="H24" s="185">
        <f>'7-PlantStudy'!E21</f>
        <v>647749642.71152496</v>
      </c>
      <c r="I24" s="185">
        <f>'7-PlantStudy'!E22</f>
        <v>1690959761.9104967</v>
      </c>
      <c r="J24" s="185">
        <f>'7-PlantStudy'!E23</f>
        <v>215307591.14567745</v>
      </c>
      <c r="K24" s="185">
        <f>'7-PlantStudy'!E24</f>
        <v>58752899.030000001</v>
      </c>
      <c r="L24" s="185">
        <f>'7-PlantStudy'!E25</f>
        <v>226060419.8889825</v>
      </c>
      <c r="M24" s="185">
        <f t="shared" si="0"/>
        <v>11054605947.014814</v>
      </c>
    </row>
    <row r="25" spans="1:13">
      <c r="A25" s="2">
        <f t="shared" si="2"/>
        <v>14</v>
      </c>
      <c r="B25" s="564" t="s">
        <v>637</v>
      </c>
      <c r="C25" s="115">
        <f>AVERAGE(C12:C24)</f>
        <v>95199839.011338577</v>
      </c>
      <c r="D25" s="115">
        <f t="shared" ref="D25:M25" si="12">AVERAGE(D12:D24)</f>
        <v>187640744.83144662</v>
      </c>
      <c r="E25" s="115">
        <f t="shared" si="12"/>
        <v>922899579.19442093</v>
      </c>
      <c r="F25" s="115">
        <f t="shared" si="12"/>
        <v>4446839320.6129322</v>
      </c>
      <c r="G25" s="115">
        <f t="shared" si="12"/>
        <v>2505147102.2730832</v>
      </c>
      <c r="H25" s="115">
        <f t="shared" si="12"/>
        <v>637931724.01286864</v>
      </c>
      <c r="I25" s="115">
        <f t="shared" si="12"/>
        <v>1694858824.3358176</v>
      </c>
      <c r="J25" s="115">
        <f t="shared" si="12"/>
        <v>215308138.61714804</v>
      </c>
      <c r="K25" s="115">
        <f t="shared" si="12"/>
        <v>58752899.029999979</v>
      </c>
      <c r="L25" s="115">
        <f t="shared" si="12"/>
        <v>225914197.70320728</v>
      </c>
      <c r="M25" s="115">
        <f t="shared" si="12"/>
        <v>10990492369.622263</v>
      </c>
    </row>
    <row r="26" spans="1:13">
      <c r="A26" s="235"/>
      <c r="B26" s="235"/>
      <c r="C26" s="235"/>
      <c r="D26" s="235"/>
      <c r="E26" s="235"/>
      <c r="F26" s="235"/>
      <c r="G26" s="235"/>
      <c r="H26" s="235"/>
      <c r="I26" s="235"/>
      <c r="J26" s="235"/>
      <c r="K26" s="235"/>
      <c r="L26" s="235"/>
    </row>
    <row r="27" spans="1:13">
      <c r="A27" s="235"/>
      <c r="B27" s="199" t="s">
        <v>638</v>
      </c>
      <c r="C27" s="235"/>
      <c r="D27" s="235"/>
      <c r="E27" s="235"/>
      <c r="F27" s="235"/>
      <c r="G27" s="235"/>
      <c r="H27" s="235"/>
      <c r="I27" s="235"/>
      <c r="J27" s="235"/>
      <c r="K27" s="235"/>
      <c r="L27" s="235"/>
    </row>
    <row r="28" spans="1:13">
      <c r="A28" s="235"/>
      <c r="B28" s="199"/>
      <c r="C28" s="235"/>
      <c r="D28" s="235"/>
      <c r="E28" s="235"/>
      <c r="F28" s="235"/>
      <c r="G28" s="235"/>
      <c r="H28" s="235"/>
      <c r="I28" s="235"/>
      <c r="J28" s="235"/>
      <c r="K28" s="235"/>
      <c r="L28" s="235"/>
    </row>
    <row r="29" spans="1:13">
      <c r="A29" s="235"/>
      <c r="B29" s="113" t="s">
        <v>639</v>
      </c>
      <c r="C29" s="235"/>
      <c r="D29" s="235"/>
      <c r="E29" s="235"/>
      <c r="F29" s="235"/>
      <c r="G29" s="235"/>
      <c r="H29" s="235"/>
      <c r="I29" s="235"/>
      <c r="J29" s="235"/>
      <c r="K29" s="235"/>
      <c r="L29" s="235"/>
    </row>
    <row r="30" spans="1:13">
      <c r="A30" s="235"/>
      <c r="B30" s="199"/>
      <c r="C30" s="235"/>
      <c r="D30" s="235"/>
      <c r="E30" s="235"/>
      <c r="F30" s="235"/>
      <c r="G30" s="235"/>
      <c r="H30" s="235"/>
      <c r="I30" s="235"/>
      <c r="J30" s="235"/>
      <c r="K30" s="235"/>
      <c r="L30" s="235"/>
    </row>
    <row r="31" spans="1:13">
      <c r="A31" s="199"/>
      <c r="B31" s="48" t="s">
        <v>329</v>
      </c>
      <c r="C31" s="48" t="s">
        <v>330</v>
      </c>
      <c r="D31" s="48" t="s">
        <v>331</v>
      </c>
      <c r="E31" s="48" t="s">
        <v>332</v>
      </c>
      <c r="F31" s="48" t="s">
        <v>333</v>
      </c>
      <c r="G31" s="235"/>
      <c r="H31" s="235"/>
      <c r="I31" s="235"/>
      <c r="J31" s="235"/>
      <c r="K31" s="235"/>
      <c r="L31" s="235"/>
    </row>
    <row r="32" spans="1:13">
      <c r="A32" s="113"/>
      <c r="B32" s="126"/>
      <c r="C32" s="113"/>
      <c r="D32" s="113"/>
      <c r="E32" s="113"/>
      <c r="F32" s="126" t="s">
        <v>640</v>
      </c>
      <c r="G32" s="235"/>
      <c r="H32" s="235"/>
      <c r="K32" s="235"/>
      <c r="L32" s="235"/>
    </row>
    <row r="33" spans="1:12">
      <c r="A33" s="113"/>
      <c r="B33" s="2"/>
      <c r="C33" s="48"/>
      <c r="D33" s="48"/>
      <c r="E33" s="113"/>
      <c r="F33" s="113"/>
      <c r="G33" s="235"/>
      <c r="H33" s="235"/>
      <c r="K33" s="235"/>
      <c r="L33" s="235"/>
    </row>
    <row r="34" spans="1:12" ht="12.75" customHeight="1">
      <c r="A34" s="30" t="s">
        <v>266</v>
      </c>
      <c r="B34" s="3" t="s">
        <v>636</v>
      </c>
      <c r="C34" s="186">
        <v>360</v>
      </c>
      <c r="D34" s="186">
        <v>361</v>
      </c>
      <c r="E34" s="186">
        <v>362</v>
      </c>
      <c r="F34" s="3" t="s">
        <v>244</v>
      </c>
      <c r="G34" s="235"/>
      <c r="H34" s="235"/>
      <c r="K34" s="235"/>
      <c r="L34" s="235"/>
    </row>
    <row r="35" spans="1:12" ht="12.75" customHeight="1">
      <c r="A35" s="2">
        <f>A25+1</f>
        <v>15</v>
      </c>
      <c r="B35" s="389" t="s">
        <v>2806</v>
      </c>
      <c r="C35" s="117">
        <v>0</v>
      </c>
      <c r="D35" s="117">
        <v>0</v>
      </c>
      <c r="E35" s="117">
        <v>0</v>
      </c>
      <c r="F35" s="115">
        <f>SUM(C35:E35)</f>
        <v>0</v>
      </c>
      <c r="G35" s="235"/>
      <c r="H35" s="235"/>
      <c r="K35" s="235"/>
      <c r="L35" s="235"/>
    </row>
    <row r="36" spans="1:12" ht="12.75" customHeight="1">
      <c r="A36" s="2">
        <f>A35+1</f>
        <v>16</v>
      </c>
      <c r="B36" s="389" t="s">
        <v>2915</v>
      </c>
      <c r="C36" s="201">
        <v>0</v>
      </c>
      <c r="D36" s="201">
        <v>0</v>
      </c>
      <c r="E36" s="201">
        <v>0</v>
      </c>
      <c r="F36" s="185">
        <f>SUM(C36:E36)</f>
        <v>0</v>
      </c>
      <c r="G36" s="235"/>
      <c r="H36" s="235"/>
      <c r="K36" s="235"/>
      <c r="L36" s="235"/>
    </row>
    <row r="37" spans="1:12" ht="12.75" customHeight="1">
      <c r="A37" s="2">
        <f>A36+1</f>
        <v>17</v>
      </c>
      <c r="B37" s="564" t="s">
        <v>641</v>
      </c>
      <c r="C37" s="115">
        <f>AVERAGE(C35:C36)</f>
        <v>0</v>
      </c>
      <c r="D37" s="115">
        <f>AVERAGE(D35:D36)</f>
        <v>0</v>
      </c>
      <c r="E37" s="115">
        <f>AVERAGE(E35:E36)</f>
        <v>0</v>
      </c>
      <c r="F37" s="115">
        <f>AVERAGE(F35:F36)</f>
        <v>0</v>
      </c>
      <c r="G37" s="235"/>
      <c r="H37" s="235"/>
      <c r="K37" s="235"/>
      <c r="L37" s="235"/>
    </row>
    <row r="38" spans="1:12" ht="12.75" customHeight="1">
      <c r="A38" s="235"/>
      <c r="B38" s="235"/>
      <c r="C38" s="235"/>
      <c r="D38" s="235"/>
      <c r="E38" s="235"/>
      <c r="F38" s="235"/>
      <c r="G38" s="235"/>
      <c r="H38" s="235"/>
      <c r="K38" s="235"/>
      <c r="L38" s="235"/>
    </row>
    <row r="39" spans="1:12">
      <c r="A39" s="235"/>
      <c r="B39" s="1" t="s">
        <v>642</v>
      </c>
      <c r="C39" s="336"/>
      <c r="D39" s="336"/>
      <c r="E39" s="313"/>
      <c r="F39" s="565"/>
      <c r="G39" s="566"/>
      <c r="H39" s="235"/>
      <c r="K39" s="235"/>
      <c r="L39" s="235"/>
    </row>
    <row r="40" spans="1:12">
      <c r="A40" s="235"/>
      <c r="B40" s="235" t="s">
        <v>643</v>
      </c>
      <c r="C40" s="336"/>
      <c r="D40" s="336"/>
      <c r="E40" s="313"/>
      <c r="F40" s="565"/>
      <c r="G40" s="566"/>
      <c r="H40" s="235"/>
      <c r="K40" s="235"/>
      <c r="L40" s="235"/>
    </row>
    <row r="41" spans="1:12">
      <c r="A41" s="235"/>
      <c r="B41" s="235"/>
      <c r="C41" s="336"/>
      <c r="D41" s="336"/>
      <c r="E41" s="313"/>
      <c r="F41" s="565"/>
      <c r="G41" s="566"/>
      <c r="H41" s="235"/>
      <c r="K41" s="235"/>
      <c r="L41" s="235"/>
    </row>
    <row r="42" spans="1:12">
      <c r="A42" s="235"/>
      <c r="B42" s="235"/>
      <c r="C42" s="336"/>
      <c r="D42" s="567" t="s">
        <v>79</v>
      </c>
      <c r="E42" s="330" t="s">
        <v>644</v>
      </c>
      <c r="F42" s="565"/>
      <c r="G42" s="566"/>
      <c r="H42" s="235"/>
      <c r="K42" s="235"/>
      <c r="L42" s="235"/>
    </row>
    <row r="43" spans="1:12">
      <c r="A43" s="2">
        <f>A37+1</f>
        <v>18</v>
      </c>
      <c r="B43" s="235"/>
      <c r="C43" s="313" t="s">
        <v>645</v>
      </c>
      <c r="D43" s="565">
        <f>M25+F37</f>
        <v>10990492369.622263</v>
      </c>
      <c r="E43" s="568" t="str">
        <f>"Sum of Line "&amp;A25&amp;", "&amp;M8&amp;" and Line "&amp;A37&amp;", "&amp;F31&amp;""</f>
        <v>Sum of Line 14, Col 12 and Line 17, Col 5</v>
      </c>
      <c r="F43" s="235"/>
      <c r="G43" s="235"/>
      <c r="H43" s="235"/>
      <c r="K43" s="235"/>
      <c r="L43" s="235"/>
    </row>
    <row r="44" spans="1:12">
      <c r="A44" s="2">
        <f>A43+1</f>
        <v>19</v>
      </c>
      <c r="B44" s="235"/>
      <c r="C44" s="313" t="s">
        <v>646</v>
      </c>
      <c r="D44" s="565">
        <f>M24+F36</f>
        <v>11054605947.014814</v>
      </c>
      <c r="E44" s="568" t="str">
        <f>"Sum of Line "&amp;A24&amp;", "&amp;M8&amp;" and Line "&amp;A36&amp;", "&amp;F31&amp;""</f>
        <v>Sum of Line 13, Col 12 and Line 16, Col 5</v>
      </c>
      <c r="F44" s="235"/>
      <c r="G44" s="235"/>
      <c r="H44" s="235"/>
      <c r="I44" s="235"/>
      <c r="J44" s="235"/>
      <c r="K44" s="235"/>
      <c r="L44" s="235"/>
    </row>
    <row r="45" spans="1:12">
      <c r="A45" s="235"/>
      <c r="B45" s="235"/>
      <c r="C45" s="336"/>
      <c r="D45" s="336"/>
      <c r="E45" s="305"/>
      <c r="F45" s="569"/>
      <c r="G45" s="570"/>
      <c r="H45" s="235"/>
      <c r="I45" s="235"/>
      <c r="J45" s="235"/>
      <c r="K45" s="235"/>
      <c r="L45" s="235"/>
    </row>
    <row r="46" spans="1:12">
      <c r="A46" s="235"/>
      <c r="B46" s="1" t="s">
        <v>647</v>
      </c>
      <c r="C46" s="235"/>
      <c r="D46" s="235"/>
      <c r="E46" s="305"/>
      <c r="F46" s="569"/>
      <c r="G46" s="570"/>
      <c r="H46" s="235"/>
      <c r="I46" s="235"/>
      <c r="J46" s="235"/>
      <c r="K46" s="235"/>
      <c r="L46" s="235"/>
    </row>
    <row r="47" spans="1:12">
      <c r="A47" s="235"/>
      <c r="B47" s="234" t="s">
        <v>648</v>
      </c>
      <c r="C47" s="235"/>
      <c r="D47" s="235"/>
      <c r="E47" s="305"/>
      <c r="F47" s="569"/>
      <c r="G47" s="570"/>
      <c r="H47" s="235"/>
      <c r="I47" s="235"/>
      <c r="J47" s="235"/>
      <c r="K47" s="235"/>
      <c r="L47" s="235"/>
    </row>
    <row r="48" spans="1:12" ht="12.75" customHeight="1">
      <c r="A48" s="235"/>
      <c r="B48" s="234"/>
      <c r="C48" s="235"/>
      <c r="D48" s="235"/>
      <c r="E48" s="305"/>
      <c r="F48" s="569"/>
      <c r="G48" s="570"/>
      <c r="H48" s="235"/>
      <c r="I48" s="235"/>
      <c r="J48" s="235"/>
      <c r="K48" s="235"/>
      <c r="L48" s="235"/>
    </row>
    <row r="49" spans="1:12">
      <c r="A49" s="235"/>
      <c r="B49" s="1"/>
      <c r="C49" s="126" t="s">
        <v>144</v>
      </c>
      <c r="D49" s="235"/>
      <c r="E49" s="305"/>
      <c r="F49" s="48" t="s">
        <v>329</v>
      </c>
      <c r="G49" s="48" t="s">
        <v>330</v>
      </c>
      <c r="H49" s="48" t="s">
        <v>331</v>
      </c>
      <c r="I49" s="235"/>
      <c r="J49" s="235"/>
      <c r="K49" s="235"/>
      <c r="L49" s="235"/>
    </row>
    <row r="50" spans="1:12">
      <c r="A50" s="235"/>
      <c r="B50" s="1"/>
      <c r="C50" s="2" t="s">
        <v>407</v>
      </c>
      <c r="D50" s="305"/>
      <c r="F50" s="2" t="s">
        <v>649</v>
      </c>
      <c r="G50" s="2" t="s">
        <v>650</v>
      </c>
      <c r="H50" s="559" t="s">
        <v>244</v>
      </c>
      <c r="I50" s="570"/>
      <c r="J50" s="235"/>
      <c r="K50" s="235"/>
      <c r="L50" s="235"/>
    </row>
    <row r="51" spans="1:12">
      <c r="A51" s="235"/>
      <c r="B51" s="235"/>
      <c r="C51" s="2" t="s">
        <v>365</v>
      </c>
      <c r="D51" s="312" t="s">
        <v>651</v>
      </c>
      <c r="F51" s="312" t="s">
        <v>652</v>
      </c>
      <c r="G51" s="312" t="s">
        <v>652</v>
      </c>
      <c r="H51" s="312" t="s">
        <v>653</v>
      </c>
      <c r="I51" s="312"/>
      <c r="J51" s="235"/>
      <c r="K51" s="235"/>
      <c r="L51" s="235"/>
    </row>
    <row r="52" spans="1:12">
      <c r="A52" s="235"/>
      <c r="B52" s="235"/>
      <c r="C52" s="3" t="s">
        <v>364</v>
      </c>
      <c r="D52" s="330" t="s">
        <v>644</v>
      </c>
      <c r="F52" s="330" t="s">
        <v>654</v>
      </c>
      <c r="G52" s="330" t="s">
        <v>654</v>
      </c>
      <c r="H52" s="330" t="s">
        <v>654</v>
      </c>
      <c r="I52" s="330" t="s">
        <v>100</v>
      </c>
      <c r="J52" s="235"/>
      <c r="K52" s="235"/>
      <c r="L52" s="235"/>
    </row>
    <row r="53" spans="1:12">
      <c r="A53" s="2">
        <f>A44+1</f>
        <v>20</v>
      </c>
      <c r="B53" s="235"/>
      <c r="C53" s="305" t="s">
        <v>372</v>
      </c>
      <c r="D53" s="558" t="s">
        <v>655</v>
      </c>
      <c r="F53" s="59">
        <v>3718298393</v>
      </c>
      <c r="G53" s="255">
        <v>2365764059</v>
      </c>
      <c r="H53" s="565">
        <f>SUM(F53:G53)</f>
        <v>6084062452</v>
      </c>
      <c r="I53" s="558" t="s">
        <v>656</v>
      </c>
      <c r="J53" s="235"/>
      <c r="K53" s="235"/>
      <c r="L53" s="235"/>
    </row>
    <row r="54" spans="1:12" ht="12.75" customHeight="1">
      <c r="A54" s="2">
        <f>A53+1</f>
        <v>21</v>
      </c>
      <c r="B54" s="235"/>
      <c r="C54" s="331" t="s">
        <v>372</v>
      </c>
      <c r="D54" s="558" t="s">
        <v>657</v>
      </c>
      <c r="F54" s="59">
        <v>3874397400</v>
      </c>
      <c r="G54" s="255">
        <v>2491746975</v>
      </c>
      <c r="H54" s="565">
        <f>SUM(F54:G54)</f>
        <v>6366144375</v>
      </c>
      <c r="I54" s="234" t="s">
        <v>658</v>
      </c>
      <c r="J54" s="235"/>
      <c r="K54" s="235"/>
      <c r="L54" s="235"/>
    </row>
    <row r="55" spans="1:12" ht="12.75" customHeight="1">
      <c r="A55" s="235"/>
      <c r="B55" s="235"/>
      <c r="C55" s="331"/>
      <c r="D55" s="571"/>
      <c r="E55" s="572"/>
      <c r="F55" s="565"/>
      <c r="G55" s="234"/>
      <c r="H55" s="235"/>
      <c r="I55" s="235"/>
      <c r="J55" s="235"/>
      <c r="K55" s="235"/>
      <c r="L55" s="235"/>
    </row>
    <row r="56" spans="1:12" ht="12.75" customHeight="1">
      <c r="A56" s="235"/>
      <c r="B56" s="235"/>
      <c r="C56" s="336" t="s">
        <v>659</v>
      </c>
      <c r="D56" s="336"/>
      <c r="E56" s="305"/>
      <c r="F56" s="330" t="s">
        <v>79</v>
      </c>
      <c r="G56" s="573" t="s">
        <v>644</v>
      </c>
      <c r="H56" s="235"/>
      <c r="I56" s="235"/>
      <c r="J56" s="235"/>
      <c r="K56" s="235"/>
      <c r="L56" s="235"/>
    </row>
    <row r="57" spans="1:12">
      <c r="A57" s="2">
        <f>A54+1</f>
        <v>22</v>
      </c>
      <c r="B57" s="235"/>
      <c r="C57" s="336"/>
      <c r="D57" s="336"/>
      <c r="E57" s="313" t="s">
        <v>660</v>
      </c>
      <c r="F57" s="565">
        <f>(H53+H54)/2</f>
        <v>6225103413.5</v>
      </c>
      <c r="G57" s="259" t="str">
        <f>"Average of Line "&amp;A53&amp;" and "&amp;A54&amp;"."</f>
        <v>Average of Line 20 and 21.</v>
      </c>
      <c r="H57" s="235"/>
      <c r="I57" s="235"/>
      <c r="J57" s="235"/>
      <c r="K57" s="235"/>
      <c r="L57" s="235"/>
    </row>
    <row r="58" spans="1:12">
      <c r="A58" s="2">
        <f>A57+1</f>
        <v>23</v>
      </c>
      <c r="B58" s="235"/>
      <c r="C58" s="336"/>
      <c r="D58" s="336"/>
      <c r="E58" s="313" t="s">
        <v>661</v>
      </c>
      <c r="F58" s="574">
        <f>'27-Allocators'!G15</f>
        <v>5.8811663225218191E-2</v>
      </c>
      <c r="G58" s="259" t="str">
        <f>"27-Allocators, Line "&amp;'27-Allocators'!A15&amp;""</f>
        <v>27-Allocators, Line 9</v>
      </c>
      <c r="H58" s="235"/>
      <c r="I58" s="235"/>
      <c r="J58" s="235"/>
      <c r="K58" s="235"/>
      <c r="L58" s="235"/>
    </row>
    <row r="59" spans="1:12">
      <c r="A59" s="2">
        <f>A58+1</f>
        <v>24</v>
      </c>
      <c r="B59" s="235"/>
      <c r="C59" s="336"/>
      <c r="D59" s="336"/>
      <c r="E59" s="313" t="s">
        <v>662</v>
      </c>
      <c r="F59" s="565">
        <f>F57*F58</f>
        <v>366108685.4969182</v>
      </c>
      <c r="G59" s="259" t="str">
        <f>"Line "&amp;A57&amp;" * Line "&amp;A58&amp;"."</f>
        <v>Line 22 * Line 23.</v>
      </c>
      <c r="H59" s="235"/>
      <c r="I59" s="235"/>
      <c r="J59" s="235"/>
      <c r="K59" s="235"/>
      <c r="L59" s="235"/>
    </row>
    <row r="60" spans="1:12">
      <c r="A60" s="235"/>
      <c r="B60" s="235"/>
      <c r="C60" s="336"/>
      <c r="D60" s="336"/>
      <c r="E60" s="313"/>
      <c r="F60" s="565"/>
      <c r="G60" s="566"/>
      <c r="H60" s="235"/>
      <c r="I60" s="235"/>
      <c r="J60" s="235"/>
      <c r="K60" s="235"/>
      <c r="L60" s="235"/>
    </row>
    <row r="61" spans="1:12">
      <c r="A61" s="235"/>
      <c r="B61" s="235"/>
      <c r="C61" s="336" t="s">
        <v>663</v>
      </c>
      <c r="D61" s="336"/>
      <c r="E61" s="305"/>
      <c r="F61" s="330" t="s">
        <v>79</v>
      </c>
      <c r="G61" s="573" t="s">
        <v>644</v>
      </c>
      <c r="H61" s="235"/>
      <c r="I61" s="235"/>
      <c r="J61" s="235"/>
      <c r="K61" s="235"/>
      <c r="L61" s="235"/>
    </row>
    <row r="62" spans="1:12">
      <c r="A62" s="2">
        <f>A59+1</f>
        <v>25</v>
      </c>
      <c r="B62" s="235"/>
      <c r="C62" s="336"/>
      <c r="D62" s="336"/>
      <c r="E62" s="313" t="s">
        <v>646</v>
      </c>
      <c r="F62" s="565">
        <f>H54</f>
        <v>6366144375</v>
      </c>
      <c r="G62" s="259" t="str">
        <f>"Line "&amp;A54&amp;"."</f>
        <v>Line 21.</v>
      </c>
      <c r="H62" s="235"/>
      <c r="I62" s="235"/>
      <c r="J62" s="235"/>
      <c r="K62" s="235"/>
      <c r="L62" s="235"/>
    </row>
    <row r="63" spans="1:12">
      <c r="A63" s="2">
        <f>A62+1</f>
        <v>26</v>
      </c>
      <c r="B63" s="235"/>
      <c r="C63" s="336"/>
      <c r="D63" s="336"/>
      <c r="E63" s="313" t="s">
        <v>661</v>
      </c>
      <c r="F63" s="574">
        <f>'27-Allocators'!G15</f>
        <v>5.8811663225218191E-2</v>
      </c>
      <c r="G63" s="259" t="str">
        <f>"27-Allocators, Line "&amp;'27-Allocators'!A15&amp;""</f>
        <v>27-Allocators, Line 9</v>
      </c>
      <c r="H63" s="235"/>
      <c r="I63" s="235"/>
      <c r="J63" s="235"/>
      <c r="K63" s="235"/>
      <c r="L63" s="235"/>
    </row>
    <row r="64" spans="1:12">
      <c r="A64" s="2">
        <f>A63+1</f>
        <v>27</v>
      </c>
      <c r="B64" s="235"/>
      <c r="C64" s="336"/>
      <c r="D64" s="336"/>
      <c r="E64" s="313" t="s">
        <v>662</v>
      </c>
      <c r="F64" s="565">
        <f>F62*F63</f>
        <v>374403539.02561712</v>
      </c>
      <c r="G64" s="259" t="str">
        <f>"Line "&amp;A62&amp;" * Line "&amp;A63&amp;"."</f>
        <v>Line 25 * Line 26.</v>
      </c>
      <c r="H64" s="235"/>
      <c r="I64" s="235"/>
      <c r="J64" s="235"/>
      <c r="K64" s="235"/>
      <c r="L64" s="235"/>
    </row>
    <row r="65" spans="1:13">
      <c r="A65" s="235"/>
      <c r="B65" s="235"/>
      <c r="C65" s="235"/>
      <c r="D65" s="235"/>
      <c r="E65" s="235"/>
      <c r="F65" s="235"/>
      <c r="G65" s="235"/>
      <c r="H65" s="235"/>
      <c r="I65" s="235"/>
      <c r="J65" s="235"/>
      <c r="K65" s="235"/>
      <c r="L65" s="235"/>
    </row>
    <row r="66" spans="1:13">
      <c r="A66" s="235"/>
      <c r="B66" s="235"/>
      <c r="C66" s="235"/>
      <c r="D66" s="235"/>
      <c r="E66" s="235"/>
      <c r="F66" s="235"/>
      <c r="G66" s="235"/>
      <c r="H66" s="235"/>
      <c r="I66" s="235"/>
      <c r="J66" s="235"/>
      <c r="K66" s="235"/>
      <c r="L66" s="235"/>
    </row>
    <row r="67" spans="1:13">
      <c r="A67" s="235"/>
      <c r="B67" s="1" t="s">
        <v>664</v>
      </c>
      <c r="C67" s="235"/>
      <c r="D67" s="235"/>
      <c r="E67" s="235"/>
      <c r="F67" s="235"/>
      <c r="G67" s="235"/>
      <c r="H67" s="235"/>
      <c r="I67" s="235"/>
      <c r="J67" s="235"/>
      <c r="K67" s="235"/>
      <c r="L67" s="235"/>
    </row>
    <row r="68" spans="1:13">
      <c r="A68" s="235"/>
      <c r="C68" s="235"/>
      <c r="D68" s="235"/>
      <c r="E68" s="235"/>
      <c r="F68" s="235"/>
      <c r="G68" s="235"/>
      <c r="H68" s="235"/>
      <c r="I68" s="235"/>
      <c r="J68" s="235"/>
      <c r="K68" s="235"/>
      <c r="L68" s="235"/>
    </row>
    <row r="69" spans="1:13">
      <c r="B69" s="1" t="s">
        <v>665</v>
      </c>
      <c r="C69" s="235"/>
      <c r="D69" s="235"/>
      <c r="E69" s="235"/>
      <c r="F69" s="235"/>
      <c r="G69" s="235"/>
      <c r="H69" s="235"/>
      <c r="I69" s="235"/>
      <c r="J69" s="235"/>
      <c r="K69" s="235"/>
      <c r="L69" s="235"/>
    </row>
    <row r="70" spans="1:13">
      <c r="A70" s="235"/>
      <c r="C70" s="235"/>
      <c r="D70" s="235"/>
      <c r="E70" s="235"/>
      <c r="F70" s="235"/>
      <c r="G70" s="235"/>
      <c r="H70" s="235"/>
      <c r="I70" s="235"/>
      <c r="J70" s="235"/>
      <c r="K70" s="235"/>
      <c r="L70" s="235"/>
    </row>
    <row r="71" spans="1:13">
      <c r="A71" s="199"/>
      <c r="B71" s="48" t="s">
        <v>329</v>
      </c>
      <c r="C71" s="48" t="s">
        <v>330</v>
      </c>
      <c r="D71" s="48" t="s">
        <v>331</v>
      </c>
      <c r="E71" s="48" t="s">
        <v>332</v>
      </c>
      <c r="F71" s="48" t="s">
        <v>333</v>
      </c>
      <c r="G71" s="48" t="s">
        <v>334</v>
      </c>
      <c r="H71" s="48" t="s">
        <v>335</v>
      </c>
      <c r="I71" s="48" t="s">
        <v>336</v>
      </c>
      <c r="J71" s="48" t="s">
        <v>337</v>
      </c>
      <c r="K71" s="48" t="s">
        <v>582</v>
      </c>
      <c r="L71" s="48" t="s">
        <v>583</v>
      </c>
      <c r="M71" s="48" t="s">
        <v>584</v>
      </c>
    </row>
    <row r="72" spans="1:13">
      <c r="A72" s="113"/>
      <c r="B72" s="126"/>
      <c r="C72" s="113"/>
      <c r="D72" s="113"/>
      <c r="E72" s="113"/>
      <c r="F72" s="113"/>
      <c r="G72" s="113"/>
      <c r="H72" s="113"/>
      <c r="I72" s="113"/>
      <c r="J72" s="113"/>
      <c r="K72" s="113"/>
      <c r="M72" s="126" t="s">
        <v>635</v>
      </c>
    </row>
    <row r="73" spans="1:13">
      <c r="A73" s="30"/>
      <c r="B73" s="3" t="s">
        <v>636</v>
      </c>
      <c r="C73" s="48">
        <v>350.1</v>
      </c>
      <c r="D73" s="48">
        <v>350.2</v>
      </c>
      <c r="E73" s="48">
        <v>352</v>
      </c>
      <c r="F73" s="48">
        <v>353</v>
      </c>
      <c r="G73" s="48">
        <v>354</v>
      </c>
      <c r="H73" s="48">
        <v>355</v>
      </c>
      <c r="I73" s="48">
        <v>356</v>
      </c>
      <c r="J73" s="48">
        <v>357</v>
      </c>
      <c r="K73" s="48">
        <v>358</v>
      </c>
      <c r="L73" s="48">
        <v>359</v>
      </c>
      <c r="M73" s="3" t="s">
        <v>244</v>
      </c>
    </row>
    <row r="74" spans="1:13">
      <c r="A74" s="2">
        <f>A64+1</f>
        <v>28</v>
      </c>
      <c r="B74" s="510" t="s">
        <v>2806</v>
      </c>
      <c r="C74" s="255">
        <v>138619566.78</v>
      </c>
      <c r="D74" s="255">
        <v>241067963.66</v>
      </c>
      <c r="E74" s="117">
        <v>1398451730.0799999</v>
      </c>
      <c r="F74" s="117">
        <v>7695764722.4900007</v>
      </c>
      <c r="G74" s="117">
        <v>2598053333.9900002</v>
      </c>
      <c r="H74" s="117">
        <v>2365912986.04</v>
      </c>
      <c r="I74" s="117">
        <v>2191977443.9900002</v>
      </c>
      <c r="J74" s="117">
        <v>330140962.74000001</v>
      </c>
      <c r="K74" s="117">
        <v>437739242.56</v>
      </c>
      <c r="L74" s="117">
        <v>251650169.70999998</v>
      </c>
      <c r="M74" s="115">
        <f t="shared" ref="M74:M85" si="13">SUM(C74:L74)</f>
        <v>17649378122.040001</v>
      </c>
    </row>
    <row r="75" spans="1:13">
      <c r="A75" s="2">
        <f t="shared" ref="A75:A86" si="14">A74+1</f>
        <v>29</v>
      </c>
      <c r="B75" s="389" t="s">
        <v>2904</v>
      </c>
      <c r="C75" s="255">
        <v>138619483.03999999</v>
      </c>
      <c r="D75" s="255">
        <v>241181839.61000001</v>
      </c>
      <c r="E75" s="117">
        <v>1404453671.01</v>
      </c>
      <c r="F75" s="117">
        <v>7723389496.6499996</v>
      </c>
      <c r="G75" s="117">
        <v>2595559520.4500003</v>
      </c>
      <c r="H75" s="117">
        <v>2370330092.8299999</v>
      </c>
      <c r="I75" s="117">
        <v>2192277612.7800002</v>
      </c>
      <c r="J75" s="117">
        <v>330140924.74000001</v>
      </c>
      <c r="K75" s="117">
        <v>437857126.97000003</v>
      </c>
      <c r="L75" s="117">
        <v>251654196.38999999</v>
      </c>
      <c r="M75" s="115">
        <f t="shared" si="13"/>
        <v>17685463964.470001</v>
      </c>
    </row>
    <row r="76" spans="1:13">
      <c r="A76" s="2">
        <f t="shared" si="14"/>
        <v>30</v>
      </c>
      <c r="B76" s="389" t="s">
        <v>2905</v>
      </c>
      <c r="C76" s="255">
        <v>138619471.41999999</v>
      </c>
      <c r="D76" s="255">
        <v>241167910.74000001</v>
      </c>
      <c r="E76" s="117">
        <v>1407244604.51</v>
      </c>
      <c r="F76" s="117">
        <v>7743419001.1199999</v>
      </c>
      <c r="G76" s="117">
        <v>2596370493.3800001</v>
      </c>
      <c r="H76" s="117">
        <v>2379340303.29</v>
      </c>
      <c r="I76" s="117">
        <v>2193600098.9700003</v>
      </c>
      <c r="J76" s="117">
        <v>330140962.05000001</v>
      </c>
      <c r="K76" s="117">
        <v>437759917.66000003</v>
      </c>
      <c r="L76" s="117">
        <v>252594883.22999999</v>
      </c>
      <c r="M76" s="115">
        <f t="shared" si="13"/>
        <v>17720257646.370003</v>
      </c>
    </row>
    <row r="77" spans="1:13">
      <c r="A77" s="2">
        <f t="shared" si="14"/>
        <v>31</v>
      </c>
      <c r="B77" s="389" t="s">
        <v>2906</v>
      </c>
      <c r="C77" s="255">
        <v>138619471.41999999</v>
      </c>
      <c r="D77" s="255">
        <v>241173376.72999999</v>
      </c>
      <c r="E77" s="117">
        <v>1410735188.0999999</v>
      </c>
      <c r="F77" s="117">
        <v>7749893090.21</v>
      </c>
      <c r="G77" s="117">
        <v>2605178812.6199999</v>
      </c>
      <c r="H77" s="117">
        <v>2388514140.71</v>
      </c>
      <c r="I77" s="117">
        <v>2191498739.75</v>
      </c>
      <c r="J77" s="117">
        <v>330140967.75</v>
      </c>
      <c r="K77" s="117">
        <v>442727533.86000001</v>
      </c>
      <c r="L77" s="117">
        <v>252599100.91</v>
      </c>
      <c r="M77" s="115">
        <f t="shared" si="13"/>
        <v>17751080422.059998</v>
      </c>
    </row>
    <row r="78" spans="1:13">
      <c r="A78" s="2">
        <f t="shared" si="14"/>
        <v>32</v>
      </c>
      <c r="B78" s="389" t="s">
        <v>2907</v>
      </c>
      <c r="C78" s="255">
        <v>144183117.62</v>
      </c>
      <c r="D78" s="255">
        <v>241195115.10000002</v>
      </c>
      <c r="E78" s="117">
        <v>1412766113.6200001</v>
      </c>
      <c r="F78" s="117">
        <v>7761279818.4899998</v>
      </c>
      <c r="G78" s="117">
        <v>2602992854.8800001</v>
      </c>
      <c r="H78" s="117">
        <v>2357082619.29</v>
      </c>
      <c r="I78" s="117">
        <v>2191533334.23</v>
      </c>
      <c r="J78" s="117">
        <v>330141114.18000001</v>
      </c>
      <c r="K78" s="117">
        <v>442819209.85000002</v>
      </c>
      <c r="L78" s="117">
        <v>252629650.09999999</v>
      </c>
      <c r="M78" s="115">
        <f t="shared" si="13"/>
        <v>17736622947.359997</v>
      </c>
    </row>
    <row r="79" spans="1:13">
      <c r="A79" s="2">
        <f t="shared" si="14"/>
        <v>33</v>
      </c>
      <c r="B79" s="389" t="s">
        <v>2908</v>
      </c>
      <c r="C79" s="255">
        <v>144181624.38</v>
      </c>
      <c r="D79" s="255">
        <v>245913081.82000002</v>
      </c>
      <c r="E79" s="117">
        <v>1423325816.2</v>
      </c>
      <c r="F79" s="117">
        <v>7782854206.579999</v>
      </c>
      <c r="G79" s="117">
        <v>2604624778.04</v>
      </c>
      <c r="H79" s="117">
        <v>2368633195.29</v>
      </c>
      <c r="I79" s="117">
        <v>2195839892.52</v>
      </c>
      <c r="J79" s="117">
        <v>330141122.32999998</v>
      </c>
      <c r="K79" s="117">
        <v>442803903.31999999</v>
      </c>
      <c r="L79" s="117">
        <v>252670206.32999998</v>
      </c>
      <c r="M79" s="115">
        <f t="shared" si="13"/>
        <v>17790987826.810005</v>
      </c>
    </row>
    <row r="80" spans="1:13">
      <c r="A80" s="2">
        <f t="shared" si="14"/>
        <v>34</v>
      </c>
      <c r="B80" s="389" t="s">
        <v>2909</v>
      </c>
      <c r="C80" s="255">
        <v>144178932.11000001</v>
      </c>
      <c r="D80" s="255">
        <v>245967124.65000001</v>
      </c>
      <c r="E80" s="117">
        <v>1436268104.29</v>
      </c>
      <c r="F80" s="117">
        <v>7777074807.4899998</v>
      </c>
      <c r="G80" s="117">
        <v>2605456086.9700003</v>
      </c>
      <c r="H80" s="117">
        <v>2407952821.21</v>
      </c>
      <c r="I80" s="117">
        <v>2196260339.0100002</v>
      </c>
      <c r="J80" s="117">
        <v>330107982.88</v>
      </c>
      <c r="K80" s="117">
        <v>444029777.70999998</v>
      </c>
      <c r="L80" s="117">
        <v>252676386.47999999</v>
      </c>
      <c r="M80" s="115">
        <f t="shared" si="13"/>
        <v>17839972362.799995</v>
      </c>
    </row>
    <row r="81" spans="1:13">
      <c r="A81" s="2">
        <f t="shared" si="14"/>
        <v>35</v>
      </c>
      <c r="B81" s="389" t="s">
        <v>2910</v>
      </c>
      <c r="C81" s="255">
        <v>144179294.44999999</v>
      </c>
      <c r="D81" s="255">
        <v>246001538.08000001</v>
      </c>
      <c r="E81" s="117">
        <v>1439693810.2</v>
      </c>
      <c r="F81" s="117">
        <v>7790752577.6499996</v>
      </c>
      <c r="G81" s="117">
        <v>2608107384.5700002</v>
      </c>
      <c r="H81" s="117">
        <v>2416545785.4099998</v>
      </c>
      <c r="I81" s="117">
        <v>2198044577.3099999</v>
      </c>
      <c r="J81" s="117">
        <v>330194828.63</v>
      </c>
      <c r="K81" s="117">
        <v>443968760.32999998</v>
      </c>
      <c r="L81" s="117">
        <v>252712035.47</v>
      </c>
      <c r="M81" s="115">
        <f t="shared" si="13"/>
        <v>17870200592.099998</v>
      </c>
    </row>
    <row r="82" spans="1:13">
      <c r="A82" s="2">
        <f t="shared" si="14"/>
        <v>36</v>
      </c>
      <c r="B82" s="389" t="s">
        <v>2911</v>
      </c>
      <c r="C82" s="255">
        <v>144178598.56</v>
      </c>
      <c r="D82" s="255">
        <v>246043052.5</v>
      </c>
      <c r="E82" s="117">
        <v>1444307156.3800001</v>
      </c>
      <c r="F82" s="117">
        <v>7788933761.5999994</v>
      </c>
      <c r="G82" s="117">
        <v>2608092325.1399999</v>
      </c>
      <c r="H82" s="117">
        <v>2424949020.2999997</v>
      </c>
      <c r="I82" s="117">
        <v>2198561458.04</v>
      </c>
      <c r="J82" s="117">
        <v>330194693.32999998</v>
      </c>
      <c r="K82" s="117">
        <v>444283265.60000002</v>
      </c>
      <c r="L82" s="117">
        <v>252715294.03</v>
      </c>
      <c r="M82" s="115">
        <f t="shared" si="13"/>
        <v>17882258625.479996</v>
      </c>
    </row>
    <row r="83" spans="1:13">
      <c r="A83" s="2">
        <f t="shared" si="14"/>
        <v>37</v>
      </c>
      <c r="B83" s="389" t="s">
        <v>2912</v>
      </c>
      <c r="C83" s="255">
        <v>144152245.13999999</v>
      </c>
      <c r="D83" s="255">
        <v>246105097.90000004</v>
      </c>
      <c r="E83" s="117">
        <v>1444909884.4000001</v>
      </c>
      <c r="F83" s="117">
        <v>7798428981.3199997</v>
      </c>
      <c r="G83" s="117">
        <v>2608229246.0599999</v>
      </c>
      <c r="H83" s="117">
        <v>2441061730.1299996</v>
      </c>
      <c r="I83" s="117">
        <v>2194530118.1300001</v>
      </c>
      <c r="J83" s="117">
        <v>330194711.26999998</v>
      </c>
      <c r="K83" s="117">
        <v>445129768.70999998</v>
      </c>
      <c r="L83" s="117">
        <v>252403694.78999999</v>
      </c>
      <c r="M83" s="115">
        <f t="shared" si="13"/>
        <v>17905145477.849998</v>
      </c>
    </row>
    <row r="84" spans="1:13">
      <c r="A84" s="2">
        <f t="shared" si="14"/>
        <v>38</v>
      </c>
      <c r="B84" s="389" t="s">
        <v>2913</v>
      </c>
      <c r="C84" s="255">
        <v>144151421.94999999</v>
      </c>
      <c r="D84" s="255">
        <v>246048500.79000002</v>
      </c>
      <c r="E84" s="117">
        <v>1445571560.5699999</v>
      </c>
      <c r="F84" s="117">
        <v>7814383142.0599995</v>
      </c>
      <c r="G84" s="117">
        <v>2609984499.2400002</v>
      </c>
      <c r="H84" s="117">
        <v>2458691640.9199996</v>
      </c>
      <c r="I84" s="117">
        <v>2187994254.1599998</v>
      </c>
      <c r="J84" s="117">
        <v>330194711.33999997</v>
      </c>
      <c r="K84" s="117">
        <v>445182816.66000003</v>
      </c>
      <c r="L84" s="117">
        <v>252420143.53999999</v>
      </c>
      <c r="M84" s="115">
        <f t="shared" si="13"/>
        <v>17934622691.23</v>
      </c>
    </row>
    <row r="85" spans="1:13">
      <c r="A85" s="2">
        <f t="shared" si="14"/>
        <v>39</v>
      </c>
      <c r="B85" s="389" t="s">
        <v>2914</v>
      </c>
      <c r="C85" s="255">
        <v>144225459.80000001</v>
      </c>
      <c r="D85" s="255">
        <v>246008251.40000004</v>
      </c>
      <c r="E85" s="117">
        <v>1450490989.3700001</v>
      </c>
      <c r="F85" s="117">
        <v>7843437662.1300001</v>
      </c>
      <c r="G85" s="117">
        <v>2611489863.0999999</v>
      </c>
      <c r="H85" s="117">
        <v>2468322447.48</v>
      </c>
      <c r="I85" s="117">
        <v>2188324305.0900002</v>
      </c>
      <c r="J85" s="117">
        <v>330194711.39999998</v>
      </c>
      <c r="K85" s="117">
        <v>455572387.26999998</v>
      </c>
      <c r="L85" s="117">
        <v>252448512.5</v>
      </c>
      <c r="M85" s="185">
        <f t="shared" si="13"/>
        <v>17990514589.540001</v>
      </c>
    </row>
    <row r="86" spans="1:13">
      <c r="A86" s="2">
        <f t="shared" si="14"/>
        <v>40</v>
      </c>
      <c r="B86" s="389" t="s">
        <v>2915</v>
      </c>
      <c r="C86" s="255">
        <v>144225635.93000001</v>
      </c>
      <c r="D86" s="255">
        <v>246009554.67000002</v>
      </c>
      <c r="E86" s="237">
        <f>'7-PlantStudy'!C10</f>
        <v>1452514877</v>
      </c>
      <c r="F86" s="237">
        <f>'7-PlantStudy'!C11</f>
        <v>7886819048</v>
      </c>
      <c r="G86" s="237">
        <f>'7-PlantStudy'!C20</f>
        <v>2614263737</v>
      </c>
      <c r="H86" s="237">
        <f>'7-PlantStudy'!C21</f>
        <v>2482407376</v>
      </c>
      <c r="I86" s="237">
        <f>'7-PlantStudy'!C22</f>
        <v>2186903951</v>
      </c>
      <c r="J86" s="237">
        <f>'7-PlantStudy'!C23</f>
        <v>330194712</v>
      </c>
      <c r="K86" s="237">
        <f>'7-PlantStudy'!C24</f>
        <v>455498400</v>
      </c>
      <c r="L86" s="237">
        <f>'7-PlantStudy'!C25</f>
        <v>252459077</v>
      </c>
      <c r="M86" s="115">
        <f>SUM(C86:L86)</f>
        <v>18051296368.599998</v>
      </c>
    </row>
    <row r="88" spans="1:13">
      <c r="B88" s="1" t="s">
        <v>666</v>
      </c>
    </row>
    <row r="90" spans="1:13">
      <c r="A90" s="199"/>
      <c r="B90" s="48" t="s">
        <v>329</v>
      </c>
      <c r="C90" s="48" t="s">
        <v>330</v>
      </c>
      <c r="D90" s="48" t="s">
        <v>331</v>
      </c>
      <c r="E90" s="48" t="s">
        <v>332</v>
      </c>
      <c r="F90" s="48" t="s">
        <v>333</v>
      </c>
      <c r="G90" s="48" t="s">
        <v>334</v>
      </c>
      <c r="H90" s="48" t="s">
        <v>335</v>
      </c>
      <c r="I90" s="48" t="s">
        <v>336</v>
      </c>
      <c r="J90" s="48" t="s">
        <v>337</v>
      </c>
      <c r="K90" s="48" t="s">
        <v>582</v>
      </c>
      <c r="L90" s="48" t="s">
        <v>583</v>
      </c>
      <c r="M90" s="48" t="s">
        <v>584</v>
      </c>
    </row>
    <row r="91" spans="1:13">
      <c r="A91" s="113"/>
      <c r="B91" s="126"/>
      <c r="C91" s="113"/>
      <c r="D91" s="113"/>
      <c r="E91" s="113"/>
      <c r="F91" s="113"/>
      <c r="G91" s="113"/>
      <c r="H91" s="113"/>
      <c r="I91" s="113"/>
      <c r="J91" s="113"/>
      <c r="K91" s="113"/>
      <c r="M91" s="126" t="s">
        <v>635</v>
      </c>
    </row>
    <row r="92" spans="1:13">
      <c r="A92" s="30"/>
      <c r="B92" s="3" t="s">
        <v>636</v>
      </c>
      <c r="C92" s="48">
        <v>350.1</v>
      </c>
      <c r="D92" s="48">
        <v>350.2</v>
      </c>
      <c r="E92" s="48">
        <v>352</v>
      </c>
      <c r="F92" s="48">
        <v>353</v>
      </c>
      <c r="G92" s="48">
        <v>354</v>
      </c>
      <c r="H92" s="48">
        <v>355</v>
      </c>
      <c r="I92" s="48">
        <v>356</v>
      </c>
      <c r="J92" s="48">
        <v>357</v>
      </c>
      <c r="K92" s="48">
        <v>358</v>
      </c>
      <c r="L92" s="48">
        <v>359</v>
      </c>
      <c r="M92" s="3" t="s">
        <v>244</v>
      </c>
    </row>
    <row r="93" spans="1:13">
      <c r="A93" s="2">
        <f>A86+1</f>
        <v>41</v>
      </c>
      <c r="B93" s="389" t="s">
        <v>2904</v>
      </c>
      <c r="C93" s="237">
        <f t="shared" ref="C93:L93" si="15">C75-C74</f>
        <v>-83.740000009536743</v>
      </c>
      <c r="D93" s="237">
        <f t="shared" si="15"/>
        <v>113875.95000001788</v>
      </c>
      <c r="E93" s="237">
        <f t="shared" si="15"/>
        <v>6001940.9300000668</v>
      </c>
      <c r="F93" s="237">
        <f t="shared" si="15"/>
        <v>27624774.159998894</v>
      </c>
      <c r="G93" s="237">
        <f t="shared" si="15"/>
        <v>-2493813.5399999619</v>
      </c>
      <c r="H93" s="237">
        <f t="shared" si="15"/>
        <v>4417106.7899999619</v>
      </c>
      <c r="I93" s="237">
        <f t="shared" si="15"/>
        <v>300168.78999996185</v>
      </c>
      <c r="J93" s="237">
        <f t="shared" si="15"/>
        <v>-38</v>
      </c>
      <c r="K93" s="237">
        <f t="shared" si="15"/>
        <v>117884.41000002623</v>
      </c>
      <c r="L93" s="237">
        <f t="shared" si="15"/>
        <v>4026.6800000071526</v>
      </c>
      <c r="M93" s="115">
        <f t="shared" ref="M93:M105" si="16">SUM(C93:L93)</f>
        <v>36085842.429998964</v>
      </c>
    </row>
    <row r="94" spans="1:13">
      <c r="A94" s="2">
        <f t="shared" ref="A94:A105" si="17">A93+1</f>
        <v>42</v>
      </c>
      <c r="B94" s="389" t="s">
        <v>2905</v>
      </c>
      <c r="C94" s="237">
        <f t="shared" ref="C94:L94" si="18">C76-C75</f>
        <v>-11.620000004768372</v>
      </c>
      <c r="D94" s="237">
        <f t="shared" si="18"/>
        <v>-13928.870000004768</v>
      </c>
      <c r="E94" s="237">
        <f t="shared" si="18"/>
        <v>2790933.5</v>
      </c>
      <c r="F94" s="237">
        <f t="shared" si="18"/>
        <v>20029504.470000267</v>
      </c>
      <c r="G94" s="237">
        <f t="shared" si="18"/>
        <v>810972.92999982834</v>
      </c>
      <c r="H94" s="237">
        <f t="shared" si="18"/>
        <v>9010210.4600000381</v>
      </c>
      <c r="I94" s="237">
        <f t="shared" si="18"/>
        <v>1322486.1900000572</v>
      </c>
      <c r="J94" s="237">
        <f t="shared" si="18"/>
        <v>37.310000002384186</v>
      </c>
      <c r="K94" s="237">
        <f t="shared" si="18"/>
        <v>-97209.310000002384</v>
      </c>
      <c r="L94" s="237">
        <f t="shared" si="18"/>
        <v>940686.84000000358</v>
      </c>
      <c r="M94" s="115">
        <f t="shared" si="16"/>
        <v>34793681.900000185</v>
      </c>
    </row>
    <row r="95" spans="1:13">
      <c r="A95" s="2">
        <f t="shared" si="17"/>
        <v>43</v>
      </c>
      <c r="B95" s="389" t="s">
        <v>2906</v>
      </c>
      <c r="C95" s="237">
        <f t="shared" ref="C95:L95" si="19">C77-C76</f>
        <v>0</v>
      </c>
      <c r="D95" s="237">
        <f t="shared" si="19"/>
        <v>5465.9899999797344</v>
      </c>
      <c r="E95" s="237">
        <f t="shared" si="19"/>
        <v>3490583.5899999142</v>
      </c>
      <c r="F95" s="237">
        <f t="shared" si="19"/>
        <v>6474089.0900001526</v>
      </c>
      <c r="G95" s="237">
        <f t="shared" si="19"/>
        <v>8808319.2399997711</v>
      </c>
      <c r="H95" s="237">
        <f t="shared" si="19"/>
        <v>9173837.4200000763</v>
      </c>
      <c r="I95" s="237">
        <f t="shared" si="19"/>
        <v>-2101359.220000267</v>
      </c>
      <c r="J95" s="237">
        <f t="shared" si="19"/>
        <v>5.699999988079071</v>
      </c>
      <c r="K95" s="237">
        <f t="shared" si="19"/>
        <v>4967616.1999999881</v>
      </c>
      <c r="L95" s="237">
        <f t="shared" si="19"/>
        <v>4217.6800000071526</v>
      </c>
      <c r="M95" s="115">
        <f t="shared" si="16"/>
        <v>30822775.68999961</v>
      </c>
    </row>
    <row r="96" spans="1:13">
      <c r="A96" s="2">
        <f t="shared" si="17"/>
        <v>44</v>
      </c>
      <c r="B96" s="389" t="s">
        <v>2907</v>
      </c>
      <c r="C96" s="237">
        <f t="shared" ref="C96:L96" si="20">C78-C77</f>
        <v>5563646.2000000179</v>
      </c>
      <c r="D96" s="237">
        <f t="shared" si="20"/>
        <v>21738.370000034571</v>
      </c>
      <c r="E96" s="237">
        <f t="shared" si="20"/>
        <v>2030925.5200002193</v>
      </c>
      <c r="F96" s="237">
        <f t="shared" si="20"/>
        <v>11386728.279999733</v>
      </c>
      <c r="G96" s="237">
        <f t="shared" si="20"/>
        <v>-2185957.7399997711</v>
      </c>
      <c r="H96" s="237">
        <f t="shared" si="20"/>
        <v>-31431521.420000076</v>
      </c>
      <c r="I96" s="237">
        <f t="shared" si="20"/>
        <v>34594.480000019073</v>
      </c>
      <c r="J96" s="237">
        <f t="shared" si="20"/>
        <v>146.43000000715256</v>
      </c>
      <c r="K96" s="237">
        <f t="shared" si="20"/>
        <v>91675.990000009537</v>
      </c>
      <c r="L96" s="237">
        <f t="shared" si="20"/>
        <v>30549.189999997616</v>
      </c>
      <c r="M96" s="115">
        <f t="shared" si="16"/>
        <v>-14457474.699999809</v>
      </c>
    </row>
    <row r="97" spans="1:13">
      <c r="A97" s="2">
        <f t="shared" si="17"/>
        <v>45</v>
      </c>
      <c r="B97" s="389" t="s">
        <v>2908</v>
      </c>
      <c r="C97" s="237">
        <f t="shared" ref="C97:I104" si="21">C79-C78</f>
        <v>-1493.2400000095367</v>
      </c>
      <c r="D97" s="237">
        <f t="shared" si="21"/>
        <v>4717966.7199999988</v>
      </c>
      <c r="E97" s="237">
        <f t="shared" si="21"/>
        <v>10559702.579999924</v>
      </c>
      <c r="F97" s="237">
        <f t="shared" si="21"/>
        <v>21574388.089999199</v>
      </c>
      <c r="G97" s="237">
        <f t="shared" si="21"/>
        <v>1631923.1599998474</v>
      </c>
      <c r="H97" s="237">
        <f t="shared" si="21"/>
        <v>11550576</v>
      </c>
      <c r="I97" s="237">
        <f t="shared" si="21"/>
        <v>4306558.2899999619</v>
      </c>
      <c r="J97" s="237">
        <f t="shared" ref="J97" si="22">J79-J78</f>
        <v>8.1499999761581421</v>
      </c>
      <c r="K97" s="237">
        <f t="shared" ref="K97:L104" si="23">K79-K78</f>
        <v>-15306.530000030994</v>
      </c>
      <c r="L97" s="237">
        <f t="shared" si="23"/>
        <v>40556.229999989271</v>
      </c>
      <c r="M97" s="115">
        <f t="shared" si="16"/>
        <v>54364879.449998856</v>
      </c>
    </row>
    <row r="98" spans="1:13">
      <c r="A98" s="2">
        <f t="shared" si="17"/>
        <v>46</v>
      </c>
      <c r="B98" s="389" t="s">
        <v>2909</v>
      </c>
      <c r="C98" s="237">
        <f t="shared" si="21"/>
        <v>-2692.2699999809265</v>
      </c>
      <c r="D98" s="237">
        <f t="shared" si="21"/>
        <v>54042.829999983311</v>
      </c>
      <c r="E98" s="237">
        <f t="shared" si="21"/>
        <v>12942288.089999914</v>
      </c>
      <c r="F98" s="237">
        <f t="shared" si="21"/>
        <v>-5779399.0899991989</v>
      </c>
      <c r="G98" s="237">
        <f t="shared" si="21"/>
        <v>831308.93000030518</v>
      </c>
      <c r="H98" s="237">
        <f t="shared" si="21"/>
        <v>39319625.920000076</v>
      </c>
      <c r="I98" s="237">
        <f t="shared" si="21"/>
        <v>420446.49000024796</v>
      </c>
      <c r="J98" s="237">
        <f t="shared" ref="J98:J104" si="24">J80-J79</f>
        <v>-33139.449999988079</v>
      </c>
      <c r="K98" s="237">
        <f t="shared" si="23"/>
        <v>1225874.3899999857</v>
      </c>
      <c r="L98" s="237">
        <f t="shared" si="23"/>
        <v>6180.1500000059605</v>
      </c>
      <c r="M98" s="115">
        <f t="shared" si="16"/>
        <v>48984535.990001351</v>
      </c>
    </row>
    <row r="99" spans="1:13">
      <c r="A99" s="2">
        <f t="shared" si="17"/>
        <v>47</v>
      </c>
      <c r="B99" s="389" t="s">
        <v>2910</v>
      </c>
      <c r="C99" s="237">
        <f t="shared" si="21"/>
        <v>362.33999997377396</v>
      </c>
      <c r="D99" s="237">
        <f t="shared" si="21"/>
        <v>34413.430000007153</v>
      </c>
      <c r="E99" s="237">
        <f t="shared" si="21"/>
        <v>3425705.9100000858</v>
      </c>
      <c r="F99" s="237">
        <f t="shared" si="21"/>
        <v>13677770.159999847</v>
      </c>
      <c r="G99" s="237">
        <f t="shared" si="21"/>
        <v>2651297.5999999046</v>
      </c>
      <c r="H99" s="237">
        <f t="shared" si="21"/>
        <v>8592964.1999998093</v>
      </c>
      <c r="I99" s="237">
        <f t="shared" si="21"/>
        <v>1784238.2999997139</v>
      </c>
      <c r="J99" s="237">
        <f t="shared" si="24"/>
        <v>86845.75</v>
      </c>
      <c r="K99" s="237">
        <f t="shared" si="23"/>
        <v>-61017.379999995232</v>
      </c>
      <c r="L99" s="237">
        <f t="shared" si="23"/>
        <v>35648.990000009537</v>
      </c>
      <c r="M99" s="115">
        <f t="shared" si="16"/>
        <v>30228229.299999356</v>
      </c>
    </row>
    <row r="100" spans="1:13">
      <c r="A100" s="2">
        <f t="shared" si="17"/>
        <v>48</v>
      </c>
      <c r="B100" s="389" t="s">
        <v>2911</v>
      </c>
      <c r="C100" s="237">
        <f t="shared" si="21"/>
        <v>-695.88999998569489</v>
      </c>
      <c r="D100" s="237">
        <f t="shared" si="21"/>
        <v>41514.419999986887</v>
      </c>
      <c r="E100" s="237">
        <f t="shared" si="21"/>
        <v>4613346.1800000668</v>
      </c>
      <c r="F100" s="237">
        <f t="shared" si="21"/>
        <v>-1818816.0500001907</v>
      </c>
      <c r="G100" s="237">
        <f t="shared" si="21"/>
        <v>-15059.430000305176</v>
      </c>
      <c r="H100" s="237">
        <f t="shared" si="21"/>
        <v>8403234.8899998665</v>
      </c>
      <c r="I100" s="237">
        <f t="shared" si="21"/>
        <v>516880.73000001907</v>
      </c>
      <c r="J100" s="237">
        <f t="shared" si="24"/>
        <v>-135.30000001192093</v>
      </c>
      <c r="K100" s="237">
        <f t="shared" si="23"/>
        <v>314505.27000004053</v>
      </c>
      <c r="L100" s="237">
        <f t="shared" si="23"/>
        <v>3258.5600000023842</v>
      </c>
      <c r="M100" s="115">
        <f t="shared" si="16"/>
        <v>12058033.379999489</v>
      </c>
    </row>
    <row r="101" spans="1:13">
      <c r="A101" s="2">
        <f t="shared" si="17"/>
        <v>49</v>
      </c>
      <c r="B101" s="389" t="s">
        <v>2912</v>
      </c>
      <c r="C101" s="237">
        <f t="shared" si="21"/>
        <v>-26353.420000016689</v>
      </c>
      <c r="D101" s="237">
        <f t="shared" si="21"/>
        <v>62045.400000035763</v>
      </c>
      <c r="E101" s="237">
        <f t="shared" si="21"/>
        <v>602728.01999998093</v>
      </c>
      <c r="F101" s="237">
        <f t="shared" si="21"/>
        <v>9495219.720000267</v>
      </c>
      <c r="G101" s="237">
        <f t="shared" si="21"/>
        <v>136920.92000007629</v>
      </c>
      <c r="H101" s="237">
        <f t="shared" si="21"/>
        <v>16112709.829999924</v>
      </c>
      <c r="I101" s="237">
        <f t="shared" si="21"/>
        <v>-4031339.9099998474</v>
      </c>
      <c r="J101" s="237">
        <f t="shared" si="24"/>
        <v>17.939999997615814</v>
      </c>
      <c r="K101" s="237">
        <f t="shared" si="23"/>
        <v>846503.1099999547</v>
      </c>
      <c r="L101" s="237">
        <f t="shared" si="23"/>
        <v>-311599.24000000954</v>
      </c>
      <c r="M101" s="115">
        <f t="shared" si="16"/>
        <v>22886852.370000362</v>
      </c>
    </row>
    <row r="102" spans="1:13">
      <c r="A102" s="2">
        <f t="shared" si="17"/>
        <v>50</v>
      </c>
      <c r="B102" s="389" t="s">
        <v>2913</v>
      </c>
      <c r="C102" s="237">
        <f t="shared" si="21"/>
        <v>-823.18999999761581</v>
      </c>
      <c r="D102" s="237">
        <f t="shared" si="21"/>
        <v>-56597.110000014305</v>
      </c>
      <c r="E102" s="237">
        <f t="shared" si="21"/>
        <v>661676.16999983788</v>
      </c>
      <c r="F102" s="237">
        <f t="shared" si="21"/>
        <v>15954160.739999771</v>
      </c>
      <c r="G102" s="237">
        <f t="shared" si="21"/>
        <v>1755253.1800003052</v>
      </c>
      <c r="H102" s="237">
        <f t="shared" si="21"/>
        <v>17629910.789999962</v>
      </c>
      <c r="I102" s="237">
        <f t="shared" si="21"/>
        <v>-6535863.970000267</v>
      </c>
      <c r="J102" s="237">
        <f t="shared" si="24"/>
        <v>6.9999992847442627E-2</v>
      </c>
      <c r="K102" s="237">
        <f t="shared" si="23"/>
        <v>53047.950000047684</v>
      </c>
      <c r="L102" s="237">
        <f t="shared" si="23"/>
        <v>16448.75</v>
      </c>
      <c r="M102" s="115">
        <f t="shared" si="16"/>
        <v>29477213.379999638</v>
      </c>
    </row>
    <row r="103" spans="1:13">
      <c r="A103" s="2">
        <f t="shared" si="17"/>
        <v>51</v>
      </c>
      <c r="B103" s="389" t="s">
        <v>2914</v>
      </c>
      <c r="C103" s="237">
        <f t="shared" si="21"/>
        <v>74037.850000023842</v>
      </c>
      <c r="D103" s="237">
        <f t="shared" si="21"/>
        <v>-40249.389999985695</v>
      </c>
      <c r="E103" s="237">
        <f t="shared" si="21"/>
        <v>4919428.8000001907</v>
      </c>
      <c r="F103" s="237">
        <f t="shared" si="21"/>
        <v>29054520.070000648</v>
      </c>
      <c r="G103" s="237">
        <f t="shared" si="21"/>
        <v>1505363.8599996567</v>
      </c>
      <c r="H103" s="237">
        <f t="shared" si="21"/>
        <v>9630806.5600004196</v>
      </c>
      <c r="I103" s="237">
        <f t="shared" si="21"/>
        <v>330050.93000030518</v>
      </c>
      <c r="J103" s="237">
        <f t="shared" si="24"/>
        <v>6.0000002384185791E-2</v>
      </c>
      <c r="K103" s="237">
        <f t="shared" si="23"/>
        <v>10389570.609999955</v>
      </c>
      <c r="L103" s="237">
        <f t="shared" si="23"/>
        <v>28368.960000008345</v>
      </c>
      <c r="M103" s="115">
        <f t="shared" si="16"/>
        <v>55891898.310001224</v>
      </c>
    </row>
    <row r="104" spans="1:13">
      <c r="A104" s="2">
        <f t="shared" si="17"/>
        <v>52</v>
      </c>
      <c r="B104" s="389" t="s">
        <v>2915</v>
      </c>
      <c r="C104" s="53">
        <f t="shared" si="21"/>
        <v>176.12999999523163</v>
      </c>
      <c r="D104" s="53">
        <f t="shared" si="21"/>
        <v>1303.2699999809265</v>
      </c>
      <c r="E104" s="53">
        <f t="shared" si="21"/>
        <v>2023887.629999876</v>
      </c>
      <c r="F104" s="53">
        <f t="shared" si="21"/>
        <v>43381385.869999886</v>
      </c>
      <c r="G104" s="53">
        <f t="shared" si="21"/>
        <v>2773873.9000000954</v>
      </c>
      <c r="H104" s="53">
        <f t="shared" si="21"/>
        <v>14084928.519999981</v>
      </c>
      <c r="I104" s="53">
        <f t="shared" si="21"/>
        <v>-1420354.0900001526</v>
      </c>
      <c r="J104" s="53">
        <f t="shared" si="24"/>
        <v>0.60000002384185791</v>
      </c>
      <c r="K104" s="53">
        <f t="shared" si="23"/>
        <v>-73987.269999980927</v>
      </c>
      <c r="L104" s="53">
        <f t="shared" si="23"/>
        <v>10564.5</v>
      </c>
      <c r="M104" s="185">
        <f t="shared" si="16"/>
        <v>60781779.059999704</v>
      </c>
    </row>
    <row r="105" spans="1:13">
      <c r="A105" s="2">
        <f t="shared" si="17"/>
        <v>53</v>
      </c>
      <c r="B105" s="564" t="s">
        <v>402</v>
      </c>
      <c r="C105" s="115">
        <f t="shared" ref="C105:L105" si="25">SUM(C93:C104)</f>
        <v>5606069.150000006</v>
      </c>
      <c r="D105" s="115">
        <f t="shared" si="25"/>
        <v>4941591.0100000203</v>
      </c>
      <c r="E105" s="115">
        <f t="shared" si="25"/>
        <v>54063146.920000076</v>
      </c>
      <c r="F105" s="115">
        <f t="shared" si="25"/>
        <v>191054325.50999928</v>
      </c>
      <c r="G105" s="115">
        <f t="shared" si="25"/>
        <v>16210403.009999752</v>
      </c>
      <c r="H105" s="115">
        <f t="shared" si="25"/>
        <v>116494389.96000004</v>
      </c>
      <c r="I105" s="115">
        <f t="shared" si="25"/>
        <v>-5073492.990000248</v>
      </c>
      <c r="J105" s="115">
        <f t="shared" si="25"/>
        <v>53749.259999990463</v>
      </c>
      <c r="K105" s="115">
        <f t="shared" si="25"/>
        <v>17759157.439999998</v>
      </c>
      <c r="L105" s="115">
        <f t="shared" si="25"/>
        <v>808907.29000002146</v>
      </c>
      <c r="M105" s="115">
        <f t="shared" si="16"/>
        <v>401918246.55999893</v>
      </c>
    </row>
    <row r="106" spans="1:13">
      <c r="A106" s="2"/>
      <c r="B106" s="564"/>
      <c r="C106" s="115"/>
      <c r="D106" s="115"/>
      <c r="E106" s="115"/>
      <c r="F106" s="115"/>
      <c r="G106" s="115"/>
      <c r="H106" s="115"/>
      <c r="I106" s="115"/>
      <c r="J106" s="115"/>
      <c r="K106" s="115"/>
      <c r="L106" s="115"/>
      <c r="M106" s="115"/>
    </row>
    <row r="107" spans="1:13">
      <c r="B107" s="1" t="s">
        <v>667</v>
      </c>
    </row>
    <row r="109" spans="1:13">
      <c r="A109" s="199"/>
      <c r="B109" s="48" t="s">
        <v>329</v>
      </c>
      <c r="C109" s="48" t="s">
        <v>330</v>
      </c>
      <c r="D109" s="48" t="s">
        <v>331</v>
      </c>
      <c r="E109" s="48" t="s">
        <v>332</v>
      </c>
      <c r="F109" s="48" t="s">
        <v>333</v>
      </c>
      <c r="G109" s="48" t="s">
        <v>334</v>
      </c>
      <c r="H109" s="48" t="s">
        <v>335</v>
      </c>
      <c r="I109" s="48" t="s">
        <v>336</v>
      </c>
      <c r="J109" s="48" t="s">
        <v>337</v>
      </c>
      <c r="K109" s="48" t="s">
        <v>582</v>
      </c>
      <c r="L109" s="48" t="s">
        <v>583</v>
      </c>
      <c r="M109" s="48" t="s">
        <v>584</v>
      </c>
    </row>
    <row r="110" spans="1:13">
      <c r="A110" s="113"/>
      <c r="B110" s="126"/>
      <c r="C110" s="113"/>
      <c r="D110" s="113"/>
      <c r="E110" s="113"/>
      <c r="F110" s="113"/>
      <c r="G110" s="113"/>
      <c r="H110" s="113"/>
      <c r="I110" s="113"/>
      <c r="J110" s="113"/>
      <c r="K110" s="113"/>
      <c r="M110" s="126" t="s">
        <v>635</v>
      </c>
    </row>
    <row r="111" spans="1:13">
      <c r="A111" s="30"/>
      <c r="B111" s="3" t="s">
        <v>636</v>
      </c>
      <c r="C111" s="48">
        <v>350.1</v>
      </c>
      <c r="D111" s="48">
        <v>350.2</v>
      </c>
      <c r="E111" s="48">
        <v>352</v>
      </c>
      <c r="F111" s="48">
        <v>353</v>
      </c>
      <c r="G111" s="48">
        <v>354</v>
      </c>
      <c r="H111" s="48">
        <v>355</v>
      </c>
      <c r="I111" s="48">
        <v>356</v>
      </c>
      <c r="J111" s="48">
        <v>357</v>
      </c>
      <c r="K111" s="48">
        <v>358</v>
      </c>
      <c r="L111" s="48">
        <v>359</v>
      </c>
      <c r="M111" s="3" t="s">
        <v>244</v>
      </c>
    </row>
    <row r="112" spans="1:13">
      <c r="A112" s="2">
        <f>A105+1</f>
        <v>54</v>
      </c>
      <c r="B112" s="510" t="s">
        <v>2806</v>
      </c>
      <c r="C112" s="577">
        <v>21577536.897499993</v>
      </c>
      <c r="D112" s="577">
        <v>106313347.43999997</v>
      </c>
      <c r="E112" s="577">
        <v>374601668.92644036</v>
      </c>
      <c r="F112" s="577">
        <v>1531320208.4109511</v>
      </c>
      <c r="G112" s="577">
        <v>1864153033.7418265</v>
      </c>
      <c r="H112" s="577">
        <v>199684264.79000008</v>
      </c>
      <c r="I112" s="577">
        <v>948888806.94719696</v>
      </c>
      <c r="J112" s="577">
        <v>215105175.0500001</v>
      </c>
      <c r="K112" s="577">
        <v>57166296.429999992</v>
      </c>
      <c r="L112" s="577">
        <v>195149562.32059181</v>
      </c>
      <c r="M112" s="335">
        <f t="shared" ref="M112:M124" si="26">SUM(C112:L112)</f>
        <v>5513959900.9545078</v>
      </c>
    </row>
    <row r="113" spans="1:13">
      <c r="A113" s="2">
        <f t="shared" ref="A113:A124" si="27">A112+1</f>
        <v>55</v>
      </c>
      <c r="B113" s="389" t="s">
        <v>2904</v>
      </c>
      <c r="C113" s="577">
        <v>21577684.397499993</v>
      </c>
      <c r="D113" s="577">
        <v>106313417.93999997</v>
      </c>
      <c r="E113" s="577">
        <v>375563472.44032836</v>
      </c>
      <c r="F113" s="577">
        <v>1535991572.9131212</v>
      </c>
      <c r="G113" s="577">
        <v>1864190308.3518264</v>
      </c>
      <c r="H113" s="577">
        <v>199687533.66000009</v>
      </c>
      <c r="I113" s="577">
        <v>948949684.08719707</v>
      </c>
      <c r="J113" s="577">
        <v>215105175.0500001</v>
      </c>
      <c r="K113" s="577">
        <v>57166296.429999992</v>
      </c>
      <c r="L113" s="577">
        <v>195152843.60059178</v>
      </c>
      <c r="M113" s="335">
        <f t="shared" si="26"/>
        <v>5519697988.8705654</v>
      </c>
    </row>
    <row r="114" spans="1:13">
      <c r="A114" s="2">
        <f t="shared" si="27"/>
        <v>56</v>
      </c>
      <c r="B114" s="389" t="s">
        <v>2905</v>
      </c>
      <c r="C114" s="577">
        <v>21577672.777499992</v>
      </c>
      <c r="D114" s="577">
        <v>106313429.55999997</v>
      </c>
      <c r="E114" s="577">
        <v>375878049.77032834</v>
      </c>
      <c r="F114" s="577">
        <v>1537537422.623121</v>
      </c>
      <c r="G114" s="577">
        <v>1864375387.8818264</v>
      </c>
      <c r="H114" s="577">
        <v>199618455.15000007</v>
      </c>
      <c r="I114" s="577">
        <v>949197105.84719682</v>
      </c>
      <c r="J114" s="577">
        <v>215105175.0500001</v>
      </c>
      <c r="K114" s="577">
        <v>57166296.429999992</v>
      </c>
      <c r="L114" s="577">
        <v>195156807.36059183</v>
      </c>
      <c r="M114" s="335">
        <f t="shared" si="26"/>
        <v>5521925802.4505653</v>
      </c>
    </row>
    <row r="115" spans="1:13">
      <c r="A115" s="2">
        <f t="shared" si="27"/>
        <v>57</v>
      </c>
      <c r="B115" s="389" t="s">
        <v>2906</v>
      </c>
      <c r="C115" s="577">
        <v>21577672.777499992</v>
      </c>
      <c r="D115" s="577">
        <v>106313429.55999997</v>
      </c>
      <c r="E115" s="577">
        <v>376169839.31032836</v>
      </c>
      <c r="F115" s="577">
        <v>1538962843.7631211</v>
      </c>
      <c r="G115" s="577">
        <v>1864413442.9318264</v>
      </c>
      <c r="H115" s="577">
        <v>199172949.6500001</v>
      </c>
      <c r="I115" s="577">
        <v>949214557.13719702</v>
      </c>
      <c r="J115" s="577">
        <v>215105175.0500001</v>
      </c>
      <c r="K115" s="577">
        <v>57166296.429999992</v>
      </c>
      <c r="L115" s="577">
        <v>195162375.36059183</v>
      </c>
      <c r="M115" s="335">
        <f t="shared" si="26"/>
        <v>5523258581.9705648</v>
      </c>
    </row>
    <row r="116" spans="1:13">
      <c r="A116" s="2">
        <f t="shared" si="27"/>
        <v>58</v>
      </c>
      <c r="B116" s="389" t="s">
        <v>2907</v>
      </c>
      <c r="C116" s="577">
        <v>27141318.977499992</v>
      </c>
      <c r="D116" s="577">
        <v>106313429.55999997</v>
      </c>
      <c r="E116" s="577">
        <v>376321138.45749837</v>
      </c>
      <c r="F116" s="577">
        <v>1539704063.0750732</v>
      </c>
      <c r="G116" s="577">
        <v>1864549598.7918267</v>
      </c>
      <c r="H116" s="577">
        <v>199192984.45000008</v>
      </c>
      <c r="I116" s="577">
        <v>949282627.80719709</v>
      </c>
      <c r="J116" s="577">
        <v>215105175.0500001</v>
      </c>
      <c r="K116" s="577">
        <v>57166296.429999992</v>
      </c>
      <c r="L116" s="577">
        <v>195182486.18059182</v>
      </c>
      <c r="M116" s="335">
        <f t="shared" si="26"/>
        <v>5529959118.7796879</v>
      </c>
    </row>
    <row r="117" spans="1:13">
      <c r="A117" s="2">
        <f t="shared" si="27"/>
        <v>59</v>
      </c>
      <c r="B117" s="389" t="s">
        <v>2908</v>
      </c>
      <c r="C117" s="577">
        <v>27140153.837499991</v>
      </c>
      <c r="D117" s="577">
        <v>106309594.03999999</v>
      </c>
      <c r="E117" s="577">
        <v>376666286.52810639</v>
      </c>
      <c r="F117" s="577">
        <v>1541394827.487617</v>
      </c>
      <c r="G117" s="577">
        <v>1864721640.7118266</v>
      </c>
      <c r="H117" s="577">
        <v>199229170.04000008</v>
      </c>
      <c r="I117" s="577">
        <v>949388464.67719698</v>
      </c>
      <c r="J117" s="577">
        <v>215105175.0500001</v>
      </c>
      <c r="K117" s="577">
        <v>57166296.429999992</v>
      </c>
      <c r="L117" s="577">
        <v>195218809.07059181</v>
      </c>
      <c r="M117" s="335">
        <f t="shared" si="26"/>
        <v>5532340417.872839</v>
      </c>
    </row>
    <row r="118" spans="1:13">
      <c r="A118" s="2">
        <f t="shared" si="27"/>
        <v>60</v>
      </c>
      <c r="B118" s="389" t="s">
        <v>2909</v>
      </c>
      <c r="C118" s="577">
        <v>27140420.567499995</v>
      </c>
      <c r="D118" s="577">
        <v>106309327.30999997</v>
      </c>
      <c r="E118" s="577">
        <v>377106582.85810637</v>
      </c>
      <c r="F118" s="577">
        <v>1543522925.227617</v>
      </c>
      <c r="G118" s="577">
        <v>1864812086.0618265</v>
      </c>
      <c r="H118" s="577">
        <v>199246987.06000009</v>
      </c>
      <c r="I118" s="577">
        <v>949447374.53719711</v>
      </c>
      <c r="J118" s="577">
        <v>215105175.0500001</v>
      </c>
      <c r="K118" s="577">
        <v>57166296.429999992</v>
      </c>
      <c r="L118" s="577">
        <v>195236693.69059181</v>
      </c>
      <c r="M118" s="335">
        <f t="shared" si="26"/>
        <v>5535093868.79284</v>
      </c>
    </row>
    <row r="119" spans="1:13">
      <c r="A119" s="2">
        <f t="shared" si="27"/>
        <v>61</v>
      </c>
      <c r="B119" s="389" t="s">
        <v>2910</v>
      </c>
      <c r="C119" s="577">
        <v>27140881.567499995</v>
      </c>
      <c r="D119" s="577">
        <v>106309327.30999997</v>
      </c>
      <c r="E119" s="577">
        <v>377277195.63810635</v>
      </c>
      <c r="F119" s="577">
        <v>1544452779.1876171</v>
      </c>
      <c r="G119" s="577">
        <v>1864893322.731827</v>
      </c>
      <c r="H119" s="577">
        <v>199277464.37000009</v>
      </c>
      <c r="I119" s="577">
        <v>949515820.07719684</v>
      </c>
      <c r="J119" s="577">
        <v>215105175.0500001</v>
      </c>
      <c r="K119" s="577">
        <v>57166296.429999992</v>
      </c>
      <c r="L119" s="577">
        <v>195269090.67059183</v>
      </c>
      <c r="M119" s="335">
        <f t="shared" si="26"/>
        <v>5536407353.0328388</v>
      </c>
    </row>
    <row r="120" spans="1:13">
      <c r="A120" s="2">
        <f t="shared" si="27"/>
        <v>62</v>
      </c>
      <c r="B120" s="389" t="s">
        <v>2911</v>
      </c>
      <c r="C120" s="577">
        <v>27141011.30749999</v>
      </c>
      <c r="D120" s="577">
        <v>106309351.87999997</v>
      </c>
      <c r="E120" s="577">
        <v>377412344.46377838</v>
      </c>
      <c r="F120" s="577">
        <v>1545135287.8950112</v>
      </c>
      <c r="G120" s="577">
        <v>1864948361.8618269</v>
      </c>
      <c r="H120" s="577">
        <v>199282456.79000008</v>
      </c>
      <c r="I120" s="577">
        <v>949609151.7971971</v>
      </c>
      <c r="J120" s="577">
        <v>215105175.0500001</v>
      </c>
      <c r="K120" s="577">
        <v>57166296.429999992</v>
      </c>
      <c r="L120" s="577">
        <v>195272298.0205918</v>
      </c>
      <c r="M120" s="335">
        <f t="shared" si="26"/>
        <v>5537381735.4959059</v>
      </c>
    </row>
    <row r="121" spans="1:13">
      <c r="A121" s="2">
        <f t="shared" si="27"/>
        <v>63</v>
      </c>
      <c r="B121" s="389" t="s">
        <v>2912</v>
      </c>
      <c r="C121" s="577">
        <v>27141003.077499993</v>
      </c>
      <c r="D121" s="577">
        <v>106309360.10999998</v>
      </c>
      <c r="E121" s="577">
        <v>377662233.65377837</v>
      </c>
      <c r="F121" s="577">
        <v>1546354276.6950111</v>
      </c>
      <c r="G121" s="577">
        <v>1864961656.0118268</v>
      </c>
      <c r="H121" s="577">
        <v>199285905.11000007</v>
      </c>
      <c r="I121" s="577">
        <v>949623754.97719693</v>
      </c>
      <c r="J121" s="577">
        <v>215105175.0500001</v>
      </c>
      <c r="K121" s="577">
        <v>57166296.429999992</v>
      </c>
      <c r="L121" s="577">
        <v>195275759.43059182</v>
      </c>
      <c r="M121" s="335">
        <f t="shared" si="26"/>
        <v>5538885420.5459051</v>
      </c>
    </row>
    <row r="122" spans="1:13">
      <c r="A122" s="2">
        <f t="shared" si="27"/>
        <v>64</v>
      </c>
      <c r="B122" s="389" t="s">
        <v>2913</v>
      </c>
      <c r="C122" s="577">
        <v>27143174.427499995</v>
      </c>
      <c r="D122" s="577">
        <v>106309360.10999998</v>
      </c>
      <c r="E122" s="577">
        <v>377855223.76377839</v>
      </c>
      <c r="F122" s="577">
        <v>1547311346.1450112</v>
      </c>
      <c r="G122" s="577">
        <v>1863743703.251827</v>
      </c>
      <c r="H122" s="577">
        <v>199299229.76000008</v>
      </c>
      <c r="I122" s="577">
        <v>950926389.97719693</v>
      </c>
      <c r="J122" s="577">
        <v>215105175.0500001</v>
      </c>
      <c r="K122" s="577">
        <v>57166296.429999992</v>
      </c>
      <c r="L122" s="577">
        <v>195289134.63059181</v>
      </c>
      <c r="M122" s="335">
        <f t="shared" si="26"/>
        <v>5540149033.5459051</v>
      </c>
    </row>
    <row r="123" spans="1:13">
      <c r="A123" s="2">
        <f t="shared" si="27"/>
        <v>65</v>
      </c>
      <c r="B123" s="389" t="s">
        <v>2914</v>
      </c>
      <c r="C123" s="577">
        <v>27143058.69749999</v>
      </c>
      <c r="D123" s="577">
        <v>106309475.83999997</v>
      </c>
      <c r="E123" s="577">
        <v>378011437.83377838</v>
      </c>
      <c r="F123" s="577">
        <v>1548067204.7150111</v>
      </c>
      <c r="G123" s="577">
        <v>1863846851.5618267</v>
      </c>
      <c r="H123" s="577">
        <v>199327942.67000008</v>
      </c>
      <c r="I123" s="577">
        <v>951008702.97719693</v>
      </c>
      <c r="J123" s="577">
        <v>215105175.0500001</v>
      </c>
      <c r="K123" s="577">
        <v>57166296.429999992</v>
      </c>
      <c r="L123" s="577">
        <v>195316325.0205918</v>
      </c>
      <c r="M123" s="335">
        <f t="shared" si="26"/>
        <v>5541302470.7959051</v>
      </c>
    </row>
    <row r="124" spans="1:13">
      <c r="A124" s="2">
        <f t="shared" si="27"/>
        <v>66</v>
      </c>
      <c r="B124" s="389" t="s">
        <v>2915</v>
      </c>
      <c r="C124" s="577">
        <v>27143234.827499993</v>
      </c>
      <c r="D124" s="577">
        <v>106309475.83999997</v>
      </c>
      <c r="E124" s="577">
        <v>378143509.97377837</v>
      </c>
      <c r="F124" s="577">
        <v>1548737598.4450109</v>
      </c>
      <c r="G124" s="577">
        <v>1864060641.2218268</v>
      </c>
      <c r="H124" s="577">
        <v>199337946.9600001</v>
      </c>
      <c r="I124" s="577">
        <v>950910366.71719694</v>
      </c>
      <c r="J124" s="577">
        <v>215105175.0500001</v>
      </c>
      <c r="K124" s="577">
        <v>57166296.429999992</v>
      </c>
      <c r="L124" s="577">
        <v>195326562.38059181</v>
      </c>
      <c r="M124" s="335">
        <f t="shared" si="26"/>
        <v>5542240807.8459053</v>
      </c>
    </row>
    <row r="125" spans="1:13">
      <c r="A125" s="2"/>
      <c r="B125" s="564"/>
      <c r="C125" s="115"/>
      <c r="D125" s="115"/>
      <c r="E125" s="115"/>
      <c r="F125" s="115"/>
      <c r="G125" s="115"/>
      <c r="H125" s="115"/>
      <c r="I125" s="115"/>
      <c r="J125" s="115"/>
      <c r="K125" s="115"/>
      <c r="L125" s="115"/>
      <c r="M125" s="115"/>
    </row>
    <row r="126" spans="1:13">
      <c r="B126" s="1" t="s">
        <v>668</v>
      </c>
    </row>
    <row r="128" spans="1:13">
      <c r="A128" s="199"/>
      <c r="B128" s="48" t="s">
        <v>329</v>
      </c>
      <c r="C128" s="48" t="s">
        <v>330</v>
      </c>
      <c r="D128" s="48" t="s">
        <v>331</v>
      </c>
      <c r="E128" s="48" t="s">
        <v>332</v>
      </c>
      <c r="F128" s="48" t="s">
        <v>333</v>
      </c>
      <c r="G128" s="48" t="s">
        <v>334</v>
      </c>
      <c r="H128" s="48" t="s">
        <v>335</v>
      </c>
      <c r="I128" s="48" t="s">
        <v>336</v>
      </c>
      <c r="J128" s="48" t="s">
        <v>337</v>
      </c>
      <c r="K128" s="48" t="s">
        <v>582</v>
      </c>
      <c r="L128" s="48" t="s">
        <v>583</v>
      </c>
      <c r="M128" s="48" t="s">
        <v>584</v>
      </c>
    </row>
    <row r="129" spans="1:13">
      <c r="A129" s="113"/>
      <c r="B129" s="126"/>
      <c r="C129" s="113"/>
      <c r="D129" s="113"/>
      <c r="E129" s="113"/>
      <c r="F129" s="113"/>
      <c r="G129" s="113"/>
      <c r="H129" s="113"/>
      <c r="I129" s="113"/>
      <c r="J129" s="113"/>
      <c r="K129" s="113"/>
      <c r="M129" s="126" t="s">
        <v>635</v>
      </c>
    </row>
    <row r="130" spans="1:13">
      <c r="A130" s="30"/>
      <c r="B130" s="3" t="s">
        <v>636</v>
      </c>
      <c r="C130" s="48">
        <v>350.1</v>
      </c>
      <c r="D130" s="48">
        <v>350.2</v>
      </c>
      <c r="E130" s="48">
        <v>352</v>
      </c>
      <c r="F130" s="48">
        <v>353</v>
      </c>
      <c r="G130" s="48">
        <v>354</v>
      </c>
      <c r="H130" s="48">
        <v>355</v>
      </c>
      <c r="I130" s="48">
        <v>356</v>
      </c>
      <c r="J130" s="48">
        <v>357</v>
      </c>
      <c r="K130" s="48">
        <v>358</v>
      </c>
      <c r="L130" s="48">
        <v>359</v>
      </c>
      <c r="M130" s="3" t="s">
        <v>244</v>
      </c>
    </row>
    <row r="131" spans="1:13">
      <c r="A131" s="2">
        <f>A124+1</f>
        <v>67</v>
      </c>
      <c r="B131" s="389" t="s">
        <v>2904</v>
      </c>
      <c r="C131" s="820">
        <f t="shared" ref="C131:L131" si="28">C113-C112</f>
        <v>147.5</v>
      </c>
      <c r="D131" s="820">
        <f t="shared" si="28"/>
        <v>70.5</v>
      </c>
      <c r="E131" s="820">
        <f t="shared" si="28"/>
        <v>961803.51388800144</v>
      </c>
      <c r="F131" s="820">
        <f t="shared" si="28"/>
        <v>4671364.5021700859</v>
      </c>
      <c r="G131" s="820">
        <f t="shared" si="28"/>
        <v>37274.609999895096</v>
      </c>
      <c r="H131" s="820">
        <f t="shared" si="28"/>
        <v>3268.8700000047684</v>
      </c>
      <c r="I131" s="820">
        <f t="shared" si="28"/>
        <v>60877.140000104904</v>
      </c>
      <c r="J131" s="820">
        <f t="shared" si="28"/>
        <v>0</v>
      </c>
      <c r="K131" s="820">
        <f t="shared" si="28"/>
        <v>0</v>
      </c>
      <c r="L131" s="820">
        <f t="shared" si="28"/>
        <v>3281.2799999713898</v>
      </c>
      <c r="M131" s="820">
        <f t="shared" ref="M131:M142" si="29">SUM(C131:L131)</f>
        <v>5738087.9160580635</v>
      </c>
    </row>
    <row r="132" spans="1:13">
      <c r="A132" s="2">
        <f t="shared" ref="A132:A143" si="30">A131+1</f>
        <v>68</v>
      </c>
      <c r="B132" s="389" t="s">
        <v>2905</v>
      </c>
      <c r="C132" s="820">
        <f t="shared" ref="C132:L132" si="31">C114-C113</f>
        <v>-11.620000001043081</v>
      </c>
      <c r="D132" s="820">
        <f t="shared" si="31"/>
        <v>11.620000004768372</v>
      </c>
      <c r="E132" s="820">
        <f t="shared" si="31"/>
        <v>314577.32999998331</v>
      </c>
      <c r="F132" s="820">
        <f t="shared" si="31"/>
        <v>1545849.7099997997</v>
      </c>
      <c r="G132" s="820">
        <f t="shared" si="31"/>
        <v>185079.52999997139</v>
      </c>
      <c r="H132" s="820">
        <f t="shared" si="31"/>
        <v>-69078.510000020266</v>
      </c>
      <c r="I132" s="820">
        <f t="shared" si="31"/>
        <v>247421.75999975204</v>
      </c>
      <c r="J132" s="820">
        <f t="shared" si="31"/>
        <v>0</v>
      </c>
      <c r="K132" s="820">
        <f t="shared" si="31"/>
        <v>0</v>
      </c>
      <c r="L132" s="820">
        <f t="shared" si="31"/>
        <v>3963.7600000500679</v>
      </c>
      <c r="M132" s="820">
        <f t="shared" si="29"/>
        <v>2227813.57999954</v>
      </c>
    </row>
    <row r="133" spans="1:13">
      <c r="A133" s="2">
        <f t="shared" si="30"/>
        <v>69</v>
      </c>
      <c r="B133" s="389" t="s">
        <v>2906</v>
      </c>
      <c r="C133" s="820">
        <f t="shared" ref="C133:L133" si="32">C115-C114</f>
        <v>0</v>
      </c>
      <c r="D133" s="820">
        <f t="shared" si="32"/>
        <v>0</v>
      </c>
      <c r="E133" s="820">
        <f t="shared" si="32"/>
        <v>291789.54000002146</v>
      </c>
      <c r="F133" s="820">
        <f t="shared" si="32"/>
        <v>1425421.1400001049</v>
      </c>
      <c r="G133" s="820">
        <f t="shared" si="32"/>
        <v>38055.049999952316</v>
      </c>
      <c r="H133" s="820">
        <f t="shared" si="32"/>
        <v>-445505.4999999702</v>
      </c>
      <c r="I133" s="820">
        <f t="shared" si="32"/>
        <v>17451.290000200272</v>
      </c>
      <c r="J133" s="820">
        <f t="shared" si="32"/>
        <v>0</v>
      </c>
      <c r="K133" s="820">
        <f t="shared" si="32"/>
        <v>0</v>
      </c>
      <c r="L133" s="820">
        <f t="shared" si="32"/>
        <v>5568</v>
      </c>
      <c r="M133" s="820">
        <f t="shared" si="29"/>
        <v>1332779.5200003088</v>
      </c>
    </row>
    <row r="134" spans="1:13">
      <c r="A134" s="2">
        <f t="shared" si="30"/>
        <v>70</v>
      </c>
      <c r="B134" s="389" t="s">
        <v>2907</v>
      </c>
      <c r="C134" s="820">
        <f t="shared" ref="C134:L134" si="33">C116-C115</f>
        <v>5563646.1999999993</v>
      </c>
      <c r="D134" s="820">
        <f t="shared" si="33"/>
        <v>0</v>
      </c>
      <c r="E134" s="820">
        <f t="shared" si="33"/>
        <v>151299.14717000723</v>
      </c>
      <c r="F134" s="820">
        <f t="shared" si="33"/>
        <v>741219.31195211411</v>
      </c>
      <c r="G134" s="820">
        <f t="shared" si="33"/>
        <v>136155.86000037193</v>
      </c>
      <c r="H134" s="820">
        <f t="shared" si="33"/>
        <v>20034.799999982119</v>
      </c>
      <c r="I134" s="820">
        <f t="shared" si="33"/>
        <v>68070.670000076294</v>
      </c>
      <c r="J134" s="820">
        <f t="shared" si="33"/>
        <v>0</v>
      </c>
      <c r="K134" s="820">
        <f t="shared" si="33"/>
        <v>0</v>
      </c>
      <c r="L134" s="820">
        <f t="shared" si="33"/>
        <v>20110.819999992847</v>
      </c>
      <c r="M134" s="820">
        <f t="shared" si="29"/>
        <v>6700536.8091225438</v>
      </c>
    </row>
    <row r="135" spans="1:13">
      <c r="A135" s="2">
        <f t="shared" si="30"/>
        <v>71</v>
      </c>
      <c r="B135" s="389" t="s">
        <v>2908</v>
      </c>
      <c r="C135" s="820">
        <f t="shared" ref="C135:L135" si="34">C117-C116</f>
        <v>-1165.140000000596</v>
      </c>
      <c r="D135" s="820">
        <f t="shared" si="34"/>
        <v>-3835.5199999809265</v>
      </c>
      <c r="E135" s="820">
        <f t="shared" si="34"/>
        <v>345148.07060801983</v>
      </c>
      <c r="F135" s="820">
        <f t="shared" si="34"/>
        <v>1690764.4125437737</v>
      </c>
      <c r="G135" s="820">
        <f t="shared" si="34"/>
        <v>172041.91999983788</v>
      </c>
      <c r="H135" s="820">
        <f t="shared" si="34"/>
        <v>36185.590000003576</v>
      </c>
      <c r="I135" s="820">
        <f t="shared" si="34"/>
        <v>105836.86999988556</v>
      </c>
      <c r="J135" s="820">
        <f t="shared" si="34"/>
        <v>0</v>
      </c>
      <c r="K135" s="820">
        <f t="shared" si="34"/>
        <v>0</v>
      </c>
      <c r="L135" s="820">
        <f t="shared" si="34"/>
        <v>36322.889999985695</v>
      </c>
      <c r="M135" s="820">
        <f t="shared" si="29"/>
        <v>2381299.0931515247</v>
      </c>
    </row>
    <row r="136" spans="1:13">
      <c r="A136" s="2">
        <f t="shared" si="30"/>
        <v>72</v>
      </c>
      <c r="B136" s="389" t="s">
        <v>2909</v>
      </c>
      <c r="C136" s="820">
        <f t="shared" ref="C136:L136" si="35">C118-C117</f>
        <v>266.73000000417233</v>
      </c>
      <c r="D136" s="820">
        <f t="shared" si="35"/>
        <v>-266.73000001907349</v>
      </c>
      <c r="E136" s="820">
        <f t="shared" si="35"/>
        <v>440296.32999998331</v>
      </c>
      <c r="F136" s="820">
        <f t="shared" si="35"/>
        <v>2128097.7400000095</v>
      </c>
      <c r="G136" s="820">
        <f t="shared" si="35"/>
        <v>90445.349999904633</v>
      </c>
      <c r="H136" s="820">
        <f t="shared" si="35"/>
        <v>17817.020000010729</v>
      </c>
      <c r="I136" s="820">
        <f t="shared" si="35"/>
        <v>58909.860000133514</v>
      </c>
      <c r="J136" s="820">
        <f t="shared" si="35"/>
        <v>0</v>
      </c>
      <c r="K136" s="820">
        <f t="shared" si="35"/>
        <v>0</v>
      </c>
      <c r="L136" s="820">
        <f t="shared" si="35"/>
        <v>17884.620000004768</v>
      </c>
      <c r="M136" s="820">
        <f t="shared" si="29"/>
        <v>2753450.9200000316</v>
      </c>
    </row>
    <row r="137" spans="1:13">
      <c r="A137" s="2">
        <f t="shared" si="30"/>
        <v>73</v>
      </c>
      <c r="B137" s="389" t="s">
        <v>2910</v>
      </c>
      <c r="C137" s="820">
        <f t="shared" ref="C137:K137" si="36">C119-C118</f>
        <v>461</v>
      </c>
      <c r="D137" s="820">
        <f t="shared" si="36"/>
        <v>0</v>
      </c>
      <c r="E137" s="820">
        <f t="shared" si="36"/>
        <v>170612.77999997139</v>
      </c>
      <c r="F137" s="820">
        <f t="shared" si="36"/>
        <v>929853.96000003815</v>
      </c>
      <c r="G137" s="820">
        <f t="shared" si="36"/>
        <v>81236.670000553131</v>
      </c>
      <c r="H137" s="820">
        <f t="shared" si="36"/>
        <v>30477.310000002384</v>
      </c>
      <c r="I137" s="820">
        <f t="shared" si="36"/>
        <v>68445.539999723434</v>
      </c>
      <c r="J137" s="820">
        <f t="shared" si="36"/>
        <v>0</v>
      </c>
      <c r="K137" s="820">
        <f t="shared" si="36"/>
        <v>0</v>
      </c>
      <c r="L137" s="820">
        <f>L119-L118</f>
        <v>32396.980000019073</v>
      </c>
      <c r="M137" s="820">
        <f t="shared" si="29"/>
        <v>1313484.2400003076</v>
      </c>
    </row>
    <row r="138" spans="1:13">
      <c r="A138" s="2">
        <f t="shared" si="30"/>
        <v>74</v>
      </c>
      <c r="B138" s="389" t="s">
        <v>2911</v>
      </c>
      <c r="C138" s="820">
        <f t="shared" ref="C138:K138" si="37">C120-C119</f>
        <v>129.73999999463558</v>
      </c>
      <c r="D138" s="820">
        <f t="shared" si="37"/>
        <v>24.569999992847443</v>
      </c>
      <c r="E138" s="820">
        <f t="shared" si="37"/>
        <v>135148.82567203045</v>
      </c>
      <c r="F138" s="820">
        <f t="shared" si="37"/>
        <v>682508.70739412308</v>
      </c>
      <c r="G138" s="820">
        <f t="shared" si="37"/>
        <v>55039.129999876022</v>
      </c>
      <c r="H138" s="820">
        <f t="shared" si="37"/>
        <v>4992.419999986887</v>
      </c>
      <c r="I138" s="820">
        <f t="shared" si="37"/>
        <v>93331.720000267029</v>
      </c>
      <c r="J138" s="820">
        <f t="shared" si="37"/>
        <v>0</v>
      </c>
      <c r="K138" s="820">
        <f t="shared" si="37"/>
        <v>0</v>
      </c>
      <c r="L138" s="820">
        <f>L120-L119</f>
        <v>3207.3499999642372</v>
      </c>
      <c r="M138" s="820">
        <f t="shared" si="29"/>
        <v>974382.46306623518</v>
      </c>
    </row>
    <row r="139" spans="1:13">
      <c r="A139" s="2">
        <f t="shared" si="30"/>
        <v>75</v>
      </c>
      <c r="B139" s="389" t="s">
        <v>2912</v>
      </c>
      <c r="C139" s="820">
        <f t="shared" ref="C139:L139" si="38">C121-C120</f>
        <v>-8.2299999967217445</v>
      </c>
      <c r="D139" s="820">
        <f t="shared" si="38"/>
        <v>8.2300000190734863</v>
      </c>
      <c r="E139" s="820">
        <f t="shared" si="38"/>
        <v>249889.18999999762</v>
      </c>
      <c r="F139" s="820">
        <f t="shared" si="38"/>
        <v>1218988.7999999523</v>
      </c>
      <c r="G139" s="820">
        <f t="shared" si="38"/>
        <v>13294.149999856949</v>
      </c>
      <c r="H139" s="820">
        <f t="shared" si="38"/>
        <v>3448.3199999928474</v>
      </c>
      <c r="I139" s="820">
        <f t="shared" si="38"/>
        <v>14603.179999828339</v>
      </c>
      <c r="J139" s="820">
        <f t="shared" si="38"/>
        <v>0</v>
      </c>
      <c r="K139" s="820">
        <f t="shared" si="38"/>
        <v>0</v>
      </c>
      <c r="L139" s="820">
        <f t="shared" si="38"/>
        <v>3461.410000026226</v>
      </c>
      <c r="M139" s="820">
        <f t="shared" si="29"/>
        <v>1503685.0499996766</v>
      </c>
    </row>
    <row r="140" spans="1:13">
      <c r="A140" s="2">
        <f t="shared" si="30"/>
        <v>76</v>
      </c>
      <c r="B140" s="389" t="s">
        <v>2913</v>
      </c>
      <c r="C140" s="820">
        <f t="shared" ref="C140:L140" si="39">C122-C121</f>
        <v>2171.3500000014901</v>
      </c>
      <c r="D140" s="820">
        <f t="shared" si="39"/>
        <v>0</v>
      </c>
      <c r="E140" s="820">
        <f t="shared" si="39"/>
        <v>192990.11000001431</v>
      </c>
      <c r="F140" s="820">
        <f t="shared" si="39"/>
        <v>957069.45000004768</v>
      </c>
      <c r="G140" s="820">
        <f t="shared" si="39"/>
        <v>-1217952.759999752</v>
      </c>
      <c r="H140" s="820">
        <f t="shared" si="39"/>
        <v>13324.65000000596</v>
      </c>
      <c r="I140" s="820">
        <f t="shared" si="39"/>
        <v>1302635</v>
      </c>
      <c r="J140" s="820">
        <f t="shared" si="39"/>
        <v>0</v>
      </c>
      <c r="K140" s="820">
        <f t="shared" si="39"/>
        <v>0</v>
      </c>
      <c r="L140" s="820">
        <f t="shared" si="39"/>
        <v>13375.199999988079</v>
      </c>
      <c r="M140" s="820">
        <f t="shared" si="29"/>
        <v>1263613.0000003055</v>
      </c>
    </row>
    <row r="141" spans="1:13">
      <c r="A141" s="2">
        <f t="shared" si="30"/>
        <v>77</v>
      </c>
      <c r="B141" s="389" t="s">
        <v>2914</v>
      </c>
      <c r="C141" s="820">
        <f t="shared" ref="C141:L141" si="40">C123-C122</f>
        <v>-115.73000000417233</v>
      </c>
      <c r="D141" s="820">
        <f t="shared" si="40"/>
        <v>115.72999998927116</v>
      </c>
      <c r="E141" s="820">
        <f t="shared" si="40"/>
        <v>156214.06999999285</v>
      </c>
      <c r="F141" s="820">
        <f t="shared" si="40"/>
        <v>755858.56999993324</v>
      </c>
      <c r="G141" s="820">
        <f t="shared" si="40"/>
        <v>103148.30999970436</v>
      </c>
      <c r="H141" s="820">
        <f t="shared" si="40"/>
        <v>28712.909999996424</v>
      </c>
      <c r="I141" s="820">
        <f t="shared" si="40"/>
        <v>82313</v>
      </c>
      <c r="J141" s="820">
        <f t="shared" si="40"/>
        <v>0</v>
      </c>
      <c r="K141" s="820">
        <f t="shared" si="40"/>
        <v>0</v>
      </c>
      <c r="L141" s="820">
        <f t="shared" si="40"/>
        <v>27190.389999985695</v>
      </c>
      <c r="M141" s="820">
        <f t="shared" si="29"/>
        <v>1153437.2499995977</v>
      </c>
    </row>
    <row r="142" spans="1:13">
      <c r="A142" s="2">
        <f t="shared" si="30"/>
        <v>78</v>
      </c>
      <c r="B142" s="389" t="s">
        <v>2915</v>
      </c>
      <c r="C142" s="821">
        <f t="shared" ref="C142:L142" si="41">C124-C123</f>
        <v>176.13000000268221</v>
      </c>
      <c r="D142" s="821">
        <f t="shared" si="41"/>
        <v>0</v>
      </c>
      <c r="E142" s="821">
        <f t="shared" si="41"/>
        <v>132072.13999998569</v>
      </c>
      <c r="F142" s="821">
        <f t="shared" si="41"/>
        <v>670393.72999978065</v>
      </c>
      <c r="G142" s="821">
        <f t="shared" si="41"/>
        <v>213789.66000008583</v>
      </c>
      <c r="H142" s="821">
        <f t="shared" si="41"/>
        <v>10004.290000021458</v>
      </c>
      <c r="I142" s="821">
        <f t="shared" si="41"/>
        <v>-98336.259999990463</v>
      </c>
      <c r="J142" s="821">
        <f t="shared" si="41"/>
        <v>0</v>
      </c>
      <c r="K142" s="821">
        <f t="shared" si="41"/>
        <v>0</v>
      </c>
      <c r="L142" s="821">
        <f t="shared" si="41"/>
        <v>10237.360000014305</v>
      </c>
      <c r="M142" s="821">
        <f t="shared" si="29"/>
        <v>938337.04999990016</v>
      </c>
    </row>
    <row r="143" spans="1:13">
      <c r="A143" s="2">
        <f t="shared" si="30"/>
        <v>79</v>
      </c>
      <c r="B143" s="564" t="s">
        <v>402</v>
      </c>
      <c r="C143" s="820">
        <f t="shared" ref="C143:M143" si="42">SUM(C131:C142)</f>
        <v>5565697.9299999997</v>
      </c>
      <c r="D143" s="820">
        <f t="shared" si="42"/>
        <v>-3871.5999999940395</v>
      </c>
      <c r="E143" s="820">
        <f t="shared" si="42"/>
        <v>3541841.0473380089</v>
      </c>
      <c r="F143" s="820">
        <f t="shared" si="42"/>
        <v>17417390.034059763</v>
      </c>
      <c r="G143" s="820">
        <f t="shared" si="42"/>
        <v>-92392.519999742508</v>
      </c>
      <c r="H143" s="820">
        <f t="shared" si="42"/>
        <v>-346317.82999998331</v>
      </c>
      <c r="I143" s="820">
        <f t="shared" si="42"/>
        <v>2021559.7699999809</v>
      </c>
      <c r="J143" s="820">
        <f t="shared" si="42"/>
        <v>0</v>
      </c>
      <c r="K143" s="820">
        <f t="shared" si="42"/>
        <v>0</v>
      </c>
      <c r="L143" s="820">
        <f t="shared" si="42"/>
        <v>177000.06000000238</v>
      </c>
      <c r="M143" s="820">
        <f t="shared" si="42"/>
        <v>28280906.891398035</v>
      </c>
    </row>
    <row r="144" spans="1:13">
      <c r="A144" s="2"/>
      <c r="B144" s="564"/>
      <c r="C144" s="575"/>
      <c r="D144" s="575"/>
      <c r="E144" s="575"/>
      <c r="F144" s="575"/>
      <c r="G144" s="575"/>
      <c r="H144" s="575"/>
      <c r="I144" s="575"/>
      <c r="J144" s="575"/>
      <c r="K144" s="575"/>
      <c r="L144" s="575"/>
      <c r="M144" s="575"/>
    </row>
    <row r="145" spans="1:13">
      <c r="B145" s="110" t="s">
        <v>669</v>
      </c>
    </row>
    <row r="147" spans="1:13">
      <c r="A147" s="199"/>
      <c r="B147" s="48" t="s">
        <v>329</v>
      </c>
      <c r="C147" s="48" t="s">
        <v>330</v>
      </c>
      <c r="D147" s="48" t="s">
        <v>331</v>
      </c>
      <c r="E147" s="48" t="s">
        <v>332</v>
      </c>
      <c r="F147" s="48" t="s">
        <v>333</v>
      </c>
      <c r="G147" s="48" t="s">
        <v>334</v>
      </c>
      <c r="H147" s="48" t="s">
        <v>335</v>
      </c>
      <c r="I147" s="48" t="s">
        <v>336</v>
      </c>
      <c r="J147" s="48" t="s">
        <v>337</v>
      </c>
      <c r="K147" s="48" t="s">
        <v>582</v>
      </c>
      <c r="L147" s="48" t="s">
        <v>583</v>
      </c>
      <c r="M147" s="48" t="s">
        <v>584</v>
      </c>
    </row>
    <row r="148" spans="1:13">
      <c r="A148" s="113"/>
      <c r="B148" s="126"/>
      <c r="C148" s="113"/>
      <c r="D148" s="113"/>
      <c r="E148" s="113"/>
      <c r="F148" s="113"/>
      <c r="G148" s="113"/>
      <c r="H148" s="113"/>
      <c r="I148" s="113"/>
      <c r="J148" s="113"/>
      <c r="K148" s="113"/>
      <c r="M148" s="126" t="s">
        <v>635</v>
      </c>
    </row>
    <row r="149" spans="1:13">
      <c r="A149" s="30"/>
      <c r="B149" s="3" t="s">
        <v>636</v>
      </c>
      <c r="C149" s="48">
        <v>350.1</v>
      </c>
      <c r="D149" s="48">
        <v>350.2</v>
      </c>
      <c r="E149" s="48">
        <v>352</v>
      </c>
      <c r="F149" s="48">
        <v>353</v>
      </c>
      <c r="G149" s="48">
        <v>354</v>
      </c>
      <c r="H149" s="48">
        <v>355</v>
      </c>
      <c r="I149" s="48">
        <v>356</v>
      </c>
      <c r="J149" s="48">
        <v>357</v>
      </c>
      <c r="K149" s="48">
        <v>358</v>
      </c>
      <c r="L149" s="48">
        <v>359</v>
      </c>
      <c r="M149" s="3" t="s">
        <v>244</v>
      </c>
    </row>
    <row r="150" spans="1:13">
      <c r="A150" s="2">
        <f>A143+1</f>
        <v>80</v>
      </c>
      <c r="B150" s="389" t="s">
        <v>2904</v>
      </c>
      <c r="C150" s="797">
        <f>C93-C131</f>
        <v>-231.24000000953674</v>
      </c>
      <c r="D150" s="797">
        <f t="shared" ref="D150:L161" si="43">D93-D131</f>
        <v>113805.45000001788</v>
      </c>
      <c r="E150" s="797">
        <f t="shared" si="43"/>
        <v>5040137.4161120653</v>
      </c>
      <c r="F150" s="797">
        <f t="shared" si="43"/>
        <v>22953409.657828808</v>
      </c>
      <c r="G150" s="797">
        <f t="shared" si="43"/>
        <v>-2531088.1499998569</v>
      </c>
      <c r="H150" s="797">
        <f t="shared" si="43"/>
        <v>4413837.9199999571</v>
      </c>
      <c r="I150" s="797">
        <f t="shared" si="43"/>
        <v>239291.64999985695</v>
      </c>
      <c r="J150" s="797">
        <f t="shared" si="43"/>
        <v>-38</v>
      </c>
      <c r="K150" s="797">
        <f t="shared" si="43"/>
        <v>117884.41000002623</v>
      </c>
      <c r="L150" s="797">
        <f t="shared" si="43"/>
        <v>745.40000003576279</v>
      </c>
      <c r="M150" s="797">
        <f t="shared" ref="M150:M161" si="44">SUM(C150:L150)</f>
        <v>30347754.513940901</v>
      </c>
    </row>
    <row r="151" spans="1:13">
      <c r="A151" s="2">
        <f t="shared" ref="A151:A162" si="45">A150+1</f>
        <v>81</v>
      </c>
      <c r="B151" s="389" t="s">
        <v>2905</v>
      </c>
      <c r="C151" s="797">
        <f t="shared" ref="C151:C161" si="46">C94-C132</f>
        <v>-3.7252902984619141E-9</v>
      </c>
      <c r="D151" s="797">
        <f t="shared" si="43"/>
        <v>-13940.490000009537</v>
      </c>
      <c r="E151" s="797">
        <f t="shared" si="43"/>
        <v>2476356.1700000167</v>
      </c>
      <c r="F151" s="797">
        <f t="shared" si="43"/>
        <v>18483654.760000467</v>
      </c>
      <c r="G151" s="797">
        <f t="shared" si="43"/>
        <v>625893.39999985695</v>
      </c>
      <c r="H151" s="797">
        <f t="shared" si="43"/>
        <v>9079288.9700000584</v>
      </c>
      <c r="I151" s="797">
        <f t="shared" si="43"/>
        <v>1075064.4300003052</v>
      </c>
      <c r="J151" s="797">
        <f t="shared" si="43"/>
        <v>37.310000002384186</v>
      </c>
      <c r="K151" s="797">
        <f t="shared" si="43"/>
        <v>-97209.310000002384</v>
      </c>
      <c r="L151" s="797">
        <f t="shared" si="43"/>
        <v>936723.07999995351</v>
      </c>
      <c r="M151" s="797">
        <f t="shared" si="44"/>
        <v>32565868.320000645</v>
      </c>
    </row>
    <row r="152" spans="1:13">
      <c r="A152" s="2">
        <f t="shared" si="45"/>
        <v>82</v>
      </c>
      <c r="B152" s="389" t="s">
        <v>2906</v>
      </c>
      <c r="C152" s="797">
        <f t="shared" si="46"/>
        <v>0</v>
      </c>
      <c r="D152" s="797">
        <f t="shared" si="43"/>
        <v>5465.9899999797344</v>
      </c>
      <c r="E152" s="797">
        <f t="shared" si="43"/>
        <v>3198794.0499998927</v>
      </c>
      <c r="F152" s="797">
        <f t="shared" si="43"/>
        <v>5048667.9500000477</v>
      </c>
      <c r="G152" s="797">
        <f t="shared" si="43"/>
        <v>8770264.1899998188</v>
      </c>
      <c r="H152" s="797">
        <f t="shared" si="43"/>
        <v>9619342.9200000465</v>
      </c>
      <c r="I152" s="797">
        <f t="shared" si="43"/>
        <v>-2118810.5100004673</v>
      </c>
      <c r="J152" s="797">
        <f t="shared" si="43"/>
        <v>5.699999988079071</v>
      </c>
      <c r="K152" s="797">
        <f t="shared" si="43"/>
        <v>4967616.1999999881</v>
      </c>
      <c r="L152" s="797">
        <f t="shared" si="43"/>
        <v>-1350.3199999928474</v>
      </c>
      <c r="M152" s="797">
        <f t="shared" si="44"/>
        <v>29489996.169999301</v>
      </c>
    </row>
    <row r="153" spans="1:13">
      <c r="A153" s="2">
        <f t="shared" si="45"/>
        <v>83</v>
      </c>
      <c r="B153" s="389" t="s">
        <v>2907</v>
      </c>
      <c r="C153" s="797">
        <f t="shared" si="46"/>
        <v>1.862645149230957E-8</v>
      </c>
      <c r="D153" s="797">
        <f t="shared" si="43"/>
        <v>21738.370000034571</v>
      </c>
      <c r="E153" s="797">
        <f t="shared" si="43"/>
        <v>1879626.3728302121</v>
      </c>
      <c r="F153" s="797">
        <f t="shared" si="43"/>
        <v>10645508.968047619</v>
      </c>
      <c r="G153" s="797">
        <f t="shared" si="43"/>
        <v>-2322113.6000001431</v>
      </c>
      <c r="H153" s="797">
        <f t="shared" si="43"/>
        <v>-31451556.220000058</v>
      </c>
      <c r="I153" s="797">
        <f t="shared" si="43"/>
        <v>-33476.19000005722</v>
      </c>
      <c r="J153" s="797">
        <f t="shared" si="43"/>
        <v>146.43000000715256</v>
      </c>
      <c r="K153" s="797">
        <f t="shared" si="43"/>
        <v>91675.990000009537</v>
      </c>
      <c r="L153" s="797">
        <f t="shared" si="43"/>
        <v>10438.370000004768</v>
      </c>
      <c r="M153" s="797">
        <f t="shared" si="44"/>
        <v>-21158011.509122353</v>
      </c>
    </row>
    <row r="154" spans="1:13">
      <c r="A154" s="2">
        <f t="shared" si="45"/>
        <v>84</v>
      </c>
      <c r="B154" s="389" t="s">
        <v>2908</v>
      </c>
      <c r="C154" s="797">
        <f t="shared" si="46"/>
        <v>-328.1000000089407</v>
      </c>
      <c r="D154" s="797">
        <f t="shared" si="43"/>
        <v>4721802.2399999797</v>
      </c>
      <c r="E154" s="797">
        <f t="shared" si="43"/>
        <v>10214554.509391904</v>
      </c>
      <c r="F154" s="797">
        <f t="shared" si="43"/>
        <v>19883623.677455425</v>
      </c>
      <c r="G154" s="797">
        <f t="shared" si="43"/>
        <v>1459881.2400000095</v>
      </c>
      <c r="H154" s="797">
        <f t="shared" si="43"/>
        <v>11514390.409999996</v>
      </c>
      <c r="I154" s="797">
        <f t="shared" si="43"/>
        <v>4200721.4200000763</v>
      </c>
      <c r="J154" s="797">
        <f t="shared" si="43"/>
        <v>8.1499999761581421</v>
      </c>
      <c r="K154" s="797">
        <f t="shared" si="43"/>
        <v>-15306.530000030994</v>
      </c>
      <c r="L154" s="797">
        <f t="shared" si="43"/>
        <v>4233.3400000035763</v>
      </c>
      <c r="M154" s="797">
        <f t="shared" si="44"/>
        <v>51983580.356847331</v>
      </c>
    </row>
    <row r="155" spans="1:13">
      <c r="A155" s="2">
        <f t="shared" si="45"/>
        <v>85</v>
      </c>
      <c r="B155" s="389" t="s">
        <v>2909</v>
      </c>
      <c r="C155" s="797">
        <f t="shared" si="46"/>
        <v>-2958.9999999850988</v>
      </c>
      <c r="D155" s="797">
        <f t="shared" si="43"/>
        <v>54309.560000002384</v>
      </c>
      <c r="E155" s="797">
        <f t="shared" si="43"/>
        <v>12501991.759999931</v>
      </c>
      <c r="F155" s="797">
        <f t="shared" si="43"/>
        <v>-7907496.8299992085</v>
      </c>
      <c r="G155" s="797">
        <f t="shared" si="43"/>
        <v>740863.58000040054</v>
      </c>
      <c r="H155" s="797">
        <f t="shared" si="43"/>
        <v>39301808.900000066</v>
      </c>
      <c r="I155" s="797">
        <f t="shared" si="43"/>
        <v>361536.63000011444</v>
      </c>
      <c r="J155" s="797">
        <f t="shared" si="43"/>
        <v>-33139.449999988079</v>
      </c>
      <c r="K155" s="797">
        <f t="shared" si="43"/>
        <v>1225874.3899999857</v>
      </c>
      <c r="L155" s="797">
        <f t="shared" si="43"/>
        <v>-11704.469999998808</v>
      </c>
      <c r="M155" s="797">
        <f t="shared" si="44"/>
        <v>46231085.070001319</v>
      </c>
    </row>
    <row r="156" spans="1:13">
      <c r="A156" s="2">
        <f t="shared" si="45"/>
        <v>86</v>
      </c>
      <c r="B156" s="389" t="s">
        <v>2910</v>
      </c>
      <c r="C156" s="797">
        <f t="shared" si="46"/>
        <v>-98.660000026226044</v>
      </c>
      <c r="D156" s="797">
        <f t="shared" si="43"/>
        <v>34413.430000007153</v>
      </c>
      <c r="E156" s="797">
        <f t="shared" si="43"/>
        <v>3255093.1300001144</v>
      </c>
      <c r="F156" s="797">
        <f t="shared" si="43"/>
        <v>12747916.199999809</v>
      </c>
      <c r="G156" s="797">
        <f t="shared" si="43"/>
        <v>2570060.9299993515</v>
      </c>
      <c r="H156" s="797">
        <f t="shared" si="43"/>
        <v>8562486.8899998069</v>
      </c>
      <c r="I156" s="797">
        <f t="shared" si="43"/>
        <v>1715792.7599999905</v>
      </c>
      <c r="J156" s="797">
        <f t="shared" si="43"/>
        <v>86845.75</v>
      </c>
      <c r="K156" s="797">
        <f t="shared" si="43"/>
        <v>-61017.379999995232</v>
      </c>
      <c r="L156" s="797">
        <f t="shared" si="43"/>
        <v>3252.0099999904633</v>
      </c>
      <c r="M156" s="797">
        <f t="shared" si="44"/>
        <v>28914745.059999049</v>
      </c>
    </row>
    <row r="157" spans="1:13">
      <c r="A157" s="2">
        <f t="shared" si="45"/>
        <v>87</v>
      </c>
      <c r="B157" s="389" t="s">
        <v>2911</v>
      </c>
      <c r="C157" s="797">
        <f t="shared" si="46"/>
        <v>-825.62999998033047</v>
      </c>
      <c r="D157" s="797">
        <f t="shared" si="43"/>
        <v>41489.84999999404</v>
      </c>
      <c r="E157" s="797">
        <f t="shared" si="43"/>
        <v>4478197.3543280363</v>
      </c>
      <c r="F157" s="797">
        <f t="shared" si="43"/>
        <v>-2501324.7573943138</v>
      </c>
      <c r="G157" s="797">
        <f t="shared" si="43"/>
        <v>-70098.560000181198</v>
      </c>
      <c r="H157" s="797">
        <f t="shared" si="43"/>
        <v>8398242.4699998796</v>
      </c>
      <c r="I157" s="797">
        <f t="shared" si="43"/>
        <v>423549.00999975204</v>
      </c>
      <c r="J157" s="797">
        <f t="shared" si="43"/>
        <v>-135.30000001192093</v>
      </c>
      <c r="K157" s="797">
        <f t="shared" si="43"/>
        <v>314505.27000004053</v>
      </c>
      <c r="L157" s="797">
        <f t="shared" si="43"/>
        <v>51.210000038146973</v>
      </c>
      <c r="M157" s="797">
        <f t="shared" si="44"/>
        <v>11083650.916933253</v>
      </c>
    </row>
    <row r="158" spans="1:13">
      <c r="A158" s="2">
        <f t="shared" si="45"/>
        <v>88</v>
      </c>
      <c r="B158" s="389" t="s">
        <v>2912</v>
      </c>
      <c r="C158" s="797">
        <f t="shared" si="46"/>
        <v>-26345.190000019968</v>
      </c>
      <c r="D158" s="797">
        <f t="shared" si="43"/>
        <v>62037.170000016689</v>
      </c>
      <c r="E158" s="797">
        <f t="shared" si="43"/>
        <v>352838.82999998331</v>
      </c>
      <c r="F158" s="797">
        <f t="shared" si="43"/>
        <v>8276230.9200003147</v>
      </c>
      <c r="G158" s="797">
        <f t="shared" si="43"/>
        <v>123626.77000021935</v>
      </c>
      <c r="H158" s="797">
        <f t="shared" si="43"/>
        <v>16109261.509999931</v>
      </c>
      <c r="I158" s="797">
        <f t="shared" si="43"/>
        <v>-4045943.0899996758</v>
      </c>
      <c r="J158" s="797">
        <f t="shared" si="43"/>
        <v>17.939999997615814</v>
      </c>
      <c r="K158" s="797">
        <f t="shared" si="43"/>
        <v>846503.1099999547</v>
      </c>
      <c r="L158" s="797">
        <f t="shared" si="43"/>
        <v>-315060.65000003576</v>
      </c>
      <c r="M158" s="797">
        <f t="shared" si="44"/>
        <v>21383167.320000686</v>
      </c>
    </row>
    <row r="159" spans="1:13">
      <c r="A159" s="2">
        <f t="shared" si="45"/>
        <v>89</v>
      </c>
      <c r="B159" s="389" t="s">
        <v>2913</v>
      </c>
      <c r="C159" s="797">
        <f t="shared" si="46"/>
        <v>-2994.5399999991059</v>
      </c>
      <c r="D159" s="797">
        <f t="shared" si="43"/>
        <v>-56597.110000014305</v>
      </c>
      <c r="E159" s="797">
        <f t="shared" si="43"/>
        <v>468686.05999982357</v>
      </c>
      <c r="F159" s="797">
        <f t="shared" si="43"/>
        <v>14997091.289999723</v>
      </c>
      <c r="G159" s="797">
        <f t="shared" si="43"/>
        <v>2973205.9400000572</v>
      </c>
      <c r="H159" s="797">
        <f t="shared" si="43"/>
        <v>17616586.139999956</v>
      </c>
      <c r="I159" s="797">
        <f t="shared" si="43"/>
        <v>-7838498.970000267</v>
      </c>
      <c r="J159" s="797">
        <f t="shared" si="43"/>
        <v>6.9999992847442627E-2</v>
      </c>
      <c r="K159" s="797">
        <f t="shared" si="43"/>
        <v>53047.950000047684</v>
      </c>
      <c r="L159" s="797">
        <f t="shared" si="43"/>
        <v>3073.5500000119209</v>
      </c>
      <c r="M159" s="797">
        <f t="shared" si="44"/>
        <v>28213600.379999332</v>
      </c>
    </row>
    <row r="160" spans="1:13">
      <c r="A160" s="2">
        <f t="shared" si="45"/>
        <v>90</v>
      </c>
      <c r="B160" s="389" t="s">
        <v>2914</v>
      </c>
      <c r="C160" s="797">
        <f t="shared" si="46"/>
        <v>74153.580000028014</v>
      </c>
      <c r="D160" s="797">
        <f t="shared" si="43"/>
        <v>-40365.119999974966</v>
      </c>
      <c r="E160" s="797">
        <f t="shared" si="43"/>
        <v>4763214.7300001979</v>
      </c>
      <c r="F160" s="797">
        <f t="shared" si="43"/>
        <v>28298661.500000715</v>
      </c>
      <c r="G160" s="797">
        <f t="shared" si="43"/>
        <v>1402215.5499999523</v>
      </c>
      <c r="H160" s="797">
        <f t="shared" si="43"/>
        <v>9602093.6500004232</v>
      </c>
      <c r="I160" s="797">
        <f t="shared" si="43"/>
        <v>247737.93000030518</v>
      </c>
      <c r="J160" s="797">
        <f t="shared" si="43"/>
        <v>6.0000002384185791E-2</v>
      </c>
      <c r="K160" s="797">
        <f t="shared" si="43"/>
        <v>10389570.609999955</v>
      </c>
      <c r="L160" s="797">
        <f t="shared" si="43"/>
        <v>1178.5700000226498</v>
      </c>
      <c r="M160" s="797">
        <f t="shared" si="44"/>
        <v>54738461.060001627</v>
      </c>
    </row>
    <row r="161" spans="1:13">
      <c r="A161" s="2">
        <f t="shared" si="45"/>
        <v>91</v>
      </c>
      <c r="B161" s="389" t="s">
        <v>2915</v>
      </c>
      <c r="C161" s="798">
        <f t="shared" si="46"/>
        <v>-7.4505805969238281E-9</v>
      </c>
      <c r="D161" s="798">
        <f t="shared" si="43"/>
        <v>1303.2699999809265</v>
      </c>
      <c r="E161" s="798">
        <f t="shared" si="43"/>
        <v>1891815.4899998903</v>
      </c>
      <c r="F161" s="798">
        <f t="shared" si="43"/>
        <v>42710992.140000105</v>
      </c>
      <c r="G161" s="798">
        <f t="shared" si="43"/>
        <v>2560084.2400000095</v>
      </c>
      <c r="H161" s="798">
        <f t="shared" si="43"/>
        <v>14074924.229999959</v>
      </c>
      <c r="I161" s="798">
        <f t="shared" si="43"/>
        <v>-1322017.8300001621</v>
      </c>
      <c r="J161" s="798">
        <f t="shared" si="43"/>
        <v>0.60000002384185791</v>
      </c>
      <c r="K161" s="798">
        <f t="shared" si="43"/>
        <v>-73987.269999980927</v>
      </c>
      <c r="L161" s="798">
        <f t="shared" si="43"/>
        <v>327.13999998569489</v>
      </c>
      <c r="M161" s="798">
        <f t="shared" si="44"/>
        <v>59843442.009999804</v>
      </c>
    </row>
    <row r="162" spans="1:13">
      <c r="A162" s="2">
        <f t="shared" si="45"/>
        <v>92</v>
      </c>
      <c r="B162" s="564" t="s">
        <v>402</v>
      </c>
      <c r="C162" s="797">
        <f t="shared" ref="C162:M162" si="47">SUM(C150:C161)</f>
        <v>40371.220000006258</v>
      </c>
      <c r="D162" s="797">
        <f t="shared" si="47"/>
        <v>4945462.6100000143</v>
      </c>
      <c r="E162" s="797">
        <f t="shared" si="47"/>
        <v>50521305.872662067</v>
      </c>
      <c r="F162" s="797">
        <f t="shared" si="47"/>
        <v>173636935.47593951</v>
      </c>
      <c r="G162" s="797">
        <f t="shared" si="47"/>
        <v>16302795.529999495</v>
      </c>
      <c r="H162" s="797">
        <f t="shared" si="47"/>
        <v>116840707.79000002</v>
      </c>
      <c r="I162" s="797">
        <f t="shared" si="47"/>
        <v>-7095052.7600002289</v>
      </c>
      <c r="J162" s="797">
        <f t="shared" si="47"/>
        <v>53749.259999990463</v>
      </c>
      <c r="K162" s="797">
        <f t="shared" si="47"/>
        <v>17759157.439999998</v>
      </c>
      <c r="L162" s="797">
        <f t="shared" si="47"/>
        <v>631907.23000001907</v>
      </c>
      <c r="M162" s="797">
        <f t="shared" si="47"/>
        <v>373637339.66860092</v>
      </c>
    </row>
    <row r="163" spans="1:13">
      <c r="A163" s="2"/>
      <c r="B163" s="564"/>
      <c r="C163" s="575"/>
      <c r="D163" s="575"/>
      <c r="E163" s="575"/>
      <c r="F163" s="575"/>
      <c r="G163" s="575"/>
      <c r="H163" s="575"/>
      <c r="I163" s="575"/>
      <c r="J163" s="575"/>
      <c r="K163" s="575"/>
      <c r="L163" s="575"/>
      <c r="M163" s="575"/>
    </row>
    <row r="164" spans="1:13" s="235" customFormat="1">
      <c r="B164" s="1" t="s">
        <v>670</v>
      </c>
      <c r="M164" s="575"/>
    </row>
    <row r="165" spans="1:13" s="235" customFormat="1">
      <c r="M165" s="575"/>
    </row>
    <row r="166" spans="1:13" s="235" customFormat="1">
      <c r="B166" s="3" t="s">
        <v>636</v>
      </c>
      <c r="C166" s="48">
        <v>350.1</v>
      </c>
      <c r="D166" s="48">
        <v>350.2</v>
      </c>
      <c r="E166" s="48">
        <v>352</v>
      </c>
      <c r="F166" s="48">
        <v>353</v>
      </c>
      <c r="G166" s="48">
        <v>354</v>
      </c>
      <c r="H166" s="48">
        <v>355</v>
      </c>
      <c r="I166" s="48">
        <v>356</v>
      </c>
      <c r="J166" s="48">
        <v>357</v>
      </c>
      <c r="K166" s="48">
        <v>358</v>
      </c>
      <c r="L166" s="48">
        <v>359</v>
      </c>
      <c r="M166" s="575"/>
    </row>
    <row r="167" spans="1:13" s="235" customFormat="1">
      <c r="A167" s="2">
        <f>A162+1</f>
        <v>93</v>
      </c>
      <c r="B167" s="389" t="s">
        <v>2904</v>
      </c>
      <c r="C167" s="578">
        <f>C150/C$162</f>
        <v>-5.7278427555446897E-3</v>
      </c>
      <c r="D167" s="578">
        <f t="shared" ref="D167:L167" si="48">D150/D$162</f>
        <v>2.3012093908039384E-2</v>
      </c>
      <c r="E167" s="578">
        <f t="shared" si="48"/>
        <v>9.9762611616089861E-2</v>
      </c>
      <c r="F167" s="578">
        <f t="shared" si="48"/>
        <v>0.1321919762918726</v>
      </c>
      <c r="G167" s="578">
        <f>G150/G$162</f>
        <v>-0.15525485462553276</v>
      </c>
      <c r="H167" s="578">
        <f t="shared" si="48"/>
        <v>3.777654212719278E-2</v>
      </c>
      <c r="I167" s="578">
        <f t="shared" si="48"/>
        <v>-3.3726549765621366E-2</v>
      </c>
      <c r="J167" s="578">
        <f t="shared" si="48"/>
        <v>-7.069864775813982E-4</v>
      </c>
      <c r="K167" s="578">
        <f t="shared" si="48"/>
        <v>6.6379506121449329E-3</v>
      </c>
      <c r="L167" s="578">
        <f t="shared" si="48"/>
        <v>1.1796035314166928E-3</v>
      </c>
      <c r="M167" s="575"/>
    </row>
    <row r="168" spans="1:13" s="235" customFormat="1">
      <c r="A168" s="2">
        <f t="shared" ref="A168:A178" si="49">A167+1</f>
        <v>94</v>
      </c>
      <c r="B168" s="389" t="s">
        <v>2905</v>
      </c>
      <c r="C168" s="578">
        <f>C151/C$162</f>
        <v>-9.2275891054601191E-14</v>
      </c>
      <c r="D168" s="578">
        <f t="shared" ref="C168:L178" si="50">D151/D$162</f>
        <v>-2.818844484198718E-3</v>
      </c>
      <c r="E168" s="578">
        <f t="shared" si="50"/>
        <v>4.9016076034171061E-2</v>
      </c>
      <c r="F168" s="578">
        <f t="shared" si="50"/>
        <v>0.10645001715410778</v>
      </c>
      <c r="G168" s="578">
        <f t="shared" si="50"/>
        <v>3.8391783718818212E-2</v>
      </c>
      <c r="H168" s="578">
        <f t="shared" si="50"/>
        <v>7.7706555717879031E-2</v>
      </c>
      <c r="I168" s="578">
        <f t="shared" si="50"/>
        <v>-0.15152310579861994</v>
      </c>
      <c r="J168" s="578">
        <f t="shared" si="50"/>
        <v>6.941490915854619E-4</v>
      </c>
      <c r="K168" s="578">
        <f t="shared" si="50"/>
        <v>-5.4737568676007185E-3</v>
      </c>
      <c r="L168" s="578">
        <f t="shared" si="50"/>
        <v>1.482374366882818</v>
      </c>
      <c r="M168" s="575"/>
    </row>
    <row r="169" spans="1:13" s="235" customFormat="1">
      <c r="A169" s="2">
        <f t="shared" si="49"/>
        <v>95</v>
      </c>
      <c r="B169" s="389" t="s">
        <v>2906</v>
      </c>
      <c r="C169" s="578">
        <f t="shared" si="50"/>
        <v>0</v>
      </c>
      <c r="D169" s="578">
        <f t="shared" si="50"/>
        <v>1.1052535285429484E-3</v>
      </c>
      <c r="E169" s="578">
        <f t="shared" si="50"/>
        <v>6.3315743620372539E-2</v>
      </c>
      <c r="F169" s="578">
        <f t="shared" si="50"/>
        <v>2.9076002384870646E-2</v>
      </c>
      <c r="G169" s="578">
        <f t="shared" si="50"/>
        <v>0.53796075488165618</v>
      </c>
      <c r="H169" s="578">
        <f t="shared" si="50"/>
        <v>8.2328694356157708E-2</v>
      </c>
      <c r="I169" s="578">
        <f t="shared" si="50"/>
        <v>0.2986321006583183</v>
      </c>
      <c r="J169" s="578">
        <f t="shared" si="50"/>
        <v>1.0604797141542195E-4</v>
      </c>
      <c r="K169" s="578">
        <f t="shared" si="50"/>
        <v>0.27972138975530075</v>
      </c>
      <c r="L169" s="578">
        <f t="shared" si="50"/>
        <v>-2.1368959490981085E-3</v>
      </c>
      <c r="M169" s="575"/>
    </row>
    <row r="170" spans="1:13" s="235" customFormat="1">
      <c r="A170" s="2">
        <f t="shared" si="49"/>
        <v>96</v>
      </c>
      <c r="B170" s="389" t="s">
        <v>2907</v>
      </c>
      <c r="C170" s="578">
        <f t="shared" si="50"/>
        <v>4.6137945527300598E-13</v>
      </c>
      <c r="D170" s="578">
        <f t="shared" si="50"/>
        <v>4.3956191188420507E-3</v>
      </c>
      <c r="E170" s="578">
        <f t="shared" si="50"/>
        <v>3.7204627639035551E-2</v>
      </c>
      <c r="F170" s="578">
        <f t="shared" si="50"/>
        <v>6.1309012042099438E-2</v>
      </c>
      <c r="G170" s="578">
        <f t="shared" si="50"/>
        <v>-0.14243652849151664</v>
      </c>
      <c r="H170" s="578">
        <f t="shared" si="50"/>
        <v>-0.26918320519359168</v>
      </c>
      <c r="I170" s="578">
        <f t="shared" si="50"/>
        <v>4.7182439838623748E-3</v>
      </c>
      <c r="J170" s="578">
        <f t="shared" si="50"/>
        <v>2.7243165767710763E-3</v>
      </c>
      <c r="K170" s="578">
        <f t="shared" si="50"/>
        <v>5.162181275195089E-3</v>
      </c>
      <c r="L170" s="578">
        <f t="shared" si="50"/>
        <v>1.6518832993894457E-2</v>
      </c>
      <c r="M170" s="575"/>
    </row>
    <row r="171" spans="1:13" s="235" customFormat="1">
      <c r="A171" s="2">
        <f t="shared" si="49"/>
        <v>97</v>
      </c>
      <c r="B171" s="389" t="s">
        <v>2908</v>
      </c>
      <c r="C171" s="578">
        <f t="shared" si="50"/>
        <v>-8.1270766652305742E-3</v>
      </c>
      <c r="D171" s="578">
        <f t="shared" si="50"/>
        <v>0.95477463128570006</v>
      </c>
      <c r="E171" s="578">
        <f t="shared" si="50"/>
        <v>0.20218310538404297</v>
      </c>
      <c r="F171" s="578">
        <f t="shared" si="50"/>
        <v>0.11451263881704855</v>
      </c>
      <c r="G171" s="578">
        <f t="shared" si="50"/>
        <v>8.954790835189079E-2</v>
      </c>
      <c r="H171" s="578">
        <f t="shared" si="50"/>
        <v>9.8547763256407392E-2</v>
      </c>
      <c r="I171" s="578">
        <f t="shared" si="50"/>
        <v>-0.59206345070222433</v>
      </c>
      <c r="J171" s="578">
        <f t="shared" si="50"/>
        <v>1.5162999409032958E-4</v>
      </c>
      <c r="K171" s="578">
        <f t="shared" si="50"/>
        <v>-8.6189505621224992E-4</v>
      </c>
      <c r="L171" s="578">
        <f t="shared" si="50"/>
        <v>6.6993061623989462E-3</v>
      </c>
      <c r="M171" s="575"/>
    </row>
    <row r="172" spans="1:13" s="235" customFormat="1">
      <c r="A172" s="2">
        <f t="shared" si="49"/>
        <v>98</v>
      </c>
      <c r="B172" s="389" t="s">
        <v>2909</v>
      </c>
      <c r="C172" s="578">
        <f t="shared" si="50"/>
        <v>-7.3294787722160498E-2</v>
      </c>
      <c r="D172" s="578">
        <f t="shared" si="50"/>
        <v>1.0981694592167229E-2</v>
      </c>
      <c r="E172" s="578">
        <f t="shared" si="50"/>
        <v>0.24745979036074303</v>
      </c>
      <c r="F172" s="578">
        <f t="shared" si="50"/>
        <v>-4.5540407680685728E-2</v>
      </c>
      <c r="G172" s="578">
        <f t="shared" si="50"/>
        <v>4.5443959512164935E-2</v>
      </c>
      <c r="H172" s="578">
        <f t="shared" si="50"/>
        <v>0.33637085604306627</v>
      </c>
      <c r="I172" s="578">
        <f t="shared" si="50"/>
        <v>-5.0956158076561335E-2</v>
      </c>
      <c r="J172" s="578">
        <f t="shared" si="50"/>
        <v>-0.61655639538095885</v>
      </c>
      <c r="K172" s="578">
        <f t="shared" si="50"/>
        <v>6.902773367158041E-2</v>
      </c>
      <c r="L172" s="578">
        <f t="shared" si="50"/>
        <v>-1.8522449885560663E-2</v>
      </c>
      <c r="M172" s="575"/>
    </row>
    <row r="173" spans="1:13" s="235" customFormat="1">
      <c r="A173" s="2">
        <f t="shared" si="49"/>
        <v>99</v>
      </c>
      <c r="B173" s="389" t="s">
        <v>2910</v>
      </c>
      <c r="C173" s="578">
        <f t="shared" si="50"/>
        <v>-2.4438201279577566E-3</v>
      </c>
      <c r="D173" s="578">
        <f t="shared" si="50"/>
        <v>6.9585866305856177E-3</v>
      </c>
      <c r="E173" s="578">
        <f t="shared" si="50"/>
        <v>6.4430106739610235E-2</v>
      </c>
      <c r="F173" s="578">
        <f t="shared" si="50"/>
        <v>7.341707664361688E-2</v>
      </c>
      <c r="G173" s="578">
        <f t="shared" si="50"/>
        <v>0.15764541273121341</v>
      </c>
      <c r="H173" s="578">
        <f t="shared" si="50"/>
        <v>7.3283421950758154E-2</v>
      </c>
      <c r="I173" s="578">
        <f t="shared" si="50"/>
        <v>-0.24182945751624477</v>
      </c>
      <c r="J173" s="578">
        <f t="shared" si="50"/>
        <v>1.615757128563545</v>
      </c>
      <c r="K173" s="578">
        <f t="shared" si="50"/>
        <v>-3.4358262888397051E-3</v>
      </c>
      <c r="L173" s="578">
        <f t="shared" si="50"/>
        <v>5.146340863975184E-3</v>
      </c>
      <c r="M173" s="575"/>
    </row>
    <row r="174" spans="1:13" s="235" customFormat="1">
      <c r="A174" s="2">
        <f t="shared" si="49"/>
        <v>100</v>
      </c>
      <c r="B174" s="389" t="s">
        <v>2911</v>
      </c>
      <c r="C174" s="578">
        <f t="shared" si="50"/>
        <v>-2.0450954912440162E-2</v>
      </c>
      <c r="D174" s="578">
        <f t="shared" si="50"/>
        <v>8.3894780472304337E-3</v>
      </c>
      <c r="E174" s="578">
        <f t="shared" si="50"/>
        <v>8.8639778346490936E-2</v>
      </c>
      <c r="F174" s="578">
        <f t="shared" si="50"/>
        <v>-1.4405487810172259E-2</v>
      </c>
      <c r="G174" s="578">
        <f t="shared" si="50"/>
        <v>-4.2997877186884753E-3</v>
      </c>
      <c r="H174" s="578">
        <f t="shared" si="50"/>
        <v>7.1877709651452959E-2</v>
      </c>
      <c r="I174" s="578">
        <f t="shared" si="50"/>
        <v>-5.9696386246427063E-2</v>
      </c>
      <c r="J174" s="578">
        <f t="shared" si="50"/>
        <v>-2.5172439585576609E-3</v>
      </c>
      <c r="K174" s="578">
        <f t="shared" si="50"/>
        <v>1.7709470230364746E-2</v>
      </c>
      <c r="L174" s="578">
        <f t="shared" si="50"/>
        <v>8.1040376825796773E-5</v>
      </c>
      <c r="M174" s="575"/>
    </row>
    <row r="175" spans="1:13" s="235" customFormat="1">
      <c r="A175" s="2">
        <f t="shared" si="49"/>
        <v>101</v>
      </c>
      <c r="B175" s="389" t="s">
        <v>2912</v>
      </c>
      <c r="C175" s="578">
        <f t="shared" si="50"/>
        <v>-0.6525735412508189</v>
      </c>
      <c r="D175" s="578">
        <f t="shared" si="50"/>
        <v>1.254426024262602E-2</v>
      </c>
      <c r="E175" s="578">
        <f t="shared" si="50"/>
        <v>6.9839610023008205E-3</v>
      </c>
      <c r="F175" s="578">
        <f t="shared" si="50"/>
        <v>4.7664000158233237E-2</v>
      </c>
      <c r="G175" s="578">
        <f t="shared" si="50"/>
        <v>7.5831638673703695E-3</v>
      </c>
      <c r="H175" s="578">
        <f t="shared" si="50"/>
        <v>0.13787370698706658</v>
      </c>
      <c r="I175" s="578">
        <f t="shared" si="50"/>
        <v>0.57024848536849293</v>
      </c>
      <c r="J175" s="578">
        <f t="shared" si="50"/>
        <v>3.3377203700328149E-4</v>
      </c>
      <c r="K175" s="578">
        <f t="shared" si="50"/>
        <v>4.7665724731586971E-2</v>
      </c>
      <c r="L175" s="578">
        <f t="shared" si="50"/>
        <v>-0.49858687326623286</v>
      </c>
      <c r="M175" s="575"/>
    </row>
    <row r="176" spans="1:13" s="235" customFormat="1">
      <c r="A176" s="2">
        <f t="shared" si="49"/>
        <v>102</v>
      </c>
      <c r="B176" s="389" t="s">
        <v>2913</v>
      </c>
      <c r="C176" s="578">
        <f t="shared" si="50"/>
        <v>-7.4175117819046385E-2</v>
      </c>
      <c r="D176" s="578">
        <f t="shared" si="50"/>
        <v>-1.1444249904057841E-2</v>
      </c>
      <c r="E176" s="578">
        <f t="shared" si="50"/>
        <v>9.2769981279014705E-3</v>
      </c>
      <c r="F176" s="578">
        <f t="shared" si="50"/>
        <v>8.6370398376892782E-2</v>
      </c>
      <c r="G176" s="578">
        <f t="shared" si="50"/>
        <v>0.1823739943575278</v>
      </c>
      <c r="H176" s="578">
        <f t="shared" si="50"/>
        <v>0.15077438739640789</v>
      </c>
      <c r="I176" s="578">
        <f t="shared" si="50"/>
        <v>1.104783746527068</v>
      </c>
      <c r="J176" s="578">
        <f t="shared" si="50"/>
        <v>1.3023433782614876E-6</v>
      </c>
      <c r="K176" s="578">
        <f t="shared" si="50"/>
        <v>2.9870758328075101E-3</v>
      </c>
      <c r="L176" s="578">
        <f t="shared" si="50"/>
        <v>4.8639259911804275E-3</v>
      </c>
      <c r="M176" s="575"/>
    </row>
    <row r="177" spans="1:13" s="235" customFormat="1">
      <c r="A177" s="2">
        <f t="shared" si="49"/>
        <v>103</v>
      </c>
      <c r="B177" s="389" t="s">
        <v>2914</v>
      </c>
      <c r="C177" s="578">
        <f t="shared" si="50"/>
        <v>1.8367931412530143</v>
      </c>
      <c r="D177" s="578">
        <f t="shared" si="50"/>
        <v>-8.1620513960320596E-3</v>
      </c>
      <c r="E177" s="578">
        <f t="shared" si="50"/>
        <v>9.4281306623502259E-2</v>
      </c>
      <c r="F177" s="578">
        <f t="shared" si="50"/>
        <v>0.1629760478232006</v>
      </c>
      <c r="G177" s="578">
        <f t="shared" si="50"/>
        <v>8.6010742600535817E-2</v>
      </c>
      <c r="H177" s="578">
        <f t="shared" si="50"/>
        <v>8.2181063703058402E-2</v>
      </c>
      <c r="I177" s="578">
        <f t="shared" si="50"/>
        <v>-3.4916996163436166E-2</v>
      </c>
      <c r="J177" s="578">
        <f t="shared" si="50"/>
        <v>1.1162944826439738E-6</v>
      </c>
      <c r="K177" s="578">
        <f t="shared" si="50"/>
        <v>0.5850260996391029</v>
      </c>
      <c r="L177" s="578">
        <f t="shared" si="50"/>
        <v>1.8650997236138826E-3</v>
      </c>
      <c r="M177" s="575"/>
    </row>
    <row r="178" spans="1:13" s="235" customFormat="1">
      <c r="A178" s="2">
        <f t="shared" si="49"/>
        <v>104</v>
      </c>
      <c r="B178" s="389" t="s">
        <v>2915</v>
      </c>
      <c r="C178" s="578">
        <f t="shared" si="50"/>
        <v>-1.8455178210920238E-13</v>
      </c>
      <c r="D178" s="578">
        <f t="shared" si="50"/>
        <v>2.6352843055483594E-4</v>
      </c>
      <c r="E178" s="578">
        <f t="shared" si="50"/>
        <v>3.7445894505739284E-2</v>
      </c>
      <c r="F178" s="578">
        <f t="shared" si="50"/>
        <v>0.24597872579891547</v>
      </c>
      <c r="G178" s="578">
        <f t="shared" si="50"/>
        <v>0.15703345081456033</v>
      </c>
      <c r="H178" s="578">
        <f t="shared" si="50"/>
        <v>0.12046250400414454</v>
      </c>
      <c r="I178" s="578">
        <f t="shared" si="50"/>
        <v>0.18632952773139344</v>
      </c>
      <c r="J178" s="578">
        <f t="shared" si="50"/>
        <v>1.1162944826439738E-5</v>
      </c>
      <c r="K178" s="578">
        <f t="shared" si="50"/>
        <v>-4.1661475354306523E-3</v>
      </c>
      <c r="L178" s="578">
        <f t="shared" si="50"/>
        <v>5.1770257476826942E-4</v>
      </c>
      <c r="M178" s="575"/>
    </row>
    <row r="180" spans="1:13">
      <c r="B180" s="1" t="s">
        <v>671</v>
      </c>
    </row>
    <row r="181" spans="1:13">
      <c r="B181" s="234" t="s">
        <v>672</v>
      </c>
    </row>
    <row r="182" spans="1:13">
      <c r="B182" s="12"/>
      <c r="C182" s="48">
        <v>350.1</v>
      </c>
      <c r="D182" s="48">
        <v>350.2</v>
      </c>
      <c r="E182" s="48">
        <v>352</v>
      </c>
      <c r="F182" s="48">
        <v>353</v>
      </c>
      <c r="G182" s="48">
        <v>354</v>
      </c>
      <c r="H182" s="48">
        <v>355</v>
      </c>
      <c r="I182" s="48">
        <v>356</v>
      </c>
      <c r="J182" s="48">
        <v>357</v>
      </c>
      <c r="K182" s="48">
        <v>358</v>
      </c>
      <c r="L182" s="48">
        <v>359</v>
      </c>
      <c r="M182" s="3" t="s">
        <v>244</v>
      </c>
    </row>
    <row r="183" spans="1:13">
      <c r="A183" s="2">
        <f>A178+1</f>
        <v>105</v>
      </c>
      <c r="B183" s="12"/>
      <c r="C183" s="6">
        <f t="shared" ref="C183:L183" si="51">C24-C12</f>
        <v>4455785.6733708978</v>
      </c>
      <c r="D183" s="6">
        <f t="shared" si="51"/>
        <v>1591419.5069237351</v>
      </c>
      <c r="E183" s="6">
        <f t="shared" si="51"/>
        <v>30270783.314780235</v>
      </c>
      <c r="F183" s="6">
        <f t="shared" si="51"/>
        <v>68879421.793927193</v>
      </c>
      <c r="G183" s="6">
        <f t="shared" si="51"/>
        <v>13824183.091434479</v>
      </c>
      <c r="H183" s="6">
        <f t="shared" si="51"/>
        <v>15518944.571653962</v>
      </c>
      <c r="I183" s="6">
        <f t="shared" si="51"/>
        <v>-3030988.1336684227</v>
      </c>
      <c r="J183" s="6">
        <f t="shared" si="51"/>
        <v>-935.64669415354729</v>
      </c>
      <c r="K183" s="6">
        <f t="shared" si="51"/>
        <v>0</v>
      </c>
      <c r="L183" s="6">
        <f t="shared" si="51"/>
        <v>-288446.21303090453</v>
      </c>
      <c r="M183" s="6">
        <f>M24-M12</f>
        <v>131220167.95869637</v>
      </c>
    </row>
    <row r="184" spans="1:13">
      <c r="B184" s="12"/>
      <c r="C184" s="6"/>
      <c r="D184" s="6"/>
      <c r="E184" s="6"/>
      <c r="F184" s="6"/>
      <c r="G184" s="6"/>
      <c r="H184" s="6"/>
      <c r="I184" s="6"/>
      <c r="J184" s="6"/>
      <c r="K184" s="6"/>
      <c r="L184" s="6"/>
      <c r="M184" s="6"/>
    </row>
    <row r="185" spans="1:13">
      <c r="B185" s="234" t="s">
        <v>673</v>
      </c>
      <c r="C185" s="6"/>
      <c r="D185" s="6"/>
      <c r="E185" s="6"/>
      <c r="F185" s="6"/>
      <c r="G185" s="6"/>
      <c r="H185" s="6"/>
      <c r="I185" s="6"/>
      <c r="J185" s="6"/>
      <c r="K185" s="6"/>
      <c r="L185" s="6"/>
      <c r="M185" s="6"/>
    </row>
    <row r="186" spans="1:13">
      <c r="B186" s="12"/>
      <c r="C186" s="48">
        <v>350.1</v>
      </c>
      <c r="D186" s="48">
        <v>350.2</v>
      </c>
      <c r="E186" s="48">
        <v>352</v>
      </c>
      <c r="F186" s="48">
        <v>353</v>
      </c>
      <c r="G186" s="48">
        <v>354</v>
      </c>
      <c r="H186" s="48">
        <v>355</v>
      </c>
      <c r="I186" s="48">
        <v>356</v>
      </c>
      <c r="J186" s="48">
        <v>357</v>
      </c>
      <c r="K186" s="48">
        <v>358</v>
      </c>
      <c r="L186" s="48">
        <v>359</v>
      </c>
      <c r="M186" s="3" t="s">
        <v>244</v>
      </c>
    </row>
    <row r="187" spans="1:13">
      <c r="A187" s="2">
        <f>A183+1</f>
        <v>106</v>
      </c>
      <c r="B187" s="12"/>
      <c r="C187" s="6">
        <f>C143</f>
        <v>5565697.9299999997</v>
      </c>
      <c r="D187" s="6">
        <f t="shared" ref="D187:M187" si="52">D143</f>
        <v>-3871.5999999940395</v>
      </c>
      <c r="E187" s="6">
        <f t="shared" si="52"/>
        <v>3541841.0473380089</v>
      </c>
      <c r="F187" s="6">
        <f t="shared" si="52"/>
        <v>17417390.034059763</v>
      </c>
      <c r="G187" s="6">
        <f t="shared" si="52"/>
        <v>-92392.519999742508</v>
      </c>
      <c r="H187" s="6">
        <f t="shared" si="52"/>
        <v>-346317.82999998331</v>
      </c>
      <c r="I187" s="6">
        <f t="shared" si="52"/>
        <v>2021559.7699999809</v>
      </c>
      <c r="J187" s="6">
        <f t="shared" si="52"/>
        <v>0</v>
      </c>
      <c r="K187" s="6">
        <f t="shared" si="52"/>
        <v>0</v>
      </c>
      <c r="L187" s="6">
        <f t="shared" si="52"/>
        <v>177000.06000000238</v>
      </c>
      <c r="M187" s="6">
        <f t="shared" si="52"/>
        <v>28280906.891398035</v>
      </c>
    </row>
    <row r="188" spans="1:13">
      <c r="B188" s="12"/>
      <c r="C188" s="6"/>
      <c r="D188" s="6"/>
      <c r="E188" s="6"/>
      <c r="F188" s="6"/>
      <c r="G188" s="6"/>
      <c r="H188" s="6"/>
      <c r="I188" s="6"/>
      <c r="J188" s="6"/>
      <c r="K188" s="6"/>
      <c r="L188" s="6"/>
      <c r="M188" s="6"/>
    </row>
    <row r="189" spans="1:13">
      <c r="B189" s="234" t="s">
        <v>674</v>
      </c>
      <c r="C189" s="6"/>
      <c r="D189" s="6"/>
      <c r="E189" s="6"/>
      <c r="F189" s="6"/>
      <c r="G189" s="6"/>
      <c r="H189" s="6"/>
      <c r="I189" s="6"/>
      <c r="J189" s="6"/>
      <c r="K189" s="6"/>
      <c r="L189" s="6"/>
      <c r="M189" s="6"/>
    </row>
    <row r="190" spans="1:13">
      <c r="C190" s="48">
        <v>350.1</v>
      </c>
      <c r="D190" s="48">
        <v>350.2</v>
      </c>
      <c r="E190" s="48">
        <v>352</v>
      </c>
      <c r="F190" s="48">
        <v>353</v>
      </c>
      <c r="G190" s="48">
        <v>354</v>
      </c>
      <c r="H190" s="48">
        <v>355</v>
      </c>
      <c r="I190" s="48">
        <v>356</v>
      </c>
      <c r="J190" s="48">
        <v>357</v>
      </c>
      <c r="K190" s="48">
        <v>358</v>
      </c>
      <c r="L190" s="48">
        <v>359</v>
      </c>
      <c r="M190" s="3" t="s">
        <v>244</v>
      </c>
    </row>
    <row r="191" spans="1:13">
      <c r="A191" s="2">
        <f>A187+1</f>
        <v>107</v>
      </c>
      <c r="C191" s="6">
        <f>C183-C187</f>
        <v>-1109912.2566291019</v>
      </c>
      <c r="D191" s="6">
        <f t="shared" ref="D191:M191" si="53">D183-D187</f>
        <v>1595291.1069237292</v>
      </c>
      <c r="E191" s="6">
        <f t="shared" si="53"/>
        <v>26728942.267442226</v>
      </c>
      <c r="F191" s="6">
        <f t="shared" si="53"/>
        <v>51462031.75986743</v>
      </c>
      <c r="G191" s="6">
        <f t="shared" si="53"/>
        <v>13916575.611434221</v>
      </c>
      <c r="H191" s="6">
        <f t="shared" si="53"/>
        <v>15865262.401653945</v>
      </c>
      <c r="I191" s="6">
        <f t="shared" si="53"/>
        <v>-5052547.9036684036</v>
      </c>
      <c r="J191" s="6">
        <f t="shared" si="53"/>
        <v>-935.64669415354729</v>
      </c>
      <c r="K191" s="6">
        <f t="shared" si="53"/>
        <v>0</v>
      </c>
      <c r="L191" s="6">
        <f t="shared" si="53"/>
        <v>-465446.27303090692</v>
      </c>
      <c r="M191" s="6">
        <f t="shared" si="53"/>
        <v>102939261.06729832</v>
      </c>
    </row>
    <row r="193" spans="1:13">
      <c r="B193" s="1" t="s">
        <v>675</v>
      </c>
    </row>
    <row r="194" spans="1:13">
      <c r="A194" s="199"/>
      <c r="B194" s="48" t="s">
        <v>329</v>
      </c>
      <c r="C194" s="48" t="s">
        <v>330</v>
      </c>
      <c r="D194" s="48" t="s">
        <v>331</v>
      </c>
      <c r="E194" s="48" t="s">
        <v>332</v>
      </c>
      <c r="F194" s="48" t="s">
        <v>333</v>
      </c>
      <c r="G194" s="48" t="s">
        <v>334</v>
      </c>
      <c r="H194" s="48" t="s">
        <v>335</v>
      </c>
      <c r="I194" s="48" t="s">
        <v>336</v>
      </c>
      <c r="J194" s="48" t="s">
        <v>337</v>
      </c>
      <c r="K194" s="48" t="s">
        <v>582</v>
      </c>
      <c r="L194" s="48" t="s">
        <v>583</v>
      </c>
      <c r="M194" s="48" t="s">
        <v>584</v>
      </c>
    </row>
    <row r="195" spans="1:13">
      <c r="A195" s="113"/>
      <c r="B195" s="116"/>
      <c r="C195" s="113"/>
      <c r="D195" s="113"/>
      <c r="E195" s="113"/>
      <c r="F195" s="260"/>
      <c r="G195" s="113"/>
      <c r="H195" s="113"/>
      <c r="I195" s="113"/>
      <c r="J195" s="113"/>
      <c r="K195" s="113"/>
      <c r="L195" s="113"/>
      <c r="M195" s="126" t="s">
        <v>635</v>
      </c>
    </row>
    <row r="196" spans="1:13">
      <c r="A196" s="113"/>
      <c r="B196" s="2"/>
      <c r="C196" s="48"/>
      <c r="D196" s="48"/>
      <c r="E196" s="113"/>
      <c r="F196" s="113"/>
      <c r="G196" s="113"/>
      <c r="H196" s="113"/>
      <c r="I196" s="113"/>
      <c r="J196" s="113"/>
      <c r="K196" s="113"/>
      <c r="L196" s="113"/>
    </row>
    <row r="197" spans="1:13">
      <c r="A197" s="30"/>
      <c r="B197" s="3" t="s">
        <v>636</v>
      </c>
      <c r="C197" s="48">
        <v>350.1</v>
      </c>
      <c r="D197" s="48">
        <v>350.2</v>
      </c>
      <c r="E197" s="48">
        <v>352</v>
      </c>
      <c r="F197" s="48">
        <v>353</v>
      </c>
      <c r="G197" s="48">
        <v>354</v>
      </c>
      <c r="H197" s="48">
        <v>355</v>
      </c>
      <c r="I197" s="48">
        <v>356</v>
      </c>
      <c r="J197" s="48">
        <v>357</v>
      </c>
      <c r="K197" s="48">
        <v>358</v>
      </c>
      <c r="L197" s="48">
        <v>359</v>
      </c>
      <c r="M197" s="3" t="s">
        <v>244</v>
      </c>
    </row>
    <row r="198" spans="1:13">
      <c r="A198" s="2">
        <f>A191+1</f>
        <v>108</v>
      </c>
      <c r="B198" s="389" t="s">
        <v>2904</v>
      </c>
      <c r="C198" s="237">
        <f>C$191*C167</f>
        <v>6357.4028784232596</v>
      </c>
      <c r="D198" s="237">
        <f t="shared" ref="D198:L198" si="54">D$191*D167</f>
        <v>36710.988763188951</v>
      </c>
      <c r="E198" s="237">
        <f t="shared" si="54"/>
        <v>2666549.086335727</v>
      </c>
      <c r="F198" s="237">
        <f t="shared" si="54"/>
        <v>6802867.6823319895</v>
      </c>
      <c r="G198" s="237">
        <f t="shared" si="54"/>
        <v>-2160615.9234384545</v>
      </c>
      <c r="H198" s="237">
        <f t="shared" si="54"/>
        <v>599334.753475048</v>
      </c>
      <c r="I198" s="237">
        <f t="shared" si="54"/>
        <v>170405.00831625832</v>
      </c>
      <c r="J198" s="237">
        <f t="shared" si="54"/>
        <v>0.66148956056029617</v>
      </c>
      <c r="K198" s="237">
        <f t="shared" si="54"/>
        <v>0</v>
      </c>
      <c r="L198" s="237">
        <f t="shared" si="54"/>
        <v>-549.04206735199591</v>
      </c>
      <c r="M198" s="237">
        <f t="shared" ref="M198:M210" si="55">SUM(C198:L198)</f>
        <v>8121060.6180843897</v>
      </c>
    </row>
    <row r="199" spans="1:13">
      <c r="A199" s="2">
        <f t="shared" ref="A199:A210" si="56">A198+1</f>
        <v>109</v>
      </c>
      <c r="B199" s="389" t="s">
        <v>2905</v>
      </c>
      <c r="C199" s="237">
        <f t="shared" ref="C199:L209" si="57">C$191*C168</f>
        <v>1.0241814247287357E-7</v>
      </c>
      <c r="D199" s="237">
        <f t="shared" si="57"/>
        <v>-4496.8775374432216</v>
      </c>
      <c r="E199" s="237">
        <f t="shared" si="57"/>
        <v>1310147.8664939168</v>
      </c>
      <c r="F199" s="237">
        <f t="shared" si="57"/>
        <v>5478134.1636231272</v>
      </c>
      <c r="G199" s="237">
        <f t="shared" si="57"/>
        <v>534282.16098076291</v>
      </c>
      <c r="H199" s="237">
        <f t="shared" si="57"/>
        <v>1232834.8967928935</v>
      </c>
      <c r="I199" s="237">
        <f t="shared" si="57"/>
        <v>765577.75056014291</v>
      </c>
      <c r="J199" s="237">
        <f t="shared" si="57"/>
        <v>-0.64947830279162533</v>
      </c>
      <c r="K199" s="237">
        <f t="shared" si="57"/>
        <v>0</v>
      </c>
      <c r="L199" s="237">
        <f t="shared" si="57"/>
        <v>-689965.6243021579</v>
      </c>
      <c r="M199" s="237">
        <f t="shared" si="55"/>
        <v>8626513.6871330403</v>
      </c>
    </row>
    <row r="200" spans="1:13">
      <c r="A200" s="2">
        <f t="shared" si="56"/>
        <v>110</v>
      </c>
      <c r="B200" s="389" t="s">
        <v>2906</v>
      </c>
      <c r="C200" s="237">
        <f t="shared" si="57"/>
        <v>0</v>
      </c>
      <c r="D200" s="237">
        <f t="shared" si="57"/>
        <v>1763.2011249806376</v>
      </c>
      <c r="E200" s="237">
        <f t="shared" si="57"/>
        <v>1692362.855849111</v>
      </c>
      <c r="F200" s="237">
        <f t="shared" si="57"/>
        <v>1496310.1581801942</v>
      </c>
      <c r="G200" s="237">
        <f t="shared" si="57"/>
        <v>7486571.5212947996</v>
      </c>
      <c r="H200" s="237">
        <f t="shared" si="57"/>
        <v>1306166.3391460082</v>
      </c>
      <c r="I200" s="237">
        <f t="shared" si="57"/>
        <v>-1508852.9941492779</v>
      </c>
      <c r="J200" s="237">
        <f t="shared" si="57"/>
        <v>-9.9223433876529418E-2</v>
      </c>
      <c r="K200" s="237">
        <f t="shared" si="57"/>
        <v>0</v>
      </c>
      <c r="L200" s="237">
        <f t="shared" si="57"/>
        <v>994.61025536255715</v>
      </c>
      <c r="M200" s="237">
        <f t="shared" si="55"/>
        <v>10475315.592477746</v>
      </c>
    </row>
    <row r="201" spans="1:13">
      <c r="A201" s="2">
        <f t="shared" si="56"/>
        <v>111</v>
      </c>
      <c r="B201" s="389" t="s">
        <v>2907</v>
      </c>
      <c r="C201" s="237">
        <f t="shared" si="57"/>
        <v>-5.1209071236436786E-7</v>
      </c>
      <c r="D201" s="237">
        <f t="shared" si="57"/>
        <v>7012.2920897126423</v>
      </c>
      <c r="E201" s="237">
        <f t="shared" si="57"/>
        <v>994440.34424546664</v>
      </c>
      <c r="F201" s="237">
        <f t="shared" si="57"/>
        <v>3155086.3248766158</v>
      </c>
      <c r="G201" s="237">
        <f t="shared" si="57"/>
        <v>-1982228.7185823962</v>
      </c>
      <c r="H201" s="237">
        <f t="shared" si="57"/>
        <v>-4270662.1845145887</v>
      </c>
      <c r="I201" s="237">
        <f t="shared" si="57"/>
        <v>-23839.153749659898</v>
      </c>
      <c r="J201" s="237">
        <f t="shared" si="57"/>
        <v>-2.5489977988835659</v>
      </c>
      <c r="K201" s="237">
        <f t="shared" si="57"/>
        <v>0</v>
      </c>
      <c r="L201" s="237">
        <f t="shared" si="57"/>
        <v>-7688.6292518281525</v>
      </c>
      <c r="M201" s="237">
        <f t="shared" si="55"/>
        <v>-2127882.2738849893</v>
      </c>
    </row>
    <row r="202" spans="1:13">
      <c r="A202" s="2">
        <f t="shared" si="56"/>
        <v>112</v>
      </c>
      <c r="B202" s="389" t="s">
        <v>2908</v>
      </c>
      <c r="C202" s="237">
        <f t="shared" si="57"/>
        <v>9020.342001303783</v>
      </c>
      <c r="D202" s="237">
        <f t="shared" si="57"/>
        <v>1523143.4784064598</v>
      </c>
      <c r="E202" s="237">
        <f t="shared" si="57"/>
        <v>5404140.5512622716</v>
      </c>
      <c r="F202" s="237">
        <f t="shared" si="57"/>
        <v>5893053.0557091804</v>
      </c>
      <c r="G202" s="237">
        <f t="shared" si="57"/>
        <v>1246200.2374248703</v>
      </c>
      <c r="H202" s="237">
        <f t="shared" si="57"/>
        <v>1563486.1231589743</v>
      </c>
      <c r="I202" s="237">
        <f t="shared" si="57"/>
        <v>2991428.946684205</v>
      </c>
      <c r="J202" s="237">
        <f t="shared" si="57"/>
        <v>-0.14187210270513878</v>
      </c>
      <c r="K202" s="237">
        <f t="shared" si="57"/>
        <v>0</v>
      </c>
      <c r="L202" s="237">
        <f t="shared" si="57"/>
        <v>-3118.167085181577</v>
      </c>
      <c r="M202" s="237">
        <f t="shared" si="55"/>
        <v>18627354.42568998</v>
      </c>
    </row>
    <row r="203" spans="1:13">
      <c r="A203" s="2">
        <f t="shared" si="56"/>
        <v>113</v>
      </c>
      <c r="B203" s="389" t="s">
        <v>2909</v>
      </c>
      <c r="C203" s="237">
        <f t="shared" si="57"/>
        <v>81350.78323985415</v>
      </c>
      <c r="D203" s="237">
        <f t="shared" si="57"/>
        <v>17518.99972183679</v>
      </c>
      <c r="E203" s="237">
        <f t="shared" si="57"/>
        <v>6614338.4500656566</v>
      </c>
      <c r="F203" s="237">
        <f t="shared" si="57"/>
        <v>-2343601.9064207594</v>
      </c>
      <c r="G203" s="237">
        <f t="shared" si="57"/>
        <v>632424.29863399873</v>
      </c>
      <c r="H203" s="237">
        <f t="shared" si="57"/>
        <v>5336611.8953922112</v>
      </c>
      <c r="I203" s="237">
        <f t="shared" si="57"/>
        <v>257458.42966872576</v>
      </c>
      <c r="J203" s="237">
        <f t="shared" si="57"/>
        <v>576.87895309742157</v>
      </c>
      <c r="K203" s="237">
        <f t="shared" si="57"/>
        <v>0</v>
      </c>
      <c r="L203" s="237">
        <f t="shared" si="57"/>
        <v>8621.2052666359596</v>
      </c>
      <c r="M203" s="237">
        <f t="shared" si="55"/>
        <v>10605299.034521258</v>
      </c>
    </row>
    <row r="204" spans="1:13">
      <c r="A204" s="2">
        <f t="shared" si="56"/>
        <v>114</v>
      </c>
      <c r="B204" s="389" t="s">
        <v>2910</v>
      </c>
      <c r="C204" s="237">
        <f t="shared" si="57"/>
        <v>2712.425913017214</v>
      </c>
      <c r="D204" s="237">
        <f t="shared" si="57"/>
        <v>11100.971368531593</v>
      </c>
      <c r="E204" s="237">
        <f t="shared" si="57"/>
        <v>1722148.6033281824</v>
      </c>
      <c r="F204" s="237">
        <f t="shared" si="57"/>
        <v>3778191.9299504333</v>
      </c>
      <c r="G204" s="237">
        <f t="shared" si="57"/>
        <v>2193884.3060696865</v>
      </c>
      <c r="H204" s="237">
        <f t="shared" si="57"/>
        <v>1162660.7189399048</v>
      </c>
      <c r="I204" s="237">
        <f t="shared" si="57"/>
        <v>1221854.9186189699</v>
      </c>
      <c r="J204" s="237">
        <f t="shared" si="57"/>
        <v>-1511.7778158955091</v>
      </c>
      <c r="K204" s="237">
        <f t="shared" si="57"/>
        <v>0</v>
      </c>
      <c r="L204" s="237">
        <f t="shared" si="57"/>
        <v>-2395.345174883907</v>
      </c>
      <c r="M204" s="237">
        <f t="shared" si="55"/>
        <v>10088646.751197945</v>
      </c>
    </row>
    <row r="205" spans="1:13">
      <c r="A205" s="2">
        <f t="shared" si="56"/>
        <v>115</v>
      </c>
      <c r="B205" s="389" t="s">
        <v>2911</v>
      </c>
      <c r="C205" s="237">
        <f t="shared" si="57"/>
        <v>22698.765517086478</v>
      </c>
      <c r="D205" s="237">
        <f t="shared" si="57"/>
        <v>13383.659720478565</v>
      </c>
      <c r="E205" s="237">
        <f t="shared" si="57"/>
        <v>2369247.5180222318</v>
      </c>
      <c r="F205" s="237">
        <f t="shared" si="57"/>
        <v>-741335.67120346788</v>
      </c>
      <c r="G205" s="237">
        <f t="shared" si="57"/>
        <v>-59838.32090024442</v>
      </c>
      <c r="H205" s="237">
        <f t="shared" si="57"/>
        <v>1140358.7244501954</v>
      </c>
      <c r="I205" s="237">
        <f t="shared" si="57"/>
        <v>301618.85118596436</v>
      </c>
      <c r="J205" s="237">
        <f t="shared" si="57"/>
        <v>2.3552509882024646</v>
      </c>
      <c r="K205" s="237">
        <f t="shared" si="57"/>
        <v>0</v>
      </c>
      <c r="L205" s="237">
        <f t="shared" si="57"/>
        <v>-37.719941358587384</v>
      </c>
      <c r="M205" s="237">
        <f t="shared" si="55"/>
        <v>3046098.1621018737</v>
      </c>
    </row>
    <row r="206" spans="1:13">
      <c r="A206" s="2">
        <f t="shared" si="56"/>
        <v>116</v>
      </c>
      <c r="B206" s="389" t="s">
        <v>2912</v>
      </c>
      <c r="C206" s="237">
        <f t="shared" si="57"/>
        <v>724299.37178614072</v>
      </c>
      <c r="D206" s="237">
        <f t="shared" si="57"/>
        <v>20011.746807998192</v>
      </c>
      <c r="E206" s="237">
        <f t="shared" si="57"/>
        <v>186673.89042856658</v>
      </c>
      <c r="F206" s="237">
        <f t="shared" si="57"/>
        <v>2452886.2899453249</v>
      </c>
      <c r="G206" s="237">
        <f t="shared" si="57"/>
        <v>105531.6733341557</v>
      </c>
      <c r="H206" s="237">
        <f t="shared" si="57"/>
        <v>2187402.5396385603</v>
      </c>
      <c r="I206" s="237">
        <f t="shared" si="57"/>
        <v>-2881207.7893186612</v>
      </c>
      <c r="J206" s="237">
        <f t="shared" si="57"/>
        <v>-0.31229270302301576</v>
      </c>
      <c r="K206" s="237">
        <f t="shared" si="57"/>
        <v>0</v>
      </c>
      <c r="L206" s="237">
        <f t="shared" si="57"/>
        <v>232065.4019439012</v>
      </c>
      <c r="M206" s="237">
        <f t="shared" si="55"/>
        <v>3027662.8122732826</v>
      </c>
    </row>
    <row r="207" spans="1:13">
      <c r="A207" s="2">
        <f t="shared" si="56"/>
        <v>117</v>
      </c>
      <c r="B207" s="389" t="s">
        <v>2913</v>
      </c>
      <c r="C207" s="237">
        <f t="shared" si="57"/>
        <v>82327.872404267284</v>
      </c>
      <c r="D207" s="237">
        <f t="shared" si="57"/>
        <v>-18256.910097356213</v>
      </c>
      <c r="E207" s="237">
        <f t="shared" si="57"/>
        <v>247964.34737584801</v>
      </c>
      <c r="F207" s="237">
        <f t="shared" si="57"/>
        <v>4444796.1843840582</v>
      </c>
      <c r="G207" s="237">
        <f t="shared" si="57"/>
        <v>2538021.4820358134</v>
      </c>
      <c r="H207" s="237">
        <f t="shared" si="57"/>
        <v>2392075.2194926366</v>
      </c>
      <c r="I207" s="237">
        <f t="shared" si="57"/>
        <v>-5581972.8025222626</v>
      </c>
      <c r="J207" s="237">
        <f t="shared" si="57"/>
        <v>-1.2185332765231236E-3</v>
      </c>
      <c r="K207" s="237">
        <f t="shared" si="57"/>
        <v>0</v>
      </c>
      <c r="L207" s="237">
        <f t="shared" si="57"/>
        <v>-2263.8962248930898</v>
      </c>
      <c r="M207" s="237">
        <f t="shared" si="55"/>
        <v>4102691.4956295793</v>
      </c>
    </row>
    <row r="208" spans="1:13">
      <c r="A208" s="2">
        <f t="shared" si="56"/>
        <v>118</v>
      </c>
      <c r="B208" s="389" t="s">
        <v>2914</v>
      </c>
      <c r="C208" s="237">
        <f t="shared" si="57"/>
        <v>-2038679.22036899</v>
      </c>
      <c r="D208" s="237">
        <f t="shared" si="57"/>
        <v>-13020.848006344353</v>
      </c>
      <c r="E208" s="237">
        <f t="shared" si="57"/>
        <v>2520039.6016386105</v>
      </c>
      <c r="F208" s="237">
        <f t="shared" si="57"/>
        <v>8387078.5491752224</v>
      </c>
      <c r="G208" s="237">
        <f t="shared" si="57"/>
        <v>1196975.0027959631</v>
      </c>
      <c r="H208" s="237">
        <f t="shared" si="57"/>
        <v>1303824.1400960602</v>
      </c>
      <c r="I208" s="237">
        <f t="shared" si="57"/>
        <v>176419.79576796709</v>
      </c>
      <c r="J208" s="237">
        <f t="shared" si="57"/>
        <v>-1.0444572423876784E-3</v>
      </c>
      <c r="K208" s="237">
        <f t="shared" si="57"/>
        <v>0</v>
      </c>
      <c r="L208" s="237">
        <f t="shared" si="57"/>
        <v>-868.1037151870562</v>
      </c>
      <c r="M208" s="237">
        <f t="shared" si="55"/>
        <v>11531768.916338844</v>
      </c>
    </row>
    <row r="209" spans="1:42">
      <c r="A209" s="2">
        <f t="shared" si="56"/>
        <v>119</v>
      </c>
      <c r="B209" s="389" t="s">
        <v>2915</v>
      </c>
      <c r="C209" s="53">
        <f t="shared" si="57"/>
        <v>2.0483628494574714E-7</v>
      </c>
      <c r="D209" s="53">
        <f t="shared" si="57"/>
        <v>420.40456168569733</v>
      </c>
      <c r="E209" s="53">
        <f t="shared" si="57"/>
        <v>1000889.1523966374</v>
      </c>
      <c r="F209" s="53">
        <f t="shared" si="57"/>
        <v>12658564.99931551</v>
      </c>
      <c r="G209" s="53">
        <f t="shared" si="57"/>
        <v>2185367.8917852654</v>
      </c>
      <c r="H209" s="53">
        <f t="shared" si="57"/>
        <v>1911169.2355860423</v>
      </c>
      <c r="I209" s="53">
        <f t="shared" si="57"/>
        <v>-941438.86473077559</v>
      </c>
      <c r="J209" s="53">
        <f t="shared" si="57"/>
        <v>-1.0444572423876785E-2</v>
      </c>
      <c r="K209" s="53">
        <f t="shared" si="57"/>
        <v>0</v>
      </c>
      <c r="L209" s="53">
        <f t="shared" si="57"/>
        <v>-240.96273396439543</v>
      </c>
      <c r="M209" s="53">
        <f t="shared" si="55"/>
        <v>16814731.84573603</v>
      </c>
    </row>
    <row r="210" spans="1:42">
      <c r="A210" s="2">
        <f t="shared" si="56"/>
        <v>120</v>
      </c>
      <c r="B210" s="564" t="s">
        <v>402</v>
      </c>
      <c r="C210" s="115">
        <f t="shared" ref="C210:L210" si="58">SUM(C198:C209)</f>
        <v>-1109912.2566291019</v>
      </c>
      <c r="D210" s="115">
        <f t="shared" si="58"/>
        <v>1595291.1069237292</v>
      </c>
      <c r="E210" s="115">
        <f t="shared" si="58"/>
        <v>26728942.267442226</v>
      </c>
      <c r="F210" s="115">
        <f t="shared" si="58"/>
        <v>51462031.759867422</v>
      </c>
      <c r="G210" s="115">
        <f t="shared" si="58"/>
        <v>13916575.611434219</v>
      </c>
      <c r="H210" s="115">
        <f t="shared" si="58"/>
        <v>15865262.401653947</v>
      </c>
      <c r="I210" s="115">
        <f t="shared" si="58"/>
        <v>-5052547.9036684036</v>
      </c>
      <c r="J210" s="115">
        <f t="shared" si="58"/>
        <v>-935.64669415354751</v>
      </c>
      <c r="K210" s="115">
        <f t="shared" si="58"/>
        <v>0</v>
      </c>
      <c r="L210" s="115">
        <f t="shared" si="58"/>
        <v>-465446.27303090692</v>
      </c>
      <c r="M210" s="237">
        <f t="shared" si="55"/>
        <v>102939261.06729898</v>
      </c>
    </row>
    <row r="212" spans="1:42">
      <c r="B212" s="202" t="s">
        <v>226</v>
      </c>
    </row>
    <row r="213" spans="1:42">
      <c r="B213" s="235" t="s">
        <v>676</v>
      </c>
    </row>
    <row r="214" spans="1:42">
      <c r="B214" s="487" t="s">
        <v>677</v>
      </c>
      <c r="C214" s="235"/>
      <c r="D214" s="235"/>
      <c r="E214" s="235"/>
      <c r="F214" s="235"/>
      <c r="G214" s="235"/>
      <c r="H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row>
    <row r="215" spans="1:42">
      <c r="B215" t="s">
        <v>678</v>
      </c>
    </row>
    <row r="216" spans="1:42">
      <c r="B216" s="234" t="s">
        <v>679</v>
      </c>
    </row>
    <row r="217" spans="1:42">
      <c r="B217" s="234" t="s">
        <v>680</v>
      </c>
    </row>
    <row r="218" spans="1:42">
      <c r="B218" s="12" t="s">
        <v>681</v>
      </c>
    </row>
    <row r="219" spans="1:42">
      <c r="B219" s="235" t="s">
        <v>682</v>
      </c>
    </row>
    <row r="220" spans="1:42">
      <c r="B220" s="234" t="s">
        <v>683</v>
      </c>
    </row>
    <row r="221" spans="1:42">
      <c r="B221" s="234" t="s">
        <v>684</v>
      </c>
    </row>
    <row r="222" spans="1:42">
      <c r="B222" s="234" t="s">
        <v>685</v>
      </c>
    </row>
    <row r="223" spans="1:42">
      <c r="B223" s="235" t="str">
        <f>"2) Amounts on Line "&amp;A35&amp;" must match 6-Plant Study amounts for Distribution Plant - ISO for previous year."</f>
        <v>2) Amounts on Line 15 must match 6-Plant Study amounts for Distribution Plant - ISO for previous year.</v>
      </c>
    </row>
    <row r="224" spans="1:42">
      <c r="B224" s="234" t="str">
        <f>"Amounts on Line "&amp;A36&amp;" must match amounts on 6-PlantStudy for Distribution Plant - ISO."</f>
        <v>Amounts on Line 16 must match amounts on 6-PlantStudy for Distribution Plant - ISO.</v>
      </c>
    </row>
    <row r="225" spans="2:9">
      <c r="B225" s="576" t="s">
        <v>686</v>
      </c>
      <c r="H225" s="242" t="s">
        <v>630</v>
      </c>
      <c r="I225" s="669"/>
    </row>
    <row r="226" spans="2:9">
      <c r="B226" s="235" t="s">
        <v>687</v>
      </c>
    </row>
    <row r="227" spans="2:9">
      <c r="B227" s="235" t="s">
        <v>688</v>
      </c>
    </row>
    <row r="228" spans="2:9">
      <c r="B228" s="235" t="s">
        <v>689</v>
      </c>
    </row>
    <row r="229" spans="2:9">
      <c r="B229" s="235" t="s">
        <v>690</v>
      </c>
    </row>
    <row r="230" spans="2:9">
      <c r="B230" s="235" t="s">
        <v>691</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35" t="str">
        <f>"12) For each column (FERC Account) divide Line "&amp;A191&amp;" by Line "&amp;A162&amp;" to arrive at a ratio for each column."</f>
        <v>12) For each column (FERC Account) divide Line 107 by Line 92 to arrive at a ratio for each column.</v>
      </c>
    </row>
    <row r="235" spans="2:9">
      <c r="B235" s="234" t="str">
        <f>"Apply the ratio of each column to each monthly value from Lines "&amp;A150&amp;"-"&amp;A161&amp;" to calculate the values for"</f>
        <v>Apply the ratio of each column to each monthly value from Lines 80-91 to calculate the values for</v>
      </c>
    </row>
    <row r="236" spans="2:9">
      <c r="B236" s="234"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&amp;RTO2025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2.75"/>
  <cols>
    <col min="1" max="1" width="4.5703125" customWidth="1"/>
    <col min="2" max="2" width="25.5703125" style="66" customWidth="1"/>
    <col min="3" max="4" width="15.5703125" style="66" customWidth="1"/>
    <col min="5" max="5" width="24.140625" style="66" bestFit="1" customWidth="1"/>
    <col min="6" max="6" width="12.42578125" style="66" customWidth="1"/>
    <col min="8" max="8" width="15.5703125" customWidth="1"/>
  </cols>
  <sheetData>
    <row r="1" spans="1:8">
      <c r="A1" s="1" t="s">
        <v>692</v>
      </c>
      <c r="B1" s="96"/>
      <c r="C1" s="96"/>
      <c r="D1" s="96"/>
      <c r="E1" s="97" t="s">
        <v>693</v>
      </c>
      <c r="F1" s="104"/>
      <c r="G1" s="235"/>
    </row>
    <row r="2" spans="1:8">
      <c r="B2" s="675" t="s">
        <v>193</v>
      </c>
      <c r="C2" s="261" t="s">
        <v>694</v>
      </c>
      <c r="G2" s="235"/>
    </row>
    <row r="3" spans="1:8">
      <c r="A3" s="91" t="s">
        <v>695</v>
      </c>
      <c r="B3" s="96"/>
      <c r="C3" s="96"/>
      <c r="D3" s="96"/>
      <c r="E3" s="488" t="s">
        <v>634</v>
      </c>
      <c r="F3" s="817">
        <v>2023</v>
      </c>
      <c r="G3" s="235"/>
    </row>
    <row r="4" spans="1:8">
      <c r="A4" s="91"/>
      <c r="B4" s="96"/>
      <c r="C4" s="96"/>
      <c r="D4" s="96"/>
      <c r="E4" s="96"/>
      <c r="F4" s="96"/>
      <c r="G4" s="235"/>
    </row>
    <row r="5" spans="1:8">
      <c r="B5" s="91"/>
      <c r="C5" s="48" t="s">
        <v>329</v>
      </c>
      <c r="E5" s="48" t="s">
        <v>330</v>
      </c>
      <c r="F5" s="48" t="s">
        <v>331</v>
      </c>
      <c r="G5" s="235"/>
    </row>
    <row r="6" spans="1:8">
      <c r="B6" s="91"/>
      <c r="C6" s="48"/>
      <c r="E6" s="48"/>
      <c r="F6" s="48"/>
      <c r="G6" s="235"/>
    </row>
    <row r="7" spans="1:8">
      <c r="A7" s="30" t="s">
        <v>266</v>
      </c>
      <c r="B7" s="91"/>
      <c r="C7" s="95" t="s">
        <v>244</v>
      </c>
      <c r="D7" s="95"/>
      <c r="E7" s="95" t="s">
        <v>696</v>
      </c>
      <c r="F7" s="95" t="s">
        <v>697</v>
      </c>
      <c r="G7" s="235"/>
    </row>
    <row r="8" spans="1:8">
      <c r="A8" s="2">
        <v>1</v>
      </c>
      <c r="B8" s="90" t="s">
        <v>698</v>
      </c>
      <c r="C8" s="90" t="s">
        <v>652</v>
      </c>
      <c r="D8" s="90" t="s">
        <v>699</v>
      </c>
      <c r="E8" s="90" t="s">
        <v>700</v>
      </c>
      <c r="F8" s="90" t="s">
        <v>701</v>
      </c>
      <c r="G8" s="90" t="s">
        <v>100</v>
      </c>
    </row>
    <row r="9" spans="1:8" ht="12.75" customHeight="1">
      <c r="A9" s="2">
        <f>A8+1</f>
        <v>2</v>
      </c>
      <c r="B9" s="91" t="s">
        <v>702</v>
      </c>
      <c r="C9" s="879"/>
      <c r="D9" s="879"/>
      <c r="E9" s="879"/>
      <c r="F9" s="880"/>
      <c r="G9" s="235"/>
    </row>
    <row r="10" spans="1:8">
      <c r="A10" s="2">
        <f t="shared" ref="A10:A28" si="0">A9+1</f>
        <v>3</v>
      </c>
      <c r="B10" s="1042">
        <v>352</v>
      </c>
      <c r="C10" s="255">
        <v>1452514877</v>
      </c>
      <c r="D10" s="269" t="s">
        <v>703</v>
      </c>
      <c r="E10" s="809">
        <v>936218418.31468368</v>
      </c>
      <c r="F10" s="881">
        <f>E10/C10</f>
        <v>0.64454996856784941</v>
      </c>
      <c r="G10" s="235"/>
      <c r="H10" s="511"/>
    </row>
    <row r="11" spans="1:8">
      <c r="A11" s="2">
        <f t="shared" si="0"/>
        <v>4</v>
      </c>
      <c r="B11" s="1042">
        <v>353</v>
      </c>
      <c r="C11" s="61">
        <v>7886819048</v>
      </c>
      <c r="D11" s="269" t="s">
        <v>704</v>
      </c>
      <c r="E11" s="201">
        <v>4482729299.8015165</v>
      </c>
      <c r="F11" s="87">
        <f>E11/C11</f>
        <v>0.56838242040538278</v>
      </c>
      <c r="G11" s="235"/>
      <c r="H11" s="235"/>
    </row>
    <row r="12" spans="1:8">
      <c r="A12" s="2">
        <f t="shared" si="0"/>
        <v>5</v>
      </c>
      <c r="B12" s="92" t="s">
        <v>705</v>
      </c>
      <c r="C12" s="882">
        <f>SUM(C10:C11)</f>
        <v>9339333925</v>
      </c>
      <c r="D12" s="234" t="str">
        <f>"L "&amp;A10&amp;" + L "&amp;A11&amp;""</f>
        <v>L 3 + L 4</v>
      </c>
      <c r="E12" s="882">
        <f>SUM(E10:E11)</f>
        <v>5418947718.1162004</v>
      </c>
      <c r="F12" s="881">
        <f>E12/C12</f>
        <v>0.58022850040841645</v>
      </c>
      <c r="G12" s="235"/>
    </row>
    <row r="13" spans="1:8">
      <c r="A13" s="2">
        <f t="shared" si="0"/>
        <v>6</v>
      </c>
      <c r="B13" s="1043"/>
      <c r="C13" s="883"/>
      <c r="D13" s="883"/>
      <c r="E13" s="882"/>
      <c r="F13" s="881"/>
      <c r="G13" s="235"/>
    </row>
    <row r="14" spans="1:8">
      <c r="A14" s="2">
        <f t="shared" si="0"/>
        <v>7</v>
      </c>
      <c r="B14" s="1044" t="s">
        <v>706</v>
      </c>
      <c r="C14" s="98"/>
      <c r="D14" s="98"/>
      <c r="E14" s="1004"/>
      <c r="F14" s="99"/>
      <c r="G14" s="235"/>
    </row>
    <row r="15" spans="1:8">
      <c r="A15" s="2">
        <f t="shared" si="0"/>
        <v>8</v>
      </c>
      <c r="B15" s="1042">
        <v>350</v>
      </c>
      <c r="C15" s="387">
        <v>390235190</v>
      </c>
      <c r="D15" s="269" t="s">
        <v>707</v>
      </c>
      <c r="E15" s="810">
        <v>284051410.47540128</v>
      </c>
      <c r="F15" s="881">
        <f>E15/C15</f>
        <v>0.72789799012078149</v>
      </c>
      <c r="G15" s="235"/>
      <c r="H15" s="235"/>
    </row>
    <row r="16" spans="1:8">
      <c r="A16" s="2">
        <f t="shared" si="0"/>
        <v>9</v>
      </c>
      <c r="B16" s="1042"/>
      <c r="C16" s="882"/>
      <c r="D16" s="882"/>
      <c r="E16" s="882"/>
      <c r="F16" s="881"/>
      <c r="G16" s="235"/>
    </row>
    <row r="17" spans="1:8">
      <c r="A17" s="2">
        <f t="shared" si="0"/>
        <v>10</v>
      </c>
      <c r="B17" s="1044" t="s">
        <v>708</v>
      </c>
      <c r="C17" s="882">
        <f>C12+C15</f>
        <v>9729569115</v>
      </c>
      <c r="D17" s="234" t="str">
        <f>"L "&amp;A12&amp;" + L "&amp;A15&amp;""</f>
        <v>L 5 + L 8</v>
      </c>
      <c r="E17" s="882">
        <f>E12+E15</f>
        <v>5702999128.5916014</v>
      </c>
      <c r="F17" s="881">
        <f>E17/C17</f>
        <v>0.58615125307032689</v>
      </c>
      <c r="G17" s="235"/>
    </row>
    <row r="18" spans="1:8">
      <c r="A18" s="2">
        <f t="shared" si="0"/>
        <v>11</v>
      </c>
      <c r="B18" s="1043"/>
      <c r="C18" s="883"/>
      <c r="D18" s="883"/>
      <c r="E18" s="882"/>
      <c r="F18" s="881"/>
      <c r="G18" s="235"/>
    </row>
    <row r="19" spans="1:8">
      <c r="A19" s="2">
        <f t="shared" si="0"/>
        <v>12</v>
      </c>
      <c r="B19" s="1044" t="s">
        <v>709</v>
      </c>
      <c r="C19" s="883"/>
      <c r="D19" s="883"/>
      <c r="E19" s="882"/>
      <c r="F19" s="881"/>
      <c r="G19" s="235"/>
    </row>
    <row r="20" spans="1:8">
      <c r="A20" s="2">
        <f t="shared" si="0"/>
        <v>13</v>
      </c>
      <c r="B20" s="1042">
        <v>354</v>
      </c>
      <c r="C20" s="392">
        <v>2614263737</v>
      </c>
      <c r="D20" s="269" t="s">
        <v>710</v>
      </c>
      <c r="E20" s="810">
        <v>2512776503.7365317</v>
      </c>
      <c r="F20" s="884">
        <f>E20/C20</f>
        <v>0.96117942048956007</v>
      </c>
      <c r="G20" s="235"/>
      <c r="H20" s="235"/>
    </row>
    <row r="21" spans="1:8">
      <c r="A21" s="2">
        <f t="shared" si="0"/>
        <v>14</v>
      </c>
      <c r="B21" s="1042">
        <v>355</v>
      </c>
      <c r="C21" s="392">
        <v>2482407376</v>
      </c>
      <c r="D21" s="269" t="s">
        <v>711</v>
      </c>
      <c r="E21" s="810">
        <v>647749642.71152496</v>
      </c>
      <c r="F21" s="884">
        <f t="shared" ref="F21:F26" si="1">E21/C21</f>
        <v>0.2609360772023121</v>
      </c>
      <c r="G21" s="235"/>
      <c r="H21" s="235"/>
    </row>
    <row r="22" spans="1:8">
      <c r="A22" s="2">
        <f t="shared" si="0"/>
        <v>15</v>
      </c>
      <c r="B22" s="1042">
        <v>356</v>
      </c>
      <c r="C22" s="392">
        <v>2186903951</v>
      </c>
      <c r="D22" s="269" t="s">
        <v>712</v>
      </c>
      <c r="E22" s="810">
        <v>1690959761.9104967</v>
      </c>
      <c r="F22" s="884">
        <f t="shared" si="1"/>
        <v>0.77322086374084964</v>
      </c>
      <c r="G22" s="235"/>
      <c r="H22" s="235"/>
    </row>
    <row r="23" spans="1:8">
      <c r="A23" s="2">
        <f t="shared" si="0"/>
        <v>16</v>
      </c>
      <c r="B23" s="1042">
        <v>357</v>
      </c>
      <c r="C23" s="392">
        <v>330194712</v>
      </c>
      <c r="D23" s="269" t="s">
        <v>713</v>
      </c>
      <c r="E23" s="810">
        <v>215307591.14567745</v>
      </c>
      <c r="F23" s="884">
        <f t="shared" si="1"/>
        <v>0.65206250530649756</v>
      </c>
      <c r="G23" s="235"/>
      <c r="H23" s="235"/>
    </row>
    <row r="24" spans="1:8">
      <c r="A24" s="2">
        <f t="shared" si="0"/>
        <v>17</v>
      </c>
      <c r="B24" s="1042">
        <v>358</v>
      </c>
      <c r="C24" s="392">
        <v>455498400</v>
      </c>
      <c r="D24" s="269" t="s">
        <v>714</v>
      </c>
      <c r="E24" s="810">
        <v>58752899.030000001</v>
      </c>
      <c r="F24" s="884">
        <f t="shared" si="1"/>
        <v>0.12898596137769089</v>
      </c>
      <c r="G24" s="235"/>
      <c r="H24" s="235"/>
    </row>
    <row r="25" spans="1:8">
      <c r="A25" s="2">
        <f t="shared" si="0"/>
        <v>18</v>
      </c>
      <c r="B25" s="1042">
        <v>359</v>
      </c>
      <c r="C25" s="100">
        <v>252459077</v>
      </c>
      <c r="D25" s="269" t="s">
        <v>715</v>
      </c>
      <c r="E25" s="1005">
        <v>226060419.8889825</v>
      </c>
      <c r="F25" s="101">
        <f t="shared" si="1"/>
        <v>0.89543391576680165</v>
      </c>
      <c r="G25" s="235"/>
      <c r="H25" s="235"/>
    </row>
    <row r="26" spans="1:8">
      <c r="A26" s="2">
        <f t="shared" si="0"/>
        <v>19</v>
      </c>
      <c r="B26" s="92" t="s">
        <v>716</v>
      </c>
      <c r="C26" s="882">
        <f>SUM(C20:C25)</f>
        <v>8321727253</v>
      </c>
      <c r="D26" s="885" t="str">
        <f>"Sum L"&amp;A20&amp;" to L"&amp;A25&amp;""</f>
        <v>Sum L13 to L18</v>
      </c>
      <c r="E26" s="882">
        <f>SUM(E20:E25)</f>
        <v>5351606818.423213</v>
      </c>
      <c r="F26" s="881">
        <f t="shared" si="1"/>
        <v>0.64308846657933272</v>
      </c>
      <c r="G26" s="235"/>
    </row>
    <row r="27" spans="1:8">
      <c r="A27" s="2">
        <f t="shared" si="0"/>
        <v>20</v>
      </c>
      <c r="B27" s="102"/>
      <c r="C27" s="882"/>
      <c r="D27" s="882"/>
      <c r="E27" s="882"/>
      <c r="F27" s="881"/>
      <c r="G27" s="235"/>
    </row>
    <row r="28" spans="1:8">
      <c r="A28" s="2">
        <f t="shared" si="0"/>
        <v>21</v>
      </c>
      <c r="B28" s="103" t="s">
        <v>717</v>
      </c>
      <c r="C28" s="88">
        <f>C17+C26</f>
        <v>18051296368</v>
      </c>
      <c r="D28" s="234" t="str">
        <f>"L "&amp;A17&amp;" + L "&amp;A26&amp;""</f>
        <v>L 10 + L 19</v>
      </c>
      <c r="E28" s="88">
        <f>E17+E26</f>
        <v>11054605947.014814</v>
      </c>
      <c r="F28" s="89">
        <f>E28/C28</f>
        <v>0.61239955965775406</v>
      </c>
      <c r="G28" s="235" t="s">
        <v>144</v>
      </c>
    </row>
    <row r="29" spans="1:8">
      <c r="A29" s="2"/>
      <c r="B29" s="70"/>
      <c r="C29" s="67"/>
      <c r="D29" s="67"/>
      <c r="E29" s="67"/>
      <c r="F29" s="69"/>
    </row>
    <row r="30" spans="1:8">
      <c r="A30" s="2"/>
      <c r="B30" s="68"/>
      <c r="E30" s="300"/>
    </row>
    <row r="31" spans="1:8">
      <c r="A31" s="91" t="s">
        <v>718</v>
      </c>
    </row>
    <row r="32" spans="1:8">
      <c r="A32" s="2"/>
      <c r="B32" s="73"/>
    </row>
    <row r="33" spans="1:9">
      <c r="A33" s="30" t="s">
        <v>266</v>
      </c>
      <c r="B33" s="91"/>
      <c r="C33" s="95" t="s">
        <v>244</v>
      </c>
      <c r="D33" s="95"/>
      <c r="E33" s="95" t="s">
        <v>411</v>
      </c>
      <c r="F33" s="95" t="s">
        <v>697</v>
      </c>
    </row>
    <row r="34" spans="1:9">
      <c r="A34" s="2">
        <f>A28+1</f>
        <v>22</v>
      </c>
      <c r="B34" s="90" t="s">
        <v>698</v>
      </c>
      <c r="C34" s="90" t="s">
        <v>652</v>
      </c>
      <c r="D34" s="90" t="s">
        <v>699</v>
      </c>
      <c r="E34" s="90" t="s">
        <v>700</v>
      </c>
      <c r="F34" s="90" t="s">
        <v>701</v>
      </c>
    </row>
    <row r="35" spans="1:9">
      <c r="A35" s="2">
        <f t="shared" ref="A35:A42" si="2">A34+1</f>
        <v>23</v>
      </c>
      <c r="B35" s="91" t="s">
        <v>719</v>
      </c>
      <c r="C35" s="67"/>
      <c r="D35" s="67"/>
      <c r="E35" s="67"/>
      <c r="F35" s="69"/>
    </row>
    <row r="36" spans="1:9">
      <c r="A36" s="2">
        <f t="shared" si="2"/>
        <v>24</v>
      </c>
      <c r="B36" s="1042">
        <v>360</v>
      </c>
      <c r="C36" s="387">
        <v>131192053</v>
      </c>
      <c r="D36" s="269" t="s">
        <v>720</v>
      </c>
      <c r="E36" s="512">
        <v>0</v>
      </c>
      <c r="F36" s="881">
        <f>E36/C36</f>
        <v>0</v>
      </c>
      <c r="H36" s="235"/>
    </row>
    <row r="37" spans="1:9">
      <c r="A37" s="2">
        <f t="shared" si="2"/>
        <v>25</v>
      </c>
      <c r="B37" s="1044" t="s">
        <v>721</v>
      </c>
      <c r="C37" s="882"/>
      <c r="D37" s="882"/>
      <c r="E37" s="882"/>
      <c r="F37" s="881"/>
    </row>
    <row r="38" spans="1:9">
      <c r="A38" s="2">
        <f t="shared" si="2"/>
        <v>26</v>
      </c>
      <c r="B38" s="1042">
        <v>361</v>
      </c>
      <c r="C38" s="387">
        <v>1026637750</v>
      </c>
      <c r="D38" s="269" t="s">
        <v>722</v>
      </c>
      <c r="E38" s="387">
        <v>0</v>
      </c>
      <c r="F38" s="881">
        <f>E38/C38</f>
        <v>0</v>
      </c>
      <c r="H38" s="235"/>
    </row>
    <row r="39" spans="1:9">
      <c r="A39" s="2">
        <f t="shared" si="2"/>
        <v>27</v>
      </c>
      <c r="B39" s="1042">
        <v>362</v>
      </c>
      <c r="C39" s="86">
        <v>3647243936</v>
      </c>
      <c r="D39" s="269" t="s">
        <v>723</v>
      </c>
      <c r="E39" s="86">
        <v>0</v>
      </c>
      <c r="F39" s="87">
        <f>E39/C39</f>
        <v>0</v>
      </c>
      <c r="H39" s="235"/>
    </row>
    <row r="40" spans="1:9">
      <c r="A40" s="2">
        <f t="shared" si="2"/>
        <v>28</v>
      </c>
      <c r="B40" s="92" t="s">
        <v>724</v>
      </c>
      <c r="C40" s="882">
        <f>SUM(C38:C39)</f>
        <v>4673881686</v>
      </c>
      <c r="D40" s="234" t="str">
        <f>"L "&amp;A38&amp;" + L "&amp;A39&amp;""</f>
        <v>L 26 + L 27</v>
      </c>
      <c r="E40" s="882">
        <f>SUM(E38:E39)</f>
        <v>0</v>
      </c>
      <c r="F40" s="881">
        <f>E40/C40</f>
        <v>0</v>
      </c>
    </row>
    <row r="41" spans="1:9">
      <c r="A41" s="2">
        <f t="shared" si="2"/>
        <v>29</v>
      </c>
      <c r="B41" s="93"/>
      <c r="C41" s="77"/>
      <c r="D41" s="882"/>
      <c r="E41" s="882"/>
      <c r="F41" s="881"/>
    </row>
    <row r="42" spans="1:9">
      <c r="A42" s="2">
        <f t="shared" si="2"/>
        <v>30</v>
      </c>
      <c r="B42" s="94" t="s">
        <v>725</v>
      </c>
      <c r="C42" s="88">
        <f>C36+C40</f>
        <v>4805073739</v>
      </c>
      <c r="D42" s="234" t="str">
        <f>"L "&amp;A36&amp;" + L "&amp;A40&amp;""</f>
        <v>L 24 + L 28</v>
      </c>
      <c r="E42" s="88">
        <f>E36+E40</f>
        <v>0</v>
      </c>
      <c r="F42" s="89">
        <f>E42/C42</f>
        <v>0</v>
      </c>
      <c r="G42" s="235" t="s">
        <v>165</v>
      </c>
      <c r="H42" s="235"/>
    </row>
    <row r="43" spans="1:9">
      <c r="A43" s="2"/>
      <c r="B43" s="74"/>
      <c r="C43" s="75"/>
      <c r="D43" s="75"/>
      <c r="E43" s="75"/>
      <c r="F43" s="76"/>
      <c r="H43" s="607"/>
      <c r="I43" s="235"/>
    </row>
    <row r="44" spans="1:9">
      <c r="A44" s="37"/>
      <c r="E44" s="71"/>
    </row>
    <row r="45" spans="1:9">
      <c r="A45" s="47" t="s">
        <v>226</v>
      </c>
    </row>
    <row r="46" spans="1:9">
      <c r="A46" s="234" t="s">
        <v>726</v>
      </c>
      <c r="E46" s="71"/>
    </row>
    <row r="47" spans="1:9">
      <c r="A47" s="234" t="s">
        <v>727</v>
      </c>
    </row>
    <row r="48" spans="1:9">
      <c r="A48" s="234" t="s">
        <v>728</v>
      </c>
      <c r="C48" s="71"/>
      <c r="D48" s="71"/>
    </row>
    <row r="49" spans="1:4">
      <c r="A49" s="234" t="s">
        <v>729</v>
      </c>
      <c r="C49" s="72"/>
      <c r="D49" s="72"/>
    </row>
    <row r="50" spans="1:4">
      <c r="A50" s="37"/>
      <c r="C50" s="71"/>
      <c r="D50" s="71"/>
    </row>
    <row r="51" spans="1:4">
      <c r="A51" s="47" t="s">
        <v>426</v>
      </c>
    </row>
    <row r="52" spans="1:4">
      <c r="A52" s="234" t="s">
        <v>730</v>
      </c>
    </row>
    <row r="53" spans="1:4">
      <c r="A53" s="234" t="s">
        <v>731</v>
      </c>
    </row>
    <row r="54" spans="1:4">
      <c r="A54" s="234" t="s">
        <v>732</v>
      </c>
    </row>
  </sheetData>
  <pageMargins left="0.7" right="0.7" top="0.75" bottom="0.75" header="0.3" footer="0.3"/>
  <pageSetup scale="85" orientation="portrait" cellComments="asDisplayed" r:id="rId1"/>
  <headerFooter>
    <oddHeader>&amp;CSchedule 7
Transmission Plant Study Summary
&amp;RTO2025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54"/>
  <sheetViews>
    <sheetView zoomScaleNormal="100" workbookViewId="0"/>
  </sheetViews>
  <sheetFormatPr defaultColWidth="8.5703125" defaultRowHeight="12.75"/>
  <cols>
    <col min="1" max="1" width="4.5703125" customWidth="1"/>
    <col min="2" max="2" width="7.5703125" customWidth="1"/>
    <col min="3" max="3" width="10.5703125" customWidth="1"/>
    <col min="4" max="4" width="13.5703125" customWidth="1"/>
    <col min="5" max="6" width="14.5703125" customWidth="1"/>
    <col min="7" max="10" width="13.5703125" customWidth="1"/>
    <col min="11" max="12" width="11.5703125" customWidth="1"/>
    <col min="13" max="13" width="13.5703125" customWidth="1"/>
    <col min="14" max="14" width="14.5703125" customWidth="1"/>
    <col min="15" max="15" width="13.5703125" customWidth="1"/>
  </cols>
  <sheetData>
    <row r="1" spans="1:18">
      <c r="A1" s="47" t="s">
        <v>118</v>
      </c>
      <c r="B1" s="1"/>
      <c r="C1" s="113"/>
      <c r="D1" s="113"/>
      <c r="E1" s="113"/>
      <c r="F1" s="113"/>
      <c r="G1" s="113"/>
      <c r="H1" s="113"/>
      <c r="I1" s="113"/>
      <c r="J1" s="261" t="s">
        <v>693</v>
      </c>
      <c r="K1" s="104"/>
      <c r="L1" s="113"/>
      <c r="M1" s="113"/>
      <c r="N1" s="113"/>
      <c r="O1" s="113"/>
      <c r="P1" s="113"/>
      <c r="Q1" s="113"/>
      <c r="R1" s="113"/>
    </row>
    <row r="2" spans="1:18">
      <c r="A2" s="113"/>
      <c r="B2" s="113"/>
      <c r="C2" s="675" t="s">
        <v>193</v>
      </c>
      <c r="D2" s="261" t="s">
        <v>630</v>
      </c>
      <c r="E2" s="200"/>
      <c r="F2" s="113"/>
      <c r="G2" s="113"/>
      <c r="H2" s="113"/>
      <c r="I2" s="113"/>
      <c r="L2" s="113"/>
      <c r="M2" s="113"/>
      <c r="N2" s="113"/>
      <c r="O2" s="113"/>
      <c r="P2" s="113"/>
      <c r="Q2" s="113"/>
      <c r="R2" s="113"/>
    </row>
    <row r="3" spans="1:18">
      <c r="A3" s="113"/>
      <c r="B3" s="1" t="s">
        <v>733</v>
      </c>
      <c r="C3" s="113"/>
      <c r="D3" s="113"/>
      <c r="E3" s="113"/>
      <c r="F3" s="113"/>
      <c r="G3" s="114" t="s">
        <v>634</v>
      </c>
      <c r="H3" s="816">
        <v>2023</v>
      </c>
      <c r="I3" s="113"/>
      <c r="J3" s="113"/>
      <c r="K3" s="113"/>
      <c r="L3" s="113"/>
      <c r="M3" s="113"/>
      <c r="N3" s="113"/>
      <c r="O3" s="113"/>
      <c r="P3" s="113"/>
      <c r="Q3" s="113"/>
      <c r="R3" s="113"/>
    </row>
    <row r="4" spans="1:18">
      <c r="A4" s="113"/>
      <c r="B4" s="113"/>
      <c r="C4" s="113"/>
      <c r="D4" s="113"/>
      <c r="E4" s="113"/>
      <c r="F4" s="113"/>
      <c r="G4" s="113"/>
      <c r="H4" s="113"/>
      <c r="I4" s="113"/>
      <c r="J4" s="113"/>
      <c r="K4" s="113"/>
      <c r="L4" s="113"/>
      <c r="M4" s="113"/>
      <c r="N4" s="113"/>
      <c r="O4" s="113"/>
      <c r="P4" s="113"/>
      <c r="Q4" s="113"/>
      <c r="R4" s="113"/>
    </row>
    <row r="5" spans="1:18">
      <c r="A5" s="113"/>
      <c r="B5" s="113"/>
      <c r="C5" s="235" t="s">
        <v>734</v>
      </c>
      <c r="D5" s="113"/>
      <c r="E5" s="113"/>
      <c r="F5" s="113"/>
      <c r="G5" s="113"/>
      <c r="H5" s="113"/>
      <c r="I5" s="113"/>
      <c r="J5" s="235"/>
      <c r="K5" s="113"/>
      <c r="L5" s="113"/>
      <c r="M5" s="113"/>
      <c r="N5" s="113"/>
      <c r="O5" s="113"/>
      <c r="P5" s="113"/>
      <c r="Q5" s="113"/>
      <c r="R5" s="113"/>
    </row>
    <row r="6" spans="1:18">
      <c r="A6" s="113"/>
      <c r="B6" s="113"/>
      <c r="C6" s="113"/>
      <c r="D6" s="113"/>
      <c r="E6" s="113"/>
      <c r="F6" s="113"/>
      <c r="G6" s="113"/>
      <c r="H6" s="113"/>
      <c r="I6" s="113"/>
      <c r="J6" s="113"/>
      <c r="K6" s="113"/>
      <c r="L6" s="113"/>
      <c r="M6" s="113"/>
      <c r="N6" s="113"/>
      <c r="O6" s="113"/>
      <c r="P6" s="113"/>
      <c r="Q6" s="113"/>
      <c r="R6" s="113"/>
    </row>
    <row r="7" spans="1:18">
      <c r="A7" s="113"/>
      <c r="B7" s="113"/>
      <c r="C7" s="48" t="s">
        <v>329</v>
      </c>
      <c r="D7" s="48" t="s">
        <v>330</v>
      </c>
      <c r="E7" s="48" t="s">
        <v>331</v>
      </c>
      <c r="F7" s="48" t="s">
        <v>332</v>
      </c>
      <c r="G7" s="48" t="s">
        <v>333</v>
      </c>
      <c r="H7" s="48" t="s">
        <v>334</v>
      </c>
      <c r="I7" s="48" t="s">
        <v>335</v>
      </c>
      <c r="J7" s="48" t="s">
        <v>336</v>
      </c>
      <c r="K7" s="48" t="s">
        <v>337</v>
      </c>
      <c r="L7" s="48" t="s">
        <v>582</v>
      </c>
      <c r="M7" s="48" t="s">
        <v>583</v>
      </c>
      <c r="N7" s="48" t="s">
        <v>584</v>
      </c>
      <c r="O7" s="113"/>
      <c r="P7" s="113"/>
      <c r="Q7" s="113"/>
      <c r="R7" s="113"/>
    </row>
    <row r="8" spans="1:18">
      <c r="A8" s="113"/>
      <c r="B8" s="113"/>
      <c r="C8" s="126"/>
      <c r="D8" s="113"/>
      <c r="E8" s="113"/>
      <c r="F8" s="113"/>
      <c r="G8" s="113"/>
      <c r="H8" s="113"/>
      <c r="I8" s="113"/>
      <c r="J8" s="113"/>
      <c r="K8" s="113"/>
      <c r="L8" s="113"/>
      <c r="M8" s="113"/>
      <c r="N8" s="231" t="s">
        <v>735</v>
      </c>
      <c r="O8" s="113"/>
      <c r="P8" s="113"/>
      <c r="Q8" s="113"/>
      <c r="R8" s="113"/>
    </row>
    <row r="9" spans="1:18">
      <c r="A9" s="113"/>
      <c r="B9" s="113"/>
      <c r="C9" s="116"/>
      <c r="D9" s="245" t="s">
        <v>239</v>
      </c>
      <c r="E9" s="113"/>
      <c r="F9" s="113"/>
      <c r="G9" s="113"/>
      <c r="H9" s="113"/>
      <c r="I9" s="113"/>
      <c r="J9" s="113"/>
      <c r="K9" s="113"/>
      <c r="L9" s="113"/>
      <c r="M9" s="113"/>
      <c r="N9" s="113"/>
      <c r="O9" s="113"/>
      <c r="P9" s="113"/>
      <c r="Q9" s="113"/>
      <c r="R9" s="113"/>
    </row>
    <row r="10" spans="1:18">
      <c r="A10" s="113"/>
      <c r="B10" s="113"/>
      <c r="C10" s="2"/>
      <c r="D10" s="245" t="s">
        <v>736</v>
      </c>
      <c r="E10" s="113"/>
      <c r="F10" s="113"/>
      <c r="G10" s="113"/>
      <c r="H10" s="113"/>
      <c r="I10" s="113"/>
      <c r="J10" s="113"/>
      <c r="K10" s="113"/>
      <c r="L10" s="113"/>
      <c r="M10" s="113"/>
      <c r="N10" s="113"/>
      <c r="O10" s="113"/>
      <c r="P10" s="113"/>
      <c r="Q10" s="113"/>
      <c r="R10" s="113"/>
    </row>
    <row r="11" spans="1:18" ht="12.75" customHeight="1">
      <c r="A11" s="30" t="s">
        <v>266</v>
      </c>
      <c r="B11" s="30"/>
      <c r="C11" s="3" t="s">
        <v>636</v>
      </c>
      <c r="D11" s="48">
        <v>350.1</v>
      </c>
      <c r="E11" s="48">
        <v>350.2</v>
      </c>
      <c r="F11" s="48">
        <v>352</v>
      </c>
      <c r="G11" s="48">
        <v>353</v>
      </c>
      <c r="H11" s="48">
        <v>354</v>
      </c>
      <c r="I11" s="48">
        <v>355</v>
      </c>
      <c r="J11" s="48">
        <v>356</v>
      </c>
      <c r="K11" s="48">
        <v>357</v>
      </c>
      <c r="L11" s="48">
        <v>358</v>
      </c>
      <c r="M11" s="48">
        <v>359</v>
      </c>
      <c r="N11" s="3" t="s">
        <v>244</v>
      </c>
      <c r="O11" s="113"/>
      <c r="P11" s="113"/>
      <c r="Q11" s="113"/>
      <c r="R11" s="113"/>
    </row>
    <row r="12" spans="1:18" ht="12.75" customHeight="1">
      <c r="A12" s="2">
        <v>1</v>
      </c>
      <c r="B12" s="2"/>
      <c r="C12" s="510" t="s">
        <v>2806</v>
      </c>
      <c r="D12" s="255">
        <v>0</v>
      </c>
      <c r="E12" s="255">
        <v>34482005.686058253</v>
      </c>
      <c r="F12" s="255">
        <v>172544098.19415319</v>
      </c>
      <c r="G12" s="255">
        <v>801212096.80215645</v>
      </c>
      <c r="H12" s="255">
        <v>727667022.45801735</v>
      </c>
      <c r="I12" s="255">
        <v>65648941.393292017</v>
      </c>
      <c r="J12" s="255">
        <v>550692434.10115838</v>
      </c>
      <c r="K12" s="255">
        <v>19762098.187156551</v>
      </c>
      <c r="L12" s="255">
        <v>24027402.722204335</v>
      </c>
      <c r="M12" s="255">
        <v>32542305.579423867</v>
      </c>
      <c r="N12" s="115">
        <f t="shared" ref="N12:N24" si="0">SUM(D12:M12)</f>
        <v>2428578405.12362</v>
      </c>
      <c r="O12" s="113"/>
      <c r="P12" s="113"/>
      <c r="Q12" s="113"/>
      <c r="R12" s="113"/>
    </row>
    <row r="13" spans="1:18" ht="12.75" customHeight="1">
      <c r="A13" s="2">
        <f>A12+1</f>
        <v>2</v>
      </c>
      <c r="B13" s="2"/>
      <c r="C13" s="389" t="s">
        <v>2904</v>
      </c>
      <c r="D13" s="115">
        <f>D12+D70+D119</f>
        <v>0</v>
      </c>
      <c r="E13" s="115">
        <f>E12+E70+E119</f>
        <v>34732897.163064547</v>
      </c>
      <c r="F13" s="115">
        <f>F12+F70+F119</f>
        <v>174251146.88033292</v>
      </c>
      <c r="G13" s="115">
        <f t="shared" ref="F13:M23" si="1">G12+G70+G119</f>
        <v>806472869.06037605</v>
      </c>
      <c r="H13" s="115">
        <f t="shared" si="1"/>
        <v>736118118.65753865</v>
      </c>
      <c r="I13" s="115">
        <f t="shared" si="1"/>
        <v>67211791.815133825</v>
      </c>
      <c r="J13" s="115">
        <f t="shared" si="1"/>
        <v>555348563.78476894</v>
      </c>
      <c r="K13" s="115">
        <f t="shared" si="1"/>
        <v>20058420.861954715</v>
      </c>
      <c r="L13" s="115">
        <f t="shared" si="1"/>
        <v>24221517.386376955</v>
      </c>
      <c r="M13" s="115">
        <f t="shared" si="1"/>
        <v>32836141.93518712</v>
      </c>
      <c r="N13" s="115">
        <f t="shared" si="0"/>
        <v>2451251467.5447335</v>
      </c>
      <c r="O13" s="113"/>
      <c r="P13" s="113"/>
      <c r="Q13" s="113"/>
      <c r="R13" s="113"/>
    </row>
    <row r="14" spans="1:18" ht="12.75" customHeight="1">
      <c r="A14" s="2">
        <f t="shared" ref="A14:A25" si="2">A13+1</f>
        <v>3</v>
      </c>
      <c r="B14" s="2"/>
      <c r="C14" s="389" t="s">
        <v>2905</v>
      </c>
      <c r="D14" s="115">
        <f t="shared" ref="D14:E23" si="3">D13+D71+D120</f>
        <v>0</v>
      </c>
      <c r="E14" s="115">
        <f t="shared" si="3"/>
        <v>34992042.132825755</v>
      </c>
      <c r="F14" s="115">
        <f t="shared" si="1"/>
        <v>176084583.29414034</v>
      </c>
      <c r="G14" s="115">
        <f t="shared" si="1"/>
        <v>812501991.16633928</v>
      </c>
      <c r="H14" s="115">
        <f t="shared" si="1"/>
        <v>740361689.186409</v>
      </c>
      <c r="I14" s="115">
        <f t="shared" si="1"/>
        <v>68384630.213944897</v>
      </c>
      <c r="J14" s="115">
        <f t="shared" si="1"/>
        <v>561229714.95440006</v>
      </c>
      <c r="K14" s="115">
        <f t="shared" si="1"/>
        <v>20354201.602029748</v>
      </c>
      <c r="L14" s="115">
        <f t="shared" si="1"/>
        <v>24407172.102613796</v>
      </c>
      <c r="M14" s="115">
        <f t="shared" si="1"/>
        <v>32606153.070028279</v>
      </c>
      <c r="N14" s="115">
        <f t="shared" si="0"/>
        <v>2470922177.7227311</v>
      </c>
      <c r="O14" s="113"/>
      <c r="P14" s="113"/>
      <c r="Q14" s="113"/>
      <c r="R14" s="113"/>
    </row>
    <row r="15" spans="1:18" ht="12.75" customHeight="1">
      <c r="A15" s="2">
        <f t="shared" si="2"/>
        <v>4</v>
      </c>
      <c r="B15" s="2"/>
      <c r="C15" s="389" t="s">
        <v>2906</v>
      </c>
      <c r="D15" s="115">
        <f t="shared" si="3"/>
        <v>0</v>
      </c>
      <c r="E15" s="115">
        <f t="shared" si="3"/>
        <v>35249934.801080748</v>
      </c>
      <c r="F15" s="115">
        <f t="shared" si="1"/>
        <v>177888074.70606869</v>
      </c>
      <c r="G15" s="115">
        <f t="shared" si="1"/>
        <v>820784052.8444798</v>
      </c>
      <c r="H15" s="115">
        <f t="shared" si="1"/>
        <v>733763299.47446096</v>
      </c>
      <c r="I15" s="115">
        <f t="shared" si="1"/>
        <v>69515668.202118188</v>
      </c>
      <c r="J15" s="115">
        <f t="shared" si="1"/>
        <v>562434312.69425583</v>
      </c>
      <c r="K15" s="115">
        <f t="shared" si="1"/>
        <v>20650209.808817063</v>
      </c>
      <c r="L15" s="115">
        <f t="shared" si="1"/>
        <v>24792033.751151636</v>
      </c>
      <c r="M15" s="115">
        <f t="shared" si="1"/>
        <v>32900274.064822879</v>
      </c>
      <c r="N15" s="115">
        <f t="shared" si="0"/>
        <v>2477977860.3472557</v>
      </c>
      <c r="O15" s="113"/>
      <c r="P15" s="113"/>
      <c r="Q15" s="113"/>
      <c r="R15" s="113"/>
    </row>
    <row r="16" spans="1:18" ht="12.75" customHeight="1">
      <c r="A16" s="2">
        <f t="shared" si="2"/>
        <v>5</v>
      </c>
      <c r="B16" s="2"/>
      <c r="C16" s="389" t="s">
        <v>2907</v>
      </c>
      <c r="D16" s="115">
        <f t="shared" si="3"/>
        <v>0</v>
      </c>
      <c r="E16" s="115">
        <f t="shared" si="3"/>
        <v>35506785.053192958</v>
      </c>
      <c r="F16" s="115">
        <f t="shared" si="1"/>
        <v>179756848.69016767</v>
      </c>
      <c r="G16" s="115">
        <f t="shared" si="1"/>
        <v>828139605.94395268</v>
      </c>
      <c r="H16" s="115">
        <f t="shared" si="1"/>
        <v>741948612.07669258</v>
      </c>
      <c r="I16" s="115">
        <f t="shared" si="1"/>
        <v>74098916.227189392</v>
      </c>
      <c r="J16" s="115">
        <f t="shared" si="1"/>
        <v>566690200.7398684</v>
      </c>
      <c r="K16" s="115">
        <f t="shared" si="1"/>
        <v>20945205.313282374</v>
      </c>
      <c r="L16" s="115">
        <f t="shared" si="1"/>
        <v>24985117.600158297</v>
      </c>
      <c r="M16" s="115">
        <f t="shared" si="1"/>
        <v>33187805.939006984</v>
      </c>
      <c r="N16" s="115">
        <f t="shared" si="0"/>
        <v>2505259097.5835114</v>
      </c>
      <c r="O16" s="113"/>
      <c r="P16" s="113"/>
      <c r="Q16" s="113"/>
      <c r="R16" s="113"/>
    </row>
    <row r="17" spans="1:18" ht="12.75" customHeight="1">
      <c r="A17" s="2">
        <f t="shared" si="2"/>
        <v>6</v>
      </c>
      <c r="B17" s="2"/>
      <c r="C17" s="389" t="s">
        <v>2908</v>
      </c>
      <c r="D17" s="115">
        <f t="shared" si="3"/>
        <v>0</v>
      </c>
      <c r="E17" s="115">
        <f t="shared" si="3"/>
        <v>35461852.253015965</v>
      </c>
      <c r="F17" s="115">
        <f t="shared" si="1"/>
        <v>181242449.09634498</v>
      </c>
      <c r="G17" s="115">
        <f t="shared" si="1"/>
        <v>833963962.51857138</v>
      </c>
      <c r="H17" s="115">
        <f t="shared" si="1"/>
        <v>745094819.50430954</v>
      </c>
      <c r="I17" s="115">
        <f t="shared" si="1"/>
        <v>75060420.004941404</v>
      </c>
      <c r="J17" s="115">
        <f t="shared" si="1"/>
        <v>577149435.06774569</v>
      </c>
      <c r="K17" s="115">
        <f t="shared" si="1"/>
        <v>21241195.88606995</v>
      </c>
      <c r="L17" s="115">
        <f t="shared" si="1"/>
        <v>25173993.671507668</v>
      </c>
      <c r="M17" s="115">
        <f t="shared" si="1"/>
        <v>33478826.665843584</v>
      </c>
      <c r="N17" s="115">
        <f t="shared" si="0"/>
        <v>2527866954.6683502</v>
      </c>
      <c r="O17" s="113"/>
      <c r="P17" s="113"/>
      <c r="Q17" s="113"/>
      <c r="R17" s="113"/>
    </row>
    <row r="18" spans="1:18" ht="12.75" customHeight="1">
      <c r="A18" s="2">
        <f t="shared" si="2"/>
        <v>7</v>
      </c>
      <c r="B18" s="2"/>
      <c r="C18" s="389" t="s">
        <v>2909</v>
      </c>
      <c r="D18" s="115">
        <f t="shared" si="3"/>
        <v>0</v>
      </c>
      <c r="E18" s="115">
        <f t="shared" si="3"/>
        <v>35718722.507253088</v>
      </c>
      <c r="F18" s="115">
        <f t="shared" si="1"/>
        <v>182634531.00666282</v>
      </c>
      <c r="G18" s="115">
        <f t="shared" si="1"/>
        <v>844434370.54174864</v>
      </c>
      <c r="H18" s="115">
        <f t="shared" si="1"/>
        <v>749201211.48091698</v>
      </c>
      <c r="I18" s="115">
        <f t="shared" si="1"/>
        <v>73692928.485601306</v>
      </c>
      <c r="J18" s="115">
        <f t="shared" si="1"/>
        <v>581992014.0684731</v>
      </c>
      <c r="K18" s="115">
        <f t="shared" si="1"/>
        <v>21775718.732959852</v>
      </c>
      <c r="L18" s="115">
        <f t="shared" si="1"/>
        <v>25411687.188396983</v>
      </c>
      <c r="M18" s="115">
        <f t="shared" si="1"/>
        <v>33778810.305126235</v>
      </c>
      <c r="N18" s="115">
        <f t="shared" si="0"/>
        <v>2548639994.3171391</v>
      </c>
      <c r="O18" s="113"/>
      <c r="P18" s="113"/>
      <c r="Q18" s="113"/>
      <c r="R18" s="113"/>
    </row>
    <row r="19" spans="1:18" ht="12.75" customHeight="1">
      <c r="A19" s="2">
        <f t="shared" si="2"/>
        <v>8</v>
      </c>
      <c r="B19" s="2"/>
      <c r="C19" s="389" t="s">
        <v>2910</v>
      </c>
      <c r="D19" s="115">
        <f t="shared" si="3"/>
        <v>0</v>
      </c>
      <c r="E19" s="115">
        <f t="shared" si="3"/>
        <v>35976894.164628498</v>
      </c>
      <c r="F19" s="115">
        <f t="shared" si="1"/>
        <v>184469542.58221951</v>
      </c>
      <c r="G19" s="115">
        <f t="shared" si="1"/>
        <v>851462815.59431934</v>
      </c>
      <c r="H19" s="115">
        <f t="shared" si="1"/>
        <v>750873678.2173326</v>
      </c>
      <c r="I19" s="115">
        <f t="shared" si="1"/>
        <v>74923632.971759349</v>
      </c>
      <c r="J19" s="115">
        <f t="shared" si="1"/>
        <v>588819425.37637305</v>
      </c>
      <c r="K19" s="115">
        <f t="shared" si="1"/>
        <v>21446821.110642441</v>
      </c>
      <c r="L19" s="115">
        <f t="shared" si="1"/>
        <v>25598765.385726135</v>
      </c>
      <c r="M19" s="115">
        <f t="shared" si="1"/>
        <v>34070457.866303712</v>
      </c>
      <c r="N19" s="115">
        <f t="shared" si="0"/>
        <v>2567642033.2693048</v>
      </c>
      <c r="O19" s="113"/>
      <c r="P19" s="113"/>
      <c r="Q19" s="113"/>
      <c r="R19" s="113"/>
    </row>
    <row r="20" spans="1:18" ht="12.75" customHeight="1">
      <c r="A20" s="2">
        <f t="shared" si="2"/>
        <v>9</v>
      </c>
      <c r="B20" s="2"/>
      <c r="C20" s="389" t="s">
        <v>2911</v>
      </c>
      <c r="D20" s="115">
        <f t="shared" si="3"/>
        <v>0</v>
      </c>
      <c r="E20" s="115">
        <f t="shared" si="3"/>
        <v>36234626.798932888</v>
      </c>
      <c r="F20" s="115">
        <f t="shared" si="1"/>
        <v>186252019.15564179</v>
      </c>
      <c r="G20" s="115">
        <f t="shared" si="1"/>
        <v>861041716.7604748</v>
      </c>
      <c r="H20" s="115">
        <f t="shared" si="1"/>
        <v>756065881.8654449</v>
      </c>
      <c r="I20" s="115">
        <f t="shared" si="1"/>
        <v>76171781.492648438</v>
      </c>
      <c r="J20" s="115">
        <f t="shared" si="1"/>
        <v>593756938.09801209</v>
      </c>
      <c r="K20" s="115">
        <f t="shared" si="1"/>
        <v>21743842.673230346</v>
      </c>
      <c r="L20" s="115">
        <f t="shared" si="1"/>
        <v>25800613.433461457</v>
      </c>
      <c r="M20" s="115">
        <f t="shared" si="1"/>
        <v>34363935.787639752</v>
      </c>
      <c r="N20" s="115">
        <f t="shared" si="0"/>
        <v>2591431356.0654864</v>
      </c>
      <c r="O20" s="113"/>
      <c r="P20" s="113"/>
      <c r="Q20" s="113"/>
      <c r="R20" s="113"/>
    </row>
    <row r="21" spans="1:18" ht="12.75" customHeight="1">
      <c r="A21" s="2">
        <f t="shared" si="2"/>
        <v>10</v>
      </c>
      <c r="B21" s="2"/>
      <c r="C21" s="389" t="s">
        <v>2912</v>
      </c>
      <c r="D21" s="115">
        <f t="shared" si="3"/>
        <v>0</v>
      </c>
      <c r="E21" s="115">
        <f t="shared" si="3"/>
        <v>36491058.630651161</v>
      </c>
      <c r="F21" s="115">
        <f t="shared" si="1"/>
        <v>188230724.92302704</v>
      </c>
      <c r="G21" s="115">
        <f t="shared" si="1"/>
        <v>868824785.14078307</v>
      </c>
      <c r="H21" s="115">
        <f t="shared" si="1"/>
        <v>761000149.66832387</v>
      </c>
      <c r="I21" s="115">
        <f t="shared" si="1"/>
        <v>76775778.188528463</v>
      </c>
      <c r="J21" s="115">
        <f t="shared" si="1"/>
        <v>592147506.89751804</v>
      </c>
      <c r="K21" s="115">
        <f t="shared" si="1"/>
        <v>22039761.5141018</v>
      </c>
      <c r="L21" s="115">
        <f t="shared" si="1"/>
        <v>26023385.727745432</v>
      </c>
      <c r="M21" s="115">
        <f t="shared" si="1"/>
        <v>34833773.166225202</v>
      </c>
      <c r="N21" s="115">
        <f t="shared" si="0"/>
        <v>2606366923.856905</v>
      </c>
      <c r="O21" s="113"/>
      <c r="P21" s="113"/>
      <c r="Q21" s="113"/>
      <c r="R21" s="113"/>
    </row>
    <row r="22" spans="1:18" ht="12.75" customHeight="1">
      <c r="A22" s="2">
        <f t="shared" si="2"/>
        <v>11</v>
      </c>
      <c r="B22" s="2"/>
      <c r="C22" s="389" t="s">
        <v>2913</v>
      </c>
      <c r="D22" s="115">
        <f t="shared" si="3"/>
        <v>0</v>
      </c>
      <c r="E22" s="115">
        <f t="shared" si="3"/>
        <v>36755135.705475837</v>
      </c>
      <c r="F22" s="115">
        <f t="shared" si="1"/>
        <v>190205005.82524076</v>
      </c>
      <c r="G22" s="115">
        <f t="shared" si="1"/>
        <v>875495609.53819954</v>
      </c>
      <c r="H22" s="115">
        <f t="shared" si="1"/>
        <v>762140726.69207704</v>
      </c>
      <c r="I22" s="115">
        <f t="shared" si="1"/>
        <v>77259873.828713432</v>
      </c>
      <c r="J22" s="115">
        <f t="shared" si="1"/>
        <v>584974575.03201079</v>
      </c>
      <c r="K22" s="115">
        <f t="shared" si="1"/>
        <v>22335808.9482201</v>
      </c>
      <c r="L22" s="115">
        <f t="shared" si="1"/>
        <v>26214950.279920641</v>
      </c>
      <c r="M22" s="115">
        <f t="shared" si="1"/>
        <v>35125869.911731653</v>
      </c>
      <c r="N22" s="115">
        <f t="shared" si="0"/>
        <v>2610507555.76159</v>
      </c>
      <c r="O22" s="113"/>
      <c r="P22" s="113"/>
      <c r="Q22" s="113"/>
      <c r="R22" s="113"/>
    </row>
    <row r="23" spans="1:18" ht="12.75" customHeight="1">
      <c r="A23" s="2">
        <f t="shared" si="2"/>
        <v>12</v>
      </c>
      <c r="B23" s="2"/>
      <c r="C23" s="389" t="s">
        <v>2914</v>
      </c>
      <c r="D23" s="115">
        <f t="shared" si="3"/>
        <v>0</v>
      </c>
      <c r="E23" s="115">
        <f t="shared" si="3"/>
        <v>37018145.263126627</v>
      </c>
      <c r="F23" s="115">
        <f t="shared" si="1"/>
        <v>191981538.59440446</v>
      </c>
      <c r="G23" s="115">
        <f t="shared" si="1"/>
        <v>879961300.22512984</v>
      </c>
      <c r="H23" s="115">
        <f t="shared" si="1"/>
        <v>765375605.94090021</v>
      </c>
      <c r="I23" s="115">
        <f t="shared" si="1"/>
        <v>78424469.653219283</v>
      </c>
      <c r="J23" s="115">
        <f t="shared" si="1"/>
        <v>589637360.17159021</v>
      </c>
      <c r="K23" s="115">
        <f t="shared" si="1"/>
        <v>22631856.454297304</v>
      </c>
      <c r="L23" s="115">
        <f t="shared" si="1"/>
        <v>26813065.258303598</v>
      </c>
      <c r="M23" s="115">
        <f t="shared" si="1"/>
        <v>35419041.645436503</v>
      </c>
      <c r="N23" s="115">
        <f t="shared" si="0"/>
        <v>2627262383.2064075</v>
      </c>
      <c r="O23" s="113"/>
      <c r="P23" s="113"/>
      <c r="Q23" s="113"/>
      <c r="R23" s="113"/>
    </row>
    <row r="24" spans="1:18">
      <c r="A24" s="2">
        <f t="shared" si="2"/>
        <v>13</v>
      </c>
      <c r="B24" s="2"/>
      <c r="C24" s="389" t="s">
        <v>2915</v>
      </c>
      <c r="D24" s="61">
        <v>0</v>
      </c>
      <c r="E24" s="61">
        <v>37278461.426733956</v>
      </c>
      <c r="F24" s="61">
        <v>193896652.39906815</v>
      </c>
      <c r="G24" s="61">
        <v>882044487.2701925</v>
      </c>
      <c r="H24" s="61">
        <v>767071541.30905497</v>
      </c>
      <c r="I24" s="61">
        <v>79217464.182610393</v>
      </c>
      <c r="J24" s="61">
        <v>592001060.92295432</v>
      </c>
      <c r="K24" s="61">
        <v>22927900.074497979</v>
      </c>
      <c r="L24" s="61">
        <v>26999633.331050158</v>
      </c>
      <c r="M24" s="61">
        <v>35712724.108976543</v>
      </c>
      <c r="N24" s="185">
        <f t="shared" si="0"/>
        <v>2637149925.0251389</v>
      </c>
      <c r="O24" s="113"/>
      <c r="P24" s="113"/>
      <c r="Q24" s="113"/>
      <c r="R24" s="113"/>
    </row>
    <row r="25" spans="1:18">
      <c r="A25" s="2">
        <f t="shared" si="2"/>
        <v>14</v>
      </c>
      <c r="B25" s="113"/>
      <c r="C25" s="564" t="s">
        <v>637</v>
      </c>
      <c r="D25" s="115">
        <f t="shared" ref="D25:M25" si="4">AVERAGE(D12:D24)</f>
        <v>0</v>
      </c>
      <c r="E25" s="115">
        <f t="shared" si="4"/>
        <v>35838350.891233876</v>
      </c>
      <c r="F25" s="115">
        <f t="shared" si="4"/>
        <v>183033631.94980559</v>
      </c>
      <c r="G25" s="115">
        <f t="shared" si="4"/>
        <v>843564589.49282515</v>
      </c>
      <c r="H25" s="115">
        <f t="shared" si="4"/>
        <v>748975565.8870368</v>
      </c>
      <c r="I25" s="115">
        <f t="shared" si="4"/>
        <v>73568176.666130811</v>
      </c>
      <c r="J25" s="115">
        <f t="shared" si="4"/>
        <v>576682580.14685607</v>
      </c>
      <c r="K25" s="115">
        <f t="shared" si="4"/>
        <v>21377926.243635401</v>
      </c>
      <c r="L25" s="115">
        <f t="shared" si="4"/>
        <v>25420718.295278236</v>
      </c>
      <c r="M25" s="115">
        <f t="shared" si="4"/>
        <v>33912009.23428864</v>
      </c>
      <c r="N25" s="115">
        <f>SUM(D25:M25)</f>
        <v>2542373548.8070903</v>
      </c>
      <c r="O25" s="113"/>
      <c r="P25" s="113"/>
      <c r="Q25" s="113"/>
      <c r="R25" s="113"/>
    </row>
    <row r="26" spans="1:18">
      <c r="A26" s="113"/>
      <c r="B26" s="113"/>
      <c r="C26" s="113"/>
      <c r="D26" s="113"/>
      <c r="E26" s="113"/>
      <c r="F26" s="113"/>
      <c r="G26" s="113"/>
      <c r="H26" s="113"/>
      <c r="I26" s="113"/>
      <c r="J26" s="113"/>
      <c r="K26" s="113"/>
      <c r="L26" s="113"/>
      <c r="M26" s="113"/>
      <c r="N26" s="113"/>
      <c r="O26" s="113"/>
      <c r="P26" s="113"/>
      <c r="Q26" s="113"/>
      <c r="R26" s="113"/>
    </row>
    <row r="27" spans="1:18">
      <c r="A27" s="113"/>
      <c r="B27" s="199" t="s">
        <v>737</v>
      </c>
      <c r="C27" s="113"/>
      <c r="D27" s="113"/>
      <c r="E27" s="113"/>
      <c r="F27" s="113"/>
      <c r="G27" s="113"/>
      <c r="H27" s="113"/>
      <c r="I27" s="113"/>
      <c r="J27" s="113"/>
      <c r="K27" s="113"/>
      <c r="L27" s="113"/>
      <c r="M27" s="113"/>
      <c r="N27" s="113"/>
      <c r="O27" s="113"/>
      <c r="P27" s="113"/>
      <c r="Q27" s="113"/>
      <c r="R27" s="113"/>
    </row>
    <row r="28" spans="1:18">
      <c r="A28" s="113"/>
      <c r="B28" s="199"/>
      <c r="C28" s="113"/>
      <c r="D28" s="113"/>
      <c r="E28" s="113"/>
      <c r="F28" s="113"/>
      <c r="G28" s="113"/>
      <c r="H28" s="113"/>
      <c r="I28" s="113"/>
      <c r="J28" s="113"/>
      <c r="K28" s="113"/>
      <c r="L28" s="113"/>
      <c r="M28" s="113"/>
      <c r="N28" s="113"/>
      <c r="O28" s="113"/>
      <c r="P28" s="113"/>
      <c r="Q28" s="113"/>
      <c r="R28" s="113"/>
    </row>
    <row r="29" spans="1:18">
      <c r="A29" s="113"/>
      <c r="B29" s="113"/>
      <c r="C29" s="48" t="s">
        <v>329</v>
      </c>
      <c r="D29" s="48" t="s">
        <v>330</v>
      </c>
      <c r="E29" s="48" t="s">
        <v>331</v>
      </c>
      <c r="F29" s="48" t="s">
        <v>332</v>
      </c>
      <c r="G29" s="48" t="s">
        <v>333</v>
      </c>
      <c r="H29" s="113"/>
      <c r="I29" s="113"/>
      <c r="J29" s="113"/>
      <c r="K29" s="113"/>
      <c r="L29" s="113"/>
      <c r="M29" s="113"/>
      <c r="N29" s="113"/>
      <c r="O29" s="113"/>
      <c r="P29" s="113"/>
      <c r="Q29" s="113"/>
      <c r="R29" s="113"/>
    </row>
    <row r="30" spans="1:18">
      <c r="A30" s="113"/>
      <c r="B30" s="113"/>
      <c r="C30" s="113"/>
      <c r="D30" s="245" t="s">
        <v>239</v>
      </c>
      <c r="E30" s="113"/>
      <c r="F30" s="113"/>
      <c r="G30" s="231" t="s">
        <v>738</v>
      </c>
      <c r="H30" s="113"/>
      <c r="I30" s="113"/>
      <c r="J30" s="113"/>
      <c r="K30" s="113"/>
      <c r="L30" s="113"/>
      <c r="M30" s="113"/>
      <c r="N30" s="113"/>
      <c r="O30" s="202"/>
      <c r="P30" s="113"/>
      <c r="Q30" s="113"/>
      <c r="R30" s="113"/>
    </row>
    <row r="31" spans="1:18">
      <c r="A31" s="113"/>
      <c r="B31" s="113"/>
      <c r="C31" s="113"/>
      <c r="D31" s="245" t="s">
        <v>736</v>
      </c>
      <c r="E31" s="113"/>
      <c r="F31" s="113"/>
      <c r="G31" s="113"/>
      <c r="H31" s="113"/>
      <c r="I31" s="113"/>
      <c r="J31" s="113"/>
      <c r="K31" s="113"/>
      <c r="L31" s="113"/>
      <c r="M31" s="113"/>
      <c r="N31" s="113"/>
      <c r="O31" s="124"/>
      <c r="P31" s="113"/>
      <c r="Q31" s="113"/>
      <c r="R31" s="113"/>
    </row>
    <row r="32" spans="1:18">
      <c r="A32" s="113"/>
      <c r="B32" s="113"/>
      <c r="C32" s="3" t="s">
        <v>636</v>
      </c>
      <c r="D32" s="48">
        <v>360</v>
      </c>
      <c r="E32" s="48">
        <v>361</v>
      </c>
      <c r="F32" s="48">
        <v>362</v>
      </c>
      <c r="G32" s="3" t="s">
        <v>244</v>
      </c>
      <c r="H32" s="489" t="s">
        <v>100</v>
      </c>
      <c r="I32" s="113"/>
      <c r="J32" s="113"/>
      <c r="K32" s="113"/>
      <c r="L32" s="113"/>
      <c r="M32" s="113"/>
      <c r="N32" s="113"/>
      <c r="O32" s="124"/>
      <c r="P32" s="113"/>
      <c r="Q32" s="113"/>
      <c r="R32" s="113"/>
    </row>
    <row r="33" spans="1:18">
      <c r="A33" s="2">
        <f>A25+1</f>
        <v>15</v>
      </c>
      <c r="C33" s="389" t="s">
        <v>2806</v>
      </c>
      <c r="D33" s="255">
        <v>0</v>
      </c>
      <c r="E33" s="255">
        <v>0</v>
      </c>
      <c r="F33" s="255">
        <v>0</v>
      </c>
      <c r="G33" s="115">
        <f>SUM(D33:F33)</f>
        <v>0</v>
      </c>
      <c r="H33" s="234" t="s">
        <v>739</v>
      </c>
      <c r="I33" s="113"/>
      <c r="J33" s="113"/>
      <c r="K33" s="113"/>
      <c r="L33" s="113"/>
      <c r="M33" s="113"/>
      <c r="N33" s="113"/>
      <c r="O33" s="124"/>
      <c r="P33" s="113"/>
      <c r="Q33" s="113"/>
      <c r="R33" s="113"/>
    </row>
    <row r="34" spans="1:18">
      <c r="A34" s="2">
        <v>16</v>
      </c>
      <c r="C34" s="389" t="s">
        <v>2915</v>
      </c>
      <c r="D34" s="61">
        <v>0</v>
      </c>
      <c r="E34" s="61">
        <v>0</v>
      </c>
      <c r="F34" s="61">
        <v>0</v>
      </c>
      <c r="G34" s="185">
        <f>SUM(D34:F34)</f>
        <v>0</v>
      </c>
      <c r="H34" s="234" t="s">
        <v>740</v>
      </c>
      <c r="I34" s="113"/>
      <c r="J34" s="113"/>
      <c r="K34" s="113"/>
      <c r="L34" s="113"/>
      <c r="O34" s="124"/>
      <c r="P34" s="113"/>
      <c r="Q34" s="113"/>
      <c r="R34" s="113"/>
    </row>
    <row r="35" spans="1:18">
      <c r="A35" s="2">
        <f>A34+1</f>
        <v>17</v>
      </c>
      <c r="C35" s="114" t="s">
        <v>741</v>
      </c>
      <c r="D35" s="115">
        <f>AVERAGE(D33:D34)</f>
        <v>0</v>
      </c>
      <c r="E35" s="115">
        <f>AVERAGE(E33:E34)</f>
        <v>0</v>
      </c>
      <c r="F35" s="115">
        <f>AVERAGE(F33:F34)</f>
        <v>0</v>
      </c>
      <c r="G35" s="115">
        <f>AVERAGE(G33:G34)</f>
        <v>0</v>
      </c>
      <c r="H35" s="124" t="str">
        <f>"Average of Line "&amp;A33&amp;" and Line "&amp;A34&amp;""</f>
        <v>Average of Line 15 and Line 16</v>
      </c>
      <c r="I35" s="113"/>
      <c r="J35" s="113"/>
      <c r="K35" s="113"/>
      <c r="M35" s="331"/>
      <c r="N35" s="305"/>
      <c r="O35" s="124"/>
      <c r="P35" s="113"/>
      <c r="Q35" s="113"/>
      <c r="R35" s="113"/>
    </row>
    <row r="36" spans="1:18">
      <c r="C36" s="114"/>
      <c r="I36" s="113"/>
      <c r="J36" s="113"/>
      <c r="K36" s="113"/>
      <c r="M36" s="305"/>
      <c r="N36" s="571"/>
      <c r="O36" s="124"/>
      <c r="P36" s="113"/>
      <c r="Q36" s="113"/>
      <c r="R36" s="113"/>
    </row>
    <row r="37" spans="1:18">
      <c r="B37" s="199" t="s">
        <v>742</v>
      </c>
      <c r="I37" s="113"/>
      <c r="J37" s="113"/>
      <c r="K37" s="113"/>
      <c r="L37" s="113"/>
      <c r="M37" s="331"/>
      <c r="N37" s="571"/>
      <c r="O37" s="124"/>
      <c r="P37" s="113"/>
      <c r="Q37" s="113"/>
      <c r="R37" s="113"/>
    </row>
    <row r="38" spans="1:18" ht="15">
      <c r="B38" s="188"/>
      <c r="C38" s="48" t="s">
        <v>329</v>
      </c>
      <c r="D38" s="48" t="s">
        <v>330</v>
      </c>
      <c r="E38" s="48" t="s">
        <v>331</v>
      </c>
      <c r="F38" s="48" t="s">
        <v>332</v>
      </c>
      <c r="G38" s="48" t="s">
        <v>333</v>
      </c>
      <c r="J38" s="113"/>
      <c r="K38" s="116"/>
      <c r="L38" s="113"/>
      <c r="O38" s="113"/>
      <c r="P38" s="113"/>
      <c r="Q38" s="113"/>
      <c r="R38" s="113"/>
    </row>
    <row r="39" spans="1:18" ht="15">
      <c r="B39" s="188"/>
      <c r="C39" s="48"/>
      <c r="D39" s="48"/>
      <c r="E39" s="241" t="s">
        <v>743</v>
      </c>
      <c r="F39" s="48"/>
      <c r="G39" s="48"/>
      <c r="J39" s="113"/>
      <c r="K39" s="116"/>
      <c r="L39" s="113"/>
      <c r="O39" s="113"/>
      <c r="P39" s="113"/>
      <c r="Q39" s="113"/>
      <c r="R39" s="113"/>
    </row>
    <row r="40" spans="1:18">
      <c r="E40" s="116" t="s">
        <v>244</v>
      </c>
      <c r="J40" s="113"/>
      <c r="K40" s="116"/>
      <c r="L40" s="113"/>
      <c r="O40" s="113"/>
      <c r="P40" s="113"/>
      <c r="Q40" s="113"/>
      <c r="R40" s="113"/>
    </row>
    <row r="41" spans="1:18">
      <c r="B41" s="113"/>
      <c r="D41" s="113"/>
      <c r="E41" s="116" t="s">
        <v>744</v>
      </c>
      <c r="F41" s="2" t="s">
        <v>649</v>
      </c>
      <c r="G41" s="2" t="s">
        <v>650</v>
      </c>
      <c r="J41" s="113"/>
      <c r="K41" s="116"/>
      <c r="L41" s="113"/>
      <c r="O41" s="113"/>
      <c r="P41" s="113"/>
      <c r="Q41" s="113"/>
      <c r="R41" s="113"/>
    </row>
    <row r="42" spans="1:18">
      <c r="B42" s="113"/>
      <c r="D42" s="113"/>
      <c r="E42" s="116" t="s">
        <v>745</v>
      </c>
      <c r="F42" s="116" t="s">
        <v>745</v>
      </c>
      <c r="G42" s="116" t="s">
        <v>745</v>
      </c>
      <c r="J42" s="113"/>
      <c r="K42" s="116"/>
      <c r="L42" s="113"/>
      <c r="Q42" s="113"/>
      <c r="R42" s="113"/>
    </row>
    <row r="43" spans="1:18">
      <c r="B43" s="113"/>
      <c r="C43" s="3" t="s">
        <v>636</v>
      </c>
      <c r="D43" s="113"/>
      <c r="E43" s="186" t="s">
        <v>746</v>
      </c>
      <c r="F43" s="186" t="s">
        <v>746</v>
      </c>
      <c r="G43" s="186" t="s">
        <v>746</v>
      </c>
      <c r="H43" s="202" t="s">
        <v>644</v>
      </c>
      <c r="J43" s="113"/>
      <c r="K43" s="186"/>
      <c r="L43" s="113"/>
      <c r="O43" s="113"/>
      <c r="P43" s="113"/>
      <c r="Q43" s="113"/>
      <c r="R43" s="113"/>
    </row>
    <row r="44" spans="1:18">
      <c r="A44" s="2">
        <f>A35+1</f>
        <v>18</v>
      </c>
      <c r="B44" s="113"/>
      <c r="C44" s="389" t="s">
        <v>2806</v>
      </c>
      <c r="D44" s="313" t="s">
        <v>747</v>
      </c>
      <c r="E44" s="115">
        <f>SUM(F44:G44)</f>
        <v>2199382355</v>
      </c>
      <c r="F44" s="117">
        <v>1381864848</v>
      </c>
      <c r="G44" s="117">
        <v>817517507</v>
      </c>
      <c r="H44" s="234" t="s">
        <v>748</v>
      </c>
      <c r="J44" s="113"/>
      <c r="L44" s="113"/>
      <c r="O44" s="113"/>
      <c r="P44" s="113"/>
      <c r="Q44" s="113"/>
      <c r="R44" s="113"/>
    </row>
    <row r="45" spans="1:18">
      <c r="A45" s="2">
        <f>A44+1</f>
        <v>19</v>
      </c>
      <c r="B45" s="113"/>
      <c r="C45" s="389" t="s">
        <v>2915</v>
      </c>
      <c r="D45" s="114" t="s">
        <v>749</v>
      </c>
      <c r="E45" s="185">
        <f>SUM(F45:G45)</f>
        <v>2465666458</v>
      </c>
      <c r="F45" s="117">
        <v>1442269345</v>
      </c>
      <c r="G45" s="117">
        <v>1023397113</v>
      </c>
      <c r="H45" s="234" t="s">
        <v>750</v>
      </c>
      <c r="J45" s="113"/>
      <c r="K45" s="579"/>
      <c r="L45" s="113"/>
      <c r="O45" s="113"/>
      <c r="P45" s="113"/>
      <c r="Q45" s="113"/>
      <c r="R45" s="113"/>
    </row>
    <row r="46" spans="1:18">
      <c r="A46" s="2">
        <f>A45+1</f>
        <v>20</v>
      </c>
      <c r="B46" s="113"/>
      <c r="D46" s="114" t="s">
        <v>741</v>
      </c>
      <c r="E46" s="115">
        <f>AVERAGE(E44:E45)</f>
        <v>2332524406.5</v>
      </c>
      <c r="H46" s="124" t="str">
        <f>"Average of Line "&amp;A44&amp;" and Line "&amp;A45&amp;""</f>
        <v>Average of Line 18 and Line 19</v>
      </c>
      <c r="J46" s="113"/>
      <c r="K46" s="579"/>
      <c r="L46" s="113"/>
      <c r="O46" s="113"/>
      <c r="P46" s="113"/>
      <c r="Q46" s="113"/>
      <c r="R46" s="113"/>
    </row>
    <row r="47" spans="1:18">
      <c r="I47" s="113"/>
      <c r="J47" s="113"/>
      <c r="K47" s="113"/>
      <c r="L47" s="113"/>
      <c r="O47" s="113"/>
      <c r="P47" s="113"/>
      <c r="Q47" s="113"/>
      <c r="R47" s="113"/>
    </row>
    <row r="48" spans="1:18">
      <c r="B48" s="1" t="s">
        <v>751</v>
      </c>
      <c r="C48" s="336"/>
      <c r="D48" s="305"/>
      <c r="E48" s="113"/>
      <c r="F48" s="113"/>
      <c r="G48" s="113"/>
      <c r="H48" s="113"/>
      <c r="I48" s="113"/>
      <c r="J48" s="113"/>
      <c r="K48" s="113"/>
      <c r="L48" s="113"/>
      <c r="M48" s="113"/>
      <c r="N48" s="113"/>
      <c r="O48" s="113"/>
      <c r="P48" s="113"/>
      <c r="Q48" s="113"/>
      <c r="R48" s="113"/>
    </row>
    <row r="49" spans="1:18">
      <c r="B49" s="1"/>
      <c r="C49" s="336"/>
      <c r="D49" s="305"/>
      <c r="E49" s="113"/>
      <c r="F49" s="113"/>
      <c r="G49" s="113"/>
      <c r="H49" s="113"/>
      <c r="I49" s="113"/>
      <c r="J49" s="113"/>
      <c r="K49" s="113"/>
      <c r="L49" s="113"/>
      <c r="M49" s="113"/>
      <c r="N49" s="113"/>
      <c r="O49" s="113"/>
      <c r="P49" s="113"/>
      <c r="Q49" s="113"/>
      <c r="R49" s="113"/>
    </row>
    <row r="50" spans="1:18">
      <c r="B50" s="113"/>
      <c r="C50" s="1"/>
      <c r="D50" s="336"/>
      <c r="E50" s="305"/>
      <c r="F50" s="186" t="s">
        <v>79</v>
      </c>
      <c r="G50" s="202" t="s">
        <v>644</v>
      </c>
      <c r="H50" s="113"/>
      <c r="I50" s="113"/>
      <c r="J50" s="113"/>
      <c r="K50" s="113"/>
      <c r="L50" s="113"/>
      <c r="M50" s="113"/>
      <c r="N50" s="113"/>
      <c r="O50" s="113"/>
      <c r="P50" s="113"/>
      <c r="Q50" s="113"/>
      <c r="R50" s="113"/>
    </row>
    <row r="51" spans="1:18">
      <c r="A51" s="2">
        <f>A46+1</f>
        <v>21</v>
      </c>
      <c r="B51" s="113"/>
      <c r="C51" s="336"/>
      <c r="D51" s="336"/>
      <c r="E51" s="313" t="s">
        <v>752</v>
      </c>
      <c r="F51" s="565">
        <f>E46</f>
        <v>2332524406.5</v>
      </c>
      <c r="G51" s="124" t="str">
        <f>"Line "&amp;A46&amp;""</f>
        <v>Line 20</v>
      </c>
      <c r="H51" s="113"/>
      <c r="I51" s="113"/>
      <c r="J51" s="113"/>
      <c r="K51" s="113"/>
      <c r="L51" s="113"/>
      <c r="M51" s="113"/>
      <c r="N51" s="113"/>
      <c r="O51" s="113"/>
      <c r="P51" s="113"/>
      <c r="Q51" s="113"/>
      <c r="R51" s="113"/>
    </row>
    <row r="52" spans="1:18">
      <c r="A52" s="2">
        <f>A51+1</f>
        <v>22</v>
      </c>
      <c r="B52" s="113"/>
      <c r="C52" s="336"/>
      <c r="D52" s="336"/>
      <c r="E52" s="313" t="s">
        <v>661</v>
      </c>
      <c r="F52" s="579">
        <f>'27-Allocators'!G15</f>
        <v>5.8811663225218191E-2</v>
      </c>
      <c r="G52" s="124" t="str">
        <f>"27-Allocators, Line "&amp;'27-Allocators'!A15&amp;""</f>
        <v>27-Allocators, Line 9</v>
      </c>
      <c r="H52" s="113"/>
      <c r="I52" s="113"/>
      <c r="J52" s="113"/>
      <c r="K52" s="113"/>
      <c r="L52" s="113"/>
      <c r="M52" s="113"/>
      <c r="N52" s="113"/>
      <c r="O52" s="113"/>
      <c r="P52" s="113"/>
      <c r="Q52" s="113"/>
      <c r="R52" s="113"/>
    </row>
    <row r="53" spans="1:18">
      <c r="A53" s="2">
        <f>A52+1</f>
        <v>23</v>
      </c>
      <c r="B53" s="113"/>
      <c r="C53" s="336"/>
      <c r="D53" s="336"/>
      <c r="E53" s="313" t="s">
        <v>753</v>
      </c>
      <c r="F53" s="565">
        <f>F51*F52</f>
        <v>137179639.85967994</v>
      </c>
      <c r="G53" s="124" t="str">
        <f>"Line "&amp;A51&amp;" * Line "&amp;A52&amp;""</f>
        <v>Line 21 * Line 22</v>
      </c>
      <c r="H53" s="113"/>
      <c r="I53" s="113"/>
      <c r="J53" s="113"/>
      <c r="K53" s="113"/>
      <c r="L53" s="113"/>
      <c r="M53" s="113"/>
      <c r="O53" s="113"/>
      <c r="P53" s="113"/>
      <c r="Q53" s="113"/>
      <c r="R53" s="113"/>
    </row>
    <row r="54" spans="1:18">
      <c r="B54" s="336"/>
      <c r="C54" s="336"/>
      <c r="D54" s="313"/>
      <c r="E54" s="565"/>
      <c r="F54" s="113"/>
      <c r="G54" s="113"/>
      <c r="H54" s="113"/>
      <c r="I54" s="113"/>
      <c r="J54" s="113"/>
      <c r="K54" s="113"/>
      <c r="L54" s="113"/>
      <c r="M54" s="113"/>
      <c r="O54" s="113"/>
      <c r="P54" s="113"/>
      <c r="Q54" s="113"/>
      <c r="R54" s="113"/>
    </row>
    <row r="55" spans="1:18">
      <c r="B55" s="1" t="s">
        <v>754</v>
      </c>
      <c r="C55" s="336"/>
      <c r="D55" s="305"/>
      <c r="E55" s="113"/>
      <c r="F55" s="113"/>
      <c r="G55" s="113"/>
      <c r="H55" s="113"/>
      <c r="I55" s="113"/>
      <c r="J55" s="113"/>
      <c r="K55" s="113"/>
      <c r="L55" s="113"/>
      <c r="M55" s="113"/>
      <c r="O55" s="113"/>
      <c r="P55" s="113"/>
      <c r="Q55" s="113"/>
      <c r="R55" s="113"/>
    </row>
    <row r="56" spans="1:18">
      <c r="B56" s="113"/>
      <c r="C56" s="113"/>
      <c r="D56" s="113"/>
      <c r="E56" s="113"/>
      <c r="F56" s="113"/>
      <c r="G56" s="113"/>
      <c r="H56" s="113"/>
      <c r="I56" s="113"/>
      <c r="J56" s="113"/>
      <c r="K56" s="113"/>
      <c r="L56" s="113"/>
      <c r="M56" s="113"/>
      <c r="O56" s="305"/>
      <c r="P56" s="559"/>
      <c r="Q56" s="113"/>
      <c r="R56" s="113"/>
    </row>
    <row r="57" spans="1:18">
      <c r="B57" s="113"/>
      <c r="C57" s="113"/>
      <c r="D57" s="113"/>
      <c r="E57" s="113"/>
      <c r="F57" s="186" t="s">
        <v>79</v>
      </c>
      <c r="G57" s="202" t="s">
        <v>644</v>
      </c>
      <c r="H57" s="113"/>
      <c r="I57" s="113"/>
      <c r="J57" s="113"/>
      <c r="K57" s="113"/>
      <c r="L57" s="113"/>
      <c r="M57" s="113"/>
      <c r="O57" s="312"/>
      <c r="P57" s="312"/>
      <c r="Q57" s="113"/>
      <c r="R57" s="113"/>
    </row>
    <row r="58" spans="1:18">
      <c r="A58" s="2">
        <f>A53+1</f>
        <v>24</v>
      </c>
      <c r="B58" s="336"/>
      <c r="C58" s="336"/>
      <c r="E58" s="313" t="s">
        <v>755</v>
      </c>
      <c r="F58" s="565">
        <f>E45</f>
        <v>2465666458</v>
      </c>
      <c r="G58" s="124" t="str">
        <f>"Line "&amp;A45&amp;""</f>
        <v>Line 19</v>
      </c>
      <c r="H58" s="113"/>
      <c r="I58" s="113"/>
      <c r="J58" s="113"/>
      <c r="K58" s="113"/>
      <c r="L58" s="113"/>
      <c r="M58" s="113"/>
      <c r="O58" s="580"/>
      <c r="P58" s="330"/>
      <c r="Q58" s="113"/>
      <c r="R58" s="113"/>
    </row>
    <row r="59" spans="1:18">
      <c r="A59" s="2">
        <f>A58+1</f>
        <v>25</v>
      </c>
      <c r="B59" s="336"/>
      <c r="C59" s="336"/>
      <c r="E59" s="313" t="s">
        <v>661</v>
      </c>
      <c r="F59" s="579">
        <f>'27-Allocators'!G15</f>
        <v>5.8811663225218191E-2</v>
      </c>
      <c r="G59" s="124" t="str">
        <f>"27-Allocators, Line "&amp;'27-Allocators'!A15&amp;""</f>
        <v>27-Allocators, Line 9</v>
      </c>
      <c r="H59" s="113"/>
      <c r="I59" s="113"/>
      <c r="J59" s="113"/>
      <c r="K59" s="113"/>
      <c r="L59" s="113"/>
      <c r="M59" s="113"/>
      <c r="O59" s="580"/>
      <c r="P59" s="330"/>
      <c r="Q59" s="113"/>
      <c r="R59" s="113"/>
    </row>
    <row r="60" spans="1:18">
      <c r="A60" s="2">
        <f>A59+1</f>
        <v>26</v>
      </c>
      <c r="B60" s="336"/>
      <c r="C60" s="336"/>
      <c r="E60" s="313" t="s">
        <v>756</v>
      </c>
      <c r="F60" s="565">
        <f>F58*F59</f>
        <v>145009945.3536126</v>
      </c>
      <c r="G60" s="124" t="str">
        <f>"Line "&amp;A58&amp;" * Line "&amp;A59&amp;""</f>
        <v>Line 24 * Line 25</v>
      </c>
      <c r="H60" s="113"/>
      <c r="I60" s="113"/>
      <c r="J60" s="113"/>
      <c r="K60" s="113"/>
      <c r="L60" s="113"/>
      <c r="M60" s="113"/>
      <c r="Q60" s="113"/>
      <c r="R60" s="113"/>
    </row>
    <row r="61" spans="1:18">
      <c r="B61" s="113"/>
      <c r="C61" s="113"/>
      <c r="D61" s="113"/>
      <c r="E61" s="113"/>
      <c r="F61" s="113"/>
      <c r="G61" s="113"/>
      <c r="H61" s="113"/>
      <c r="I61" s="113"/>
      <c r="J61" s="113"/>
      <c r="K61" s="113"/>
      <c r="L61" s="113"/>
      <c r="M61" s="113"/>
      <c r="Q61" s="113"/>
      <c r="R61" s="113"/>
    </row>
    <row r="62" spans="1:18">
      <c r="Q62" s="113"/>
      <c r="R62" s="113"/>
    </row>
    <row r="63" spans="1:18">
      <c r="B63" s="1" t="s">
        <v>757</v>
      </c>
      <c r="Q63" s="113"/>
      <c r="R63" s="113"/>
    </row>
    <row r="64" spans="1:18">
      <c r="Q64" s="113"/>
      <c r="R64" s="113"/>
    </row>
    <row r="65" spans="1:14">
      <c r="C65" s="1" t="s">
        <v>758</v>
      </c>
      <c r="D65" s="235"/>
      <c r="E65" s="235"/>
      <c r="F65" s="235"/>
      <c r="G65" s="235"/>
      <c r="H65" s="235"/>
      <c r="I65" s="235"/>
      <c r="J65" s="235"/>
      <c r="K65" s="235"/>
      <c r="L65" s="235"/>
    </row>
    <row r="66" spans="1:14">
      <c r="A66" s="235"/>
      <c r="C66" s="235"/>
      <c r="D66" s="235"/>
      <c r="E66" s="235"/>
      <c r="F66" s="235"/>
      <c r="G66" s="235"/>
      <c r="H66" s="235"/>
      <c r="I66" s="235"/>
      <c r="J66" s="235"/>
      <c r="K66" s="235"/>
      <c r="L66" s="235"/>
    </row>
    <row r="67" spans="1:14">
      <c r="A67" s="199"/>
      <c r="C67" s="48" t="s">
        <v>329</v>
      </c>
      <c r="D67" s="48" t="s">
        <v>330</v>
      </c>
      <c r="E67" s="48" t="s">
        <v>331</v>
      </c>
      <c r="F67" s="48" t="s">
        <v>332</v>
      </c>
      <c r="G67" s="48" t="s">
        <v>333</v>
      </c>
      <c r="H67" s="48" t="s">
        <v>334</v>
      </c>
      <c r="I67" s="48" t="s">
        <v>335</v>
      </c>
      <c r="J67" s="48" t="s">
        <v>336</v>
      </c>
      <c r="K67" s="48" t="s">
        <v>337</v>
      </c>
      <c r="L67" s="48" t="s">
        <v>582</v>
      </c>
      <c r="M67" s="48" t="s">
        <v>583</v>
      </c>
      <c r="N67" s="48" t="s">
        <v>584</v>
      </c>
    </row>
    <row r="68" spans="1:14">
      <c r="A68" s="113"/>
      <c r="C68" s="126"/>
      <c r="D68" s="113"/>
      <c r="E68" s="113"/>
      <c r="F68" s="113"/>
      <c r="G68" s="113"/>
      <c r="H68" s="113"/>
      <c r="I68" s="113"/>
      <c r="J68" s="113"/>
      <c r="K68" s="113"/>
      <c r="L68" s="113"/>
      <c r="N68" s="126" t="s">
        <v>635</v>
      </c>
    </row>
    <row r="69" spans="1:14">
      <c r="A69" s="30"/>
      <c r="C69" s="3" t="s">
        <v>636</v>
      </c>
      <c r="D69" s="48">
        <v>350.1</v>
      </c>
      <c r="E69" s="48">
        <v>350.2</v>
      </c>
      <c r="F69" s="48">
        <v>352</v>
      </c>
      <c r="G69" s="48">
        <v>353</v>
      </c>
      <c r="H69" s="48">
        <v>354</v>
      </c>
      <c r="I69" s="48">
        <v>355</v>
      </c>
      <c r="J69" s="48">
        <v>356</v>
      </c>
      <c r="K69" s="48">
        <v>357</v>
      </c>
      <c r="L69" s="48">
        <v>358</v>
      </c>
      <c r="M69" s="48">
        <v>359</v>
      </c>
      <c r="N69" s="3" t="s">
        <v>244</v>
      </c>
    </row>
    <row r="70" spans="1:14">
      <c r="A70" s="2">
        <f>A60+1</f>
        <v>27</v>
      </c>
      <c r="C70" s="389" t="s">
        <v>2904</v>
      </c>
      <c r="D70" s="237">
        <f>'17-Depreciation'!C48</f>
        <v>0</v>
      </c>
      <c r="E70" s="237">
        <f>'17-Depreciation'!D48</f>
        <v>258198.96494036962</v>
      </c>
      <c r="F70" s="237">
        <f>'17-Depreciation'!E48</f>
        <v>1940237.8516247934</v>
      </c>
      <c r="G70" s="237">
        <f>'17-Depreciation'!F48</f>
        <v>9085174.3322322872</v>
      </c>
      <c r="H70" s="237">
        <f>'17-Depreciation'!G48</f>
        <v>5081203.0519783646</v>
      </c>
      <c r="I70" s="237">
        <f>'17-Depreciation'!H48</f>
        <v>1933572.2184777723</v>
      </c>
      <c r="J70" s="237">
        <f>'17-Depreciation'!I48</f>
        <v>4305559.8230289193</v>
      </c>
      <c r="K70" s="237">
        <f>'17-Depreciation'!J48</f>
        <v>296049.22433951095</v>
      </c>
      <c r="L70" s="237">
        <f>'17-Depreciation'!K48</f>
        <v>189478.09937175</v>
      </c>
      <c r="M70" s="237">
        <f>'17-Depreciation'!L48</f>
        <v>294253.52593261743</v>
      </c>
      <c r="N70" s="115">
        <f t="shared" ref="N70:N82" si="5">SUM(D70:M70)</f>
        <v>23383727.091926385</v>
      </c>
    </row>
    <row r="71" spans="1:14">
      <c r="A71" s="2">
        <f t="shared" ref="A71:A82" si="6">A70+1</f>
        <v>28</v>
      </c>
      <c r="C71" s="389" t="s">
        <v>2905</v>
      </c>
      <c r="D71" s="237">
        <f>'17-Depreciation'!C49</f>
        <v>0</v>
      </c>
      <c r="E71" s="237">
        <f>'17-Depreciation'!D49</f>
        <v>258249.8459998254</v>
      </c>
      <c r="F71" s="237">
        <f>'17-Depreciation'!E49</f>
        <v>1948008.5734436058</v>
      </c>
      <c r="G71" s="237">
        <f>'17-Depreciation'!F49</f>
        <v>9108792.1268120538</v>
      </c>
      <c r="H71" s="237">
        <f>'17-Depreciation'!G49</f>
        <v>5076885.5913077062</v>
      </c>
      <c r="I71" s="237">
        <f>'17-Depreciation'!H49</f>
        <v>1935415.1812262337</v>
      </c>
      <c r="J71" s="237">
        <f>'17-Depreciation'!I49</f>
        <v>4306147.6651558904</v>
      </c>
      <c r="K71" s="237">
        <f>'17-Depreciation'!J49</f>
        <v>296049.22524905909</v>
      </c>
      <c r="L71" s="237">
        <f>'17-Depreciation'!K49</f>
        <v>189478.09937175</v>
      </c>
      <c r="M71" s="237">
        <f>'17-Depreciation'!L49</f>
        <v>294257.0778419298</v>
      </c>
      <c r="N71" s="115">
        <f t="shared" si="5"/>
        <v>23413283.386408057</v>
      </c>
    </row>
    <row r="72" spans="1:14">
      <c r="A72" s="2">
        <f t="shared" si="6"/>
        <v>29</v>
      </c>
      <c r="C72" s="389" t="s">
        <v>2906</v>
      </c>
      <c r="D72" s="237">
        <f>'17-Depreciation'!C50</f>
        <v>0</v>
      </c>
      <c r="E72" s="237">
        <f>'17-Depreciation'!D50</f>
        <v>258243.64139356525</v>
      </c>
      <c r="F72" s="237">
        <f>'17-Depreciation'!E50</f>
        <v>1951488.1932394302</v>
      </c>
      <c r="G72" s="237">
        <f>'17-Depreciation'!F50</f>
        <v>9123249.8269519266</v>
      </c>
      <c r="H72" s="237">
        <f>'17-Depreciation'!G50</f>
        <v>5078348.2934127012</v>
      </c>
      <c r="I72" s="237">
        <f>'17-Depreciation'!H50</f>
        <v>1938974.336175842</v>
      </c>
      <c r="J72" s="237">
        <f>'17-Depreciation'!I50</f>
        <v>4308722.3722452298</v>
      </c>
      <c r="K72" s="237">
        <f>'17-Depreciation'!J50</f>
        <v>296049.22435602639</v>
      </c>
      <c r="L72" s="237">
        <f>'17-Depreciation'!K50</f>
        <v>189478.09937175</v>
      </c>
      <c r="M72" s="237">
        <f>'17-Depreciation'!L50</f>
        <v>293365.27541833709</v>
      </c>
      <c r="N72" s="115">
        <f t="shared" si="5"/>
        <v>23437919.262564804</v>
      </c>
    </row>
    <row r="73" spans="1:14">
      <c r="A73" s="2">
        <f t="shared" si="6"/>
        <v>30</v>
      </c>
      <c r="C73" s="389" t="s">
        <v>2907</v>
      </c>
      <c r="D73" s="237">
        <f>'17-Depreciation'!C51</f>
        <v>0</v>
      </c>
      <c r="E73" s="237">
        <f>'17-Depreciation'!D51</f>
        <v>258246.08048845481</v>
      </c>
      <c r="F73" s="237">
        <f>'17-Depreciation'!E51</f>
        <v>1955737.586287207</v>
      </c>
      <c r="G73" s="237">
        <f>'17-Depreciation'!F51</f>
        <v>9129263.7238740157</v>
      </c>
      <c r="H73" s="237">
        <f>'17-Depreciation'!G51</f>
        <v>5093648.3674410004</v>
      </c>
      <c r="I73" s="237">
        <f>'17-Depreciation'!H51</f>
        <v>1941606.5239088966</v>
      </c>
      <c r="J73" s="237">
        <f>'17-Depreciation'!I51</f>
        <v>4304931.7262471849</v>
      </c>
      <c r="K73" s="237">
        <f>'17-Depreciation'!J51</f>
        <v>296049.22421959421</v>
      </c>
      <c r="L73" s="237">
        <f>'17-Depreciation'!K51</f>
        <v>189478.09937175</v>
      </c>
      <c r="M73" s="237">
        <f>'17-Depreciation'!L51</f>
        <v>293373.80681166908</v>
      </c>
      <c r="N73" s="115">
        <f t="shared" si="5"/>
        <v>23462335.138649773</v>
      </c>
    </row>
    <row r="74" spans="1:14">
      <c r="A74" s="2">
        <f t="shared" si="6"/>
        <v>31</v>
      </c>
      <c r="C74" s="389" t="s">
        <v>2908</v>
      </c>
      <c r="D74" s="237">
        <f>'17-Depreciation'!C52</f>
        <v>0</v>
      </c>
      <c r="E74" s="237">
        <f>'17-Depreciation'!D52</f>
        <v>258255.78082584558</v>
      </c>
      <c r="F74" s="237">
        <f>'17-Depreciation'!E52</f>
        <v>1958191.3783646552</v>
      </c>
      <c r="G74" s="237">
        <f>'17-Depreciation'!F52</f>
        <v>9137283.6196431536</v>
      </c>
      <c r="H74" s="237">
        <f>'17-Depreciation'!G52</f>
        <v>5089894.6859618835</v>
      </c>
      <c r="I74" s="237">
        <f>'17-Depreciation'!H52</f>
        <v>1928606.6884912562</v>
      </c>
      <c r="J74" s="237">
        <f>'17-Depreciation'!I52</f>
        <v>4305044.1480176542</v>
      </c>
      <c r="K74" s="237">
        <f>'17-Depreciation'!J52</f>
        <v>296049.22071472224</v>
      </c>
      <c r="L74" s="237">
        <f>'17-Depreciation'!K52</f>
        <v>189478.09937175</v>
      </c>
      <c r="M74" s="237">
        <f>'17-Depreciation'!L52</f>
        <v>293389.95565964165</v>
      </c>
      <c r="N74" s="115">
        <f t="shared" si="5"/>
        <v>23456193.577050559</v>
      </c>
    </row>
    <row r="75" spans="1:14">
      <c r="A75" s="2">
        <f t="shared" si="6"/>
        <v>32</v>
      </c>
      <c r="C75" s="389" t="s">
        <v>2909</v>
      </c>
      <c r="D75" s="237">
        <f>'17-Depreciation'!C53</f>
        <v>0</v>
      </c>
      <c r="E75" s="237">
        <f>'17-Depreciation'!D53</f>
        <v>260357.49016830788</v>
      </c>
      <c r="F75" s="237">
        <f>'17-Depreciation'!E53</f>
        <v>1970504.4381631606</v>
      </c>
      <c r="G75" s="237">
        <f>'17-Depreciation'!F53</f>
        <v>9152893.6439319756</v>
      </c>
      <c r="H75" s="237">
        <f>'17-Depreciation'!G53</f>
        <v>5092778.445015314</v>
      </c>
      <c r="I75" s="237">
        <f>'17-Depreciation'!H53</f>
        <v>1933499.0178140008</v>
      </c>
      <c r="J75" s="237">
        <f>'17-Depreciation'!I53</f>
        <v>4312916.3653017255</v>
      </c>
      <c r="K75" s="237">
        <f>'17-Depreciation'!J53</f>
        <v>296049.22051964811</v>
      </c>
      <c r="L75" s="237">
        <f>'17-Depreciation'!K53</f>
        <v>189478.09937175</v>
      </c>
      <c r="M75" s="237">
        <f>'17-Depreciation'!L53</f>
        <v>293433.12179943093</v>
      </c>
      <c r="N75" s="115">
        <f t="shared" si="5"/>
        <v>23501909.842085309</v>
      </c>
    </row>
    <row r="76" spans="1:14">
      <c r="A76" s="2">
        <f t="shared" si="6"/>
        <v>33</v>
      </c>
      <c r="C76" s="389" t="s">
        <v>2910</v>
      </c>
      <c r="D76" s="237">
        <f>'17-Depreciation'!C54</f>
        <v>0</v>
      </c>
      <c r="E76" s="237">
        <f>'17-Depreciation'!D54</f>
        <v>260381.35580808969</v>
      </c>
      <c r="F76" s="237">
        <f>'17-Depreciation'!E54</f>
        <v>1985613.1143171347</v>
      </c>
      <c r="G76" s="237">
        <f>'17-Depreciation'!F54</f>
        <v>9152450.06452276</v>
      </c>
      <c r="H76" s="237">
        <f>'17-Depreciation'!G54</f>
        <v>5094248.2799675362</v>
      </c>
      <c r="I76" s="237">
        <f>'17-Depreciation'!H54</f>
        <v>1949874.6462469089</v>
      </c>
      <c r="J76" s="237">
        <f>'17-Depreciation'!I54</f>
        <v>4313720.4680379676</v>
      </c>
      <c r="K76" s="237">
        <f>'17-Depreciation'!J54</f>
        <v>296050.01372820855</v>
      </c>
      <c r="L76" s="237">
        <f>'17-Depreciation'!K54</f>
        <v>189478.09937175</v>
      </c>
      <c r="M76" s="237">
        <f>'17-Depreciation'!L54</f>
        <v>293467.57937227754</v>
      </c>
      <c r="N76" s="115">
        <f t="shared" si="5"/>
        <v>23535283.621372636</v>
      </c>
    </row>
    <row r="77" spans="1:14">
      <c r="A77" s="2">
        <f t="shared" si="6"/>
        <v>34</v>
      </c>
      <c r="C77" s="389" t="s">
        <v>2911</v>
      </c>
      <c r="D77" s="237">
        <f>'17-Depreciation'!C55</f>
        <v>0</v>
      </c>
      <c r="E77" s="237">
        <f>'17-Depreciation'!D55</f>
        <v>260396.71215181614</v>
      </c>
      <c r="F77" s="237">
        <f>'17-Depreciation'!E55</f>
        <v>1989666.7782797627</v>
      </c>
      <c r="G77" s="237">
        <f>'17-Depreciation'!F55</f>
        <v>9162140.7923129071</v>
      </c>
      <c r="H77" s="237">
        <f>'17-Depreciation'!G55</f>
        <v>5098874.3592855465</v>
      </c>
      <c r="I77" s="237">
        <f>'17-Depreciation'!H55</f>
        <v>1953523.6600520837</v>
      </c>
      <c r="J77" s="237">
        <f>'17-Depreciation'!I55</f>
        <v>4316999.9817036232</v>
      </c>
      <c r="K77" s="237">
        <f>'17-Depreciation'!J55</f>
        <v>296047.93503371172</v>
      </c>
      <c r="L77" s="237">
        <f>'17-Depreciation'!K55</f>
        <v>189478.09937175</v>
      </c>
      <c r="M77" s="237">
        <f>'17-Depreciation'!L55</f>
        <v>293506.58149755024</v>
      </c>
      <c r="N77" s="115">
        <f t="shared" si="5"/>
        <v>23560634.899688754</v>
      </c>
    </row>
    <row r="78" spans="1:14">
      <c r="A78" s="2">
        <f t="shared" si="6"/>
        <v>35</v>
      </c>
      <c r="C78" s="389" t="s">
        <v>2912</v>
      </c>
      <c r="D78" s="237">
        <f>'17-Depreciation'!C56</f>
        <v>0</v>
      </c>
      <c r="E78" s="237">
        <f>'17-Depreciation'!D56</f>
        <v>260415.26020292946</v>
      </c>
      <c r="F78" s="237">
        <f>'17-Depreciation'!E56</f>
        <v>1995030.3604491744</v>
      </c>
      <c r="G78" s="237">
        <f>'17-Depreciation'!F56</f>
        <v>9162019.7068124004</v>
      </c>
      <c r="H78" s="237">
        <f>'17-Depreciation'!G56</f>
        <v>5098864.6009307159</v>
      </c>
      <c r="I78" s="237">
        <f>'17-Depreciation'!H56</f>
        <v>1957026.5256355272</v>
      </c>
      <c r="J78" s="237">
        <f>'17-Depreciation'!I56</f>
        <v>4318003.8144053882</v>
      </c>
      <c r="K78" s="237">
        <f>'17-Depreciation'!J56</f>
        <v>296047.93827218184</v>
      </c>
      <c r="L78" s="237">
        <f>'17-Depreciation'!K56</f>
        <v>189478.09937175</v>
      </c>
      <c r="M78" s="237">
        <f>'17-Depreciation'!L56</f>
        <v>293510.70201662643</v>
      </c>
      <c r="N78" s="115">
        <f t="shared" si="5"/>
        <v>23570397.008096691</v>
      </c>
    </row>
    <row r="79" spans="1:14">
      <c r="A79" s="2">
        <f t="shared" si="6"/>
        <v>36</v>
      </c>
      <c r="C79" s="389" t="s">
        <v>2913</v>
      </c>
      <c r="D79" s="237">
        <f>'17-Depreciation'!C57</f>
        <v>0</v>
      </c>
      <c r="E79" s="237">
        <f>'17-Depreciation'!D57</f>
        <v>260442.95450418055</v>
      </c>
      <c r="F79" s="237">
        <f>'17-Depreciation'!E57</f>
        <v>1995965.3330464258</v>
      </c>
      <c r="G79" s="237">
        <f>'17-Depreciation'!F57</f>
        <v>9169577.6497058701</v>
      </c>
      <c r="H79" s="237">
        <f>'17-Depreciation'!G57</f>
        <v>5099106.2134381616</v>
      </c>
      <c r="I79" s="237">
        <f>'17-Depreciation'!H57</f>
        <v>1963726.8778479218</v>
      </c>
      <c r="J79" s="237">
        <f>'17-Depreciation'!I57</f>
        <v>4310717.8610233702</v>
      </c>
      <c r="K79" s="237">
        <f>'17-Depreciation'!J57</f>
        <v>296047.93784277939</v>
      </c>
      <c r="L79" s="237">
        <f>'17-Depreciation'!K57</f>
        <v>189478.09937175</v>
      </c>
      <c r="M79" s="237">
        <f>'17-Depreciation'!L57</f>
        <v>293816.88687215355</v>
      </c>
      <c r="N79" s="115">
        <f t="shared" si="5"/>
        <v>23578879.813652612</v>
      </c>
    </row>
    <row r="80" spans="1:14">
      <c r="A80" s="2">
        <f t="shared" si="6"/>
        <v>37</v>
      </c>
      <c r="C80" s="389" t="s">
        <v>2914</v>
      </c>
      <c r="D80" s="237">
        <f>'17-Depreciation'!C58</f>
        <v>0</v>
      </c>
      <c r="E80" s="237">
        <f>'17-Depreciation'!D58</f>
        <v>260417.69911187922</v>
      </c>
      <c r="F80" s="237">
        <f>'17-Depreciation'!E58</f>
        <v>1996909.7105093056</v>
      </c>
      <c r="G80" s="237">
        <f>'17-Depreciation'!F58</f>
        <v>9180696.4898033123</v>
      </c>
      <c r="H80" s="237">
        <f>'17-Depreciation'!G58</f>
        <v>5101790.3531729681</v>
      </c>
      <c r="I80" s="237">
        <f>'17-Depreciation'!H58</f>
        <v>1971083.3924487869</v>
      </c>
      <c r="J80" s="237">
        <f>'17-Depreciation'!I58</f>
        <v>4299841.2107752925</v>
      </c>
      <c r="K80" s="237">
        <f>'17-Depreciation'!J58</f>
        <v>296047.93784110388</v>
      </c>
      <c r="L80" s="237">
        <f>'17-Depreciation'!K58</f>
        <v>189478.09937175</v>
      </c>
      <c r="M80" s="237">
        <f>'17-Depreciation'!L58</f>
        <v>293831.33156706119</v>
      </c>
      <c r="N80" s="115">
        <f t="shared" si="5"/>
        <v>23590096.224601459</v>
      </c>
    </row>
    <row r="81" spans="1:14">
      <c r="A81" s="2">
        <f t="shared" si="6"/>
        <v>38</v>
      </c>
      <c r="C81" s="389" t="s">
        <v>2915</v>
      </c>
      <c r="D81" s="53">
        <f>'17-Depreciation'!C59</f>
        <v>0</v>
      </c>
      <c r="E81" s="53">
        <f>'17-Depreciation'!D59</f>
        <v>260399.84703197042</v>
      </c>
      <c r="F81" s="53">
        <f>'17-Depreciation'!E59</f>
        <v>2002641.3537893984</v>
      </c>
      <c r="G81" s="53">
        <f>'17-Depreciation'!F59</f>
        <v>9199515.7020402793</v>
      </c>
      <c r="H81" s="53">
        <f>'17-Depreciation'!G59</f>
        <v>5104433.9372423198</v>
      </c>
      <c r="I81" s="53">
        <f>'17-Depreciation'!H59</f>
        <v>1975158.734926997</v>
      </c>
      <c r="J81" s="53">
        <f>'17-Depreciation'!I59</f>
        <v>4300498.8232978703</v>
      </c>
      <c r="K81" s="53">
        <f>'17-Depreciation'!J59</f>
        <v>296047.93783966778</v>
      </c>
      <c r="L81" s="53">
        <f>'17-Depreciation'!K59</f>
        <v>189478.09937175</v>
      </c>
      <c r="M81" s="53">
        <f>'17-Depreciation'!L59</f>
        <v>293865.55053923139</v>
      </c>
      <c r="N81" s="185">
        <f t="shared" si="5"/>
        <v>23622039.986079484</v>
      </c>
    </row>
    <row r="82" spans="1:14">
      <c r="A82" s="2">
        <f t="shared" si="6"/>
        <v>39</v>
      </c>
      <c r="C82" s="564" t="s">
        <v>402</v>
      </c>
      <c r="D82" s="115">
        <f t="shared" ref="D82:M82" si="7">SUM(D70:D81)</f>
        <v>0</v>
      </c>
      <c r="E82" s="115">
        <f t="shared" si="7"/>
        <v>3114005.6326272343</v>
      </c>
      <c r="F82" s="115">
        <f t="shared" si="7"/>
        <v>23689994.671514049</v>
      </c>
      <c r="G82" s="115">
        <f t="shared" si="7"/>
        <v>109763057.67864294</v>
      </c>
      <c r="H82" s="115">
        <f t="shared" si="7"/>
        <v>61110076.179154217</v>
      </c>
      <c r="I82" s="115">
        <f t="shared" si="7"/>
        <v>23382067.803252228</v>
      </c>
      <c r="J82" s="115">
        <f t="shared" si="7"/>
        <v>51703104.259240113</v>
      </c>
      <c r="K82" s="115">
        <f t="shared" si="7"/>
        <v>3552585.0399562144</v>
      </c>
      <c r="L82" s="115">
        <f t="shared" si="7"/>
        <v>2273737.1924609994</v>
      </c>
      <c r="M82" s="115">
        <f t="shared" si="7"/>
        <v>3524071.3953285269</v>
      </c>
      <c r="N82" s="115">
        <f t="shared" si="5"/>
        <v>282112699.85217649</v>
      </c>
    </row>
    <row r="84" spans="1:14">
      <c r="C84" s="1" t="s">
        <v>759</v>
      </c>
      <c r="D84" s="235"/>
      <c r="E84" s="235"/>
      <c r="F84" s="235"/>
      <c r="G84" s="235"/>
      <c r="H84" s="235"/>
      <c r="I84" s="235"/>
      <c r="J84" s="235"/>
      <c r="K84" s="235"/>
      <c r="L84" s="235"/>
    </row>
    <row r="85" spans="1:14">
      <c r="C85" s="235"/>
      <c r="D85" s="235"/>
      <c r="E85" s="235"/>
      <c r="F85" s="235"/>
      <c r="G85" s="235"/>
      <c r="H85" s="235"/>
      <c r="I85" s="235"/>
      <c r="J85" s="235"/>
      <c r="K85" s="235"/>
      <c r="L85" s="235"/>
    </row>
    <row r="86" spans="1:14">
      <c r="C86" s="48" t="s">
        <v>329</v>
      </c>
      <c r="D86" s="48" t="s">
        <v>330</v>
      </c>
      <c r="E86" s="48" t="s">
        <v>331</v>
      </c>
      <c r="F86" s="48" t="s">
        <v>332</v>
      </c>
      <c r="G86" s="48" t="s">
        <v>333</v>
      </c>
      <c r="H86" s="48" t="s">
        <v>334</v>
      </c>
      <c r="I86" s="48" t="s">
        <v>335</v>
      </c>
      <c r="J86" s="48" t="s">
        <v>336</v>
      </c>
      <c r="K86" s="48" t="s">
        <v>337</v>
      </c>
      <c r="L86" s="48" t="s">
        <v>582</v>
      </c>
      <c r="M86" s="48" t="s">
        <v>583</v>
      </c>
      <c r="N86" s="48"/>
    </row>
    <row r="87" spans="1:14">
      <c r="C87" s="126"/>
      <c r="D87" s="113"/>
      <c r="E87" s="113"/>
      <c r="F87" s="113"/>
      <c r="G87" s="113"/>
      <c r="H87" s="113"/>
      <c r="I87" s="113"/>
      <c r="J87" s="113"/>
      <c r="K87" s="113"/>
      <c r="L87" s="113"/>
      <c r="N87" s="126"/>
    </row>
    <row r="88" spans="1:14">
      <c r="C88" s="3" t="s">
        <v>636</v>
      </c>
      <c r="D88" s="48">
        <v>350.1</v>
      </c>
      <c r="E88" s="48">
        <v>350.2</v>
      </c>
      <c r="F88" s="48">
        <v>352</v>
      </c>
      <c r="G88" s="48">
        <v>353</v>
      </c>
      <c r="H88" s="48">
        <v>354</v>
      </c>
      <c r="I88" s="48">
        <v>355</v>
      </c>
      <c r="J88" s="48">
        <v>356</v>
      </c>
      <c r="K88" s="48">
        <v>357</v>
      </c>
      <c r="L88" s="48">
        <v>358</v>
      </c>
      <c r="M88" s="48">
        <v>359</v>
      </c>
      <c r="N88" s="3"/>
    </row>
    <row r="89" spans="1:14">
      <c r="A89" s="2">
        <f>A82+1</f>
        <v>40</v>
      </c>
      <c r="C89" s="389" t="s">
        <v>2904</v>
      </c>
      <c r="D89" s="582">
        <f>'6-PlantInService'!C167</f>
        <v>-5.7278427555446897E-3</v>
      </c>
      <c r="E89" s="582">
        <f>'6-PlantInService'!D167</f>
        <v>2.3012093908039384E-2</v>
      </c>
      <c r="F89" s="582">
        <f>'6-PlantInService'!E167</f>
        <v>9.9762611616089861E-2</v>
      </c>
      <c r="G89" s="582">
        <f>'6-PlantInService'!F167</f>
        <v>0.1321919762918726</v>
      </c>
      <c r="H89" s="582">
        <f>'6-PlantInService'!G167</f>
        <v>-0.15525485462553276</v>
      </c>
      <c r="I89" s="582">
        <f>'6-PlantInService'!H167</f>
        <v>3.777654212719278E-2</v>
      </c>
      <c r="J89" s="582">
        <f>'6-PlantInService'!I167</f>
        <v>-3.3726549765621366E-2</v>
      </c>
      <c r="K89" s="582">
        <f>'6-PlantInService'!J167</f>
        <v>-7.069864775813982E-4</v>
      </c>
      <c r="L89" s="582">
        <f>'6-PlantInService'!K167</f>
        <v>6.6379506121449329E-3</v>
      </c>
      <c r="M89" s="582">
        <f>'6-PlantInService'!L167</f>
        <v>1.1796035314166928E-3</v>
      </c>
      <c r="N89" s="115"/>
    </row>
    <row r="90" spans="1:14">
      <c r="A90" s="2">
        <f t="shared" ref="A90:A100" si="8">A89+1</f>
        <v>41</v>
      </c>
      <c r="C90" s="389" t="s">
        <v>2905</v>
      </c>
      <c r="D90" s="582">
        <f>'6-PlantInService'!C168</f>
        <v>-9.2275891054601191E-14</v>
      </c>
      <c r="E90" s="582">
        <f>'6-PlantInService'!D168</f>
        <v>-2.818844484198718E-3</v>
      </c>
      <c r="F90" s="582">
        <f>'6-PlantInService'!E168</f>
        <v>4.9016076034171061E-2</v>
      </c>
      <c r="G90" s="582">
        <f>'6-PlantInService'!F168</f>
        <v>0.10645001715410778</v>
      </c>
      <c r="H90" s="582">
        <f>'6-PlantInService'!G168</f>
        <v>3.8391783718818212E-2</v>
      </c>
      <c r="I90" s="582">
        <f>'6-PlantInService'!H168</f>
        <v>7.7706555717879031E-2</v>
      </c>
      <c r="J90" s="582">
        <f>'6-PlantInService'!I168</f>
        <v>-0.15152310579861994</v>
      </c>
      <c r="K90" s="582">
        <f>'6-PlantInService'!J168</f>
        <v>6.941490915854619E-4</v>
      </c>
      <c r="L90" s="582">
        <f>'6-PlantInService'!K168</f>
        <v>-5.4737568676007185E-3</v>
      </c>
      <c r="M90" s="582">
        <f>'6-PlantInService'!L168</f>
        <v>1.482374366882818</v>
      </c>
      <c r="N90" s="115"/>
    </row>
    <row r="91" spans="1:14">
      <c r="A91" s="2">
        <f t="shared" si="8"/>
        <v>42</v>
      </c>
      <c r="C91" s="389" t="s">
        <v>2906</v>
      </c>
      <c r="D91" s="582">
        <f>'6-PlantInService'!C169</f>
        <v>0</v>
      </c>
      <c r="E91" s="582">
        <f>'6-PlantInService'!D169</f>
        <v>1.1052535285429484E-3</v>
      </c>
      <c r="F91" s="582">
        <f>'6-PlantInService'!E169</f>
        <v>6.3315743620372539E-2</v>
      </c>
      <c r="G91" s="582">
        <f>'6-PlantInService'!F169</f>
        <v>2.9076002384870646E-2</v>
      </c>
      <c r="H91" s="582">
        <f>'6-PlantInService'!G169</f>
        <v>0.53796075488165618</v>
      </c>
      <c r="I91" s="582">
        <f>'6-PlantInService'!H169</f>
        <v>8.2328694356157708E-2</v>
      </c>
      <c r="J91" s="582">
        <f>'6-PlantInService'!I169</f>
        <v>0.2986321006583183</v>
      </c>
      <c r="K91" s="582">
        <f>'6-PlantInService'!J169</f>
        <v>1.0604797141542195E-4</v>
      </c>
      <c r="L91" s="582">
        <f>'6-PlantInService'!K169</f>
        <v>0.27972138975530075</v>
      </c>
      <c r="M91" s="582">
        <f>'6-PlantInService'!L169</f>
        <v>-2.1368959490981085E-3</v>
      </c>
      <c r="N91" s="115"/>
    </row>
    <row r="92" spans="1:14">
      <c r="A92" s="2">
        <f t="shared" si="8"/>
        <v>43</v>
      </c>
      <c r="C92" s="389" t="s">
        <v>2907</v>
      </c>
      <c r="D92" s="582">
        <f>'6-PlantInService'!C170</f>
        <v>4.6137945527300598E-13</v>
      </c>
      <c r="E92" s="582">
        <f>'6-PlantInService'!D170</f>
        <v>4.3956191188420507E-3</v>
      </c>
      <c r="F92" s="582">
        <f>'6-PlantInService'!E170</f>
        <v>3.7204627639035551E-2</v>
      </c>
      <c r="G92" s="582">
        <f>'6-PlantInService'!F170</f>
        <v>6.1309012042099438E-2</v>
      </c>
      <c r="H92" s="582">
        <f>'6-PlantInService'!G170</f>
        <v>-0.14243652849151664</v>
      </c>
      <c r="I92" s="582">
        <f>'6-PlantInService'!H170</f>
        <v>-0.26918320519359168</v>
      </c>
      <c r="J92" s="582">
        <f>'6-PlantInService'!I170</f>
        <v>4.7182439838623748E-3</v>
      </c>
      <c r="K92" s="582">
        <f>'6-PlantInService'!J170</f>
        <v>2.7243165767710763E-3</v>
      </c>
      <c r="L92" s="582">
        <f>'6-PlantInService'!K170</f>
        <v>5.162181275195089E-3</v>
      </c>
      <c r="M92" s="582">
        <f>'6-PlantInService'!L170</f>
        <v>1.6518832993894457E-2</v>
      </c>
      <c r="N92" s="115"/>
    </row>
    <row r="93" spans="1:14">
      <c r="A93" s="2">
        <f t="shared" si="8"/>
        <v>44</v>
      </c>
      <c r="C93" s="389" t="s">
        <v>2908</v>
      </c>
      <c r="D93" s="582">
        <f>'6-PlantInService'!C171</f>
        <v>-8.1270766652305742E-3</v>
      </c>
      <c r="E93" s="582">
        <f>'6-PlantInService'!D171</f>
        <v>0.95477463128570006</v>
      </c>
      <c r="F93" s="582">
        <f>'6-PlantInService'!E171</f>
        <v>0.20218310538404297</v>
      </c>
      <c r="G93" s="582">
        <f>'6-PlantInService'!F171</f>
        <v>0.11451263881704855</v>
      </c>
      <c r="H93" s="582">
        <f>'6-PlantInService'!G171</f>
        <v>8.954790835189079E-2</v>
      </c>
      <c r="I93" s="582">
        <f>'6-PlantInService'!H171</f>
        <v>9.8547763256407392E-2</v>
      </c>
      <c r="J93" s="582">
        <f>'6-PlantInService'!I171</f>
        <v>-0.59206345070222433</v>
      </c>
      <c r="K93" s="582">
        <f>'6-PlantInService'!J171</f>
        <v>1.5162999409032958E-4</v>
      </c>
      <c r="L93" s="582">
        <f>'6-PlantInService'!K171</f>
        <v>-8.6189505621224992E-4</v>
      </c>
      <c r="M93" s="582">
        <f>'6-PlantInService'!L171</f>
        <v>6.6993061623989462E-3</v>
      </c>
      <c r="N93" s="115"/>
    </row>
    <row r="94" spans="1:14">
      <c r="A94" s="2">
        <f t="shared" si="8"/>
        <v>45</v>
      </c>
      <c r="C94" s="389" t="s">
        <v>2909</v>
      </c>
      <c r="D94" s="582">
        <f>'6-PlantInService'!C172</f>
        <v>-7.3294787722160498E-2</v>
      </c>
      <c r="E94" s="582">
        <f>'6-PlantInService'!D172</f>
        <v>1.0981694592167229E-2</v>
      </c>
      <c r="F94" s="582">
        <f>'6-PlantInService'!E172</f>
        <v>0.24745979036074303</v>
      </c>
      <c r="G94" s="582">
        <f>'6-PlantInService'!F172</f>
        <v>-4.5540407680685728E-2</v>
      </c>
      <c r="H94" s="582">
        <f>'6-PlantInService'!G172</f>
        <v>4.5443959512164935E-2</v>
      </c>
      <c r="I94" s="582">
        <f>'6-PlantInService'!H172</f>
        <v>0.33637085604306627</v>
      </c>
      <c r="J94" s="582">
        <f>'6-PlantInService'!I172</f>
        <v>-5.0956158076561335E-2</v>
      </c>
      <c r="K94" s="582">
        <f>'6-PlantInService'!J172</f>
        <v>-0.61655639538095885</v>
      </c>
      <c r="L94" s="582">
        <f>'6-PlantInService'!K172</f>
        <v>6.902773367158041E-2</v>
      </c>
      <c r="M94" s="582">
        <f>'6-PlantInService'!L172</f>
        <v>-1.8522449885560663E-2</v>
      </c>
      <c r="N94" s="115"/>
    </row>
    <row r="95" spans="1:14">
      <c r="A95" s="2">
        <f t="shared" si="8"/>
        <v>46</v>
      </c>
      <c r="C95" s="389" t="s">
        <v>2910</v>
      </c>
      <c r="D95" s="582">
        <f>'6-PlantInService'!C173</f>
        <v>-2.4438201279577566E-3</v>
      </c>
      <c r="E95" s="582">
        <f>'6-PlantInService'!D173</f>
        <v>6.9585866305856177E-3</v>
      </c>
      <c r="F95" s="582">
        <f>'6-PlantInService'!E173</f>
        <v>6.4430106739610235E-2</v>
      </c>
      <c r="G95" s="582">
        <f>'6-PlantInService'!F173</f>
        <v>7.341707664361688E-2</v>
      </c>
      <c r="H95" s="582">
        <f>'6-PlantInService'!G173</f>
        <v>0.15764541273121341</v>
      </c>
      <c r="I95" s="582">
        <f>'6-PlantInService'!H173</f>
        <v>7.3283421950758154E-2</v>
      </c>
      <c r="J95" s="582">
        <f>'6-PlantInService'!I173</f>
        <v>-0.24182945751624477</v>
      </c>
      <c r="K95" s="582">
        <f>'6-PlantInService'!J173</f>
        <v>1.615757128563545</v>
      </c>
      <c r="L95" s="582">
        <f>'6-PlantInService'!K173</f>
        <v>-3.4358262888397051E-3</v>
      </c>
      <c r="M95" s="582">
        <f>'6-PlantInService'!L173</f>
        <v>5.146340863975184E-3</v>
      </c>
      <c r="N95" s="115"/>
    </row>
    <row r="96" spans="1:14">
      <c r="A96" s="2">
        <f t="shared" si="8"/>
        <v>47</v>
      </c>
      <c r="C96" s="389" t="s">
        <v>2911</v>
      </c>
      <c r="D96" s="582">
        <f>'6-PlantInService'!C174</f>
        <v>-2.0450954912440162E-2</v>
      </c>
      <c r="E96" s="582">
        <f>'6-PlantInService'!D174</f>
        <v>8.3894780472304337E-3</v>
      </c>
      <c r="F96" s="582">
        <f>'6-PlantInService'!E174</f>
        <v>8.8639778346490936E-2</v>
      </c>
      <c r="G96" s="582">
        <f>'6-PlantInService'!F174</f>
        <v>-1.4405487810172259E-2</v>
      </c>
      <c r="H96" s="582">
        <f>'6-PlantInService'!G174</f>
        <v>-4.2997877186884753E-3</v>
      </c>
      <c r="I96" s="582">
        <f>'6-PlantInService'!H174</f>
        <v>7.1877709651452959E-2</v>
      </c>
      <c r="J96" s="582">
        <f>'6-PlantInService'!I174</f>
        <v>-5.9696386246427063E-2</v>
      </c>
      <c r="K96" s="582">
        <f>'6-PlantInService'!J174</f>
        <v>-2.5172439585576609E-3</v>
      </c>
      <c r="L96" s="582">
        <f>'6-PlantInService'!K174</f>
        <v>1.7709470230364746E-2</v>
      </c>
      <c r="M96" s="582">
        <f>'6-PlantInService'!L174</f>
        <v>8.1040376825796773E-5</v>
      </c>
      <c r="N96" s="115"/>
    </row>
    <row r="97" spans="1:14">
      <c r="A97" s="2">
        <f t="shared" si="8"/>
        <v>48</v>
      </c>
      <c r="C97" s="389" t="s">
        <v>2912</v>
      </c>
      <c r="D97" s="582">
        <f>'6-PlantInService'!C175</f>
        <v>-0.6525735412508189</v>
      </c>
      <c r="E97" s="582">
        <f>'6-PlantInService'!D175</f>
        <v>1.254426024262602E-2</v>
      </c>
      <c r="F97" s="582">
        <f>'6-PlantInService'!E175</f>
        <v>6.9839610023008205E-3</v>
      </c>
      <c r="G97" s="582">
        <f>'6-PlantInService'!F175</f>
        <v>4.7664000158233237E-2</v>
      </c>
      <c r="H97" s="582">
        <f>'6-PlantInService'!G175</f>
        <v>7.5831638673703695E-3</v>
      </c>
      <c r="I97" s="582">
        <f>'6-PlantInService'!H175</f>
        <v>0.13787370698706658</v>
      </c>
      <c r="J97" s="582">
        <f>'6-PlantInService'!I175</f>
        <v>0.57024848536849293</v>
      </c>
      <c r="K97" s="582">
        <f>'6-PlantInService'!J175</f>
        <v>3.3377203700328149E-4</v>
      </c>
      <c r="L97" s="582">
        <f>'6-PlantInService'!K175</f>
        <v>4.7665724731586971E-2</v>
      </c>
      <c r="M97" s="582">
        <f>'6-PlantInService'!L175</f>
        <v>-0.49858687326623286</v>
      </c>
      <c r="N97" s="115"/>
    </row>
    <row r="98" spans="1:14">
      <c r="A98" s="2">
        <f t="shared" si="8"/>
        <v>49</v>
      </c>
      <c r="C98" s="389" t="s">
        <v>2913</v>
      </c>
      <c r="D98" s="582">
        <f>'6-PlantInService'!C176</f>
        <v>-7.4175117819046385E-2</v>
      </c>
      <c r="E98" s="582">
        <f>'6-PlantInService'!D176</f>
        <v>-1.1444249904057841E-2</v>
      </c>
      <c r="F98" s="582">
        <f>'6-PlantInService'!E176</f>
        <v>9.2769981279014705E-3</v>
      </c>
      <c r="G98" s="582">
        <f>'6-PlantInService'!F176</f>
        <v>8.6370398376892782E-2</v>
      </c>
      <c r="H98" s="582">
        <f>'6-PlantInService'!G176</f>
        <v>0.1823739943575278</v>
      </c>
      <c r="I98" s="582">
        <f>'6-PlantInService'!H176</f>
        <v>0.15077438739640789</v>
      </c>
      <c r="J98" s="582">
        <f>'6-PlantInService'!I176</f>
        <v>1.104783746527068</v>
      </c>
      <c r="K98" s="582">
        <f>'6-PlantInService'!J176</f>
        <v>1.3023433782614876E-6</v>
      </c>
      <c r="L98" s="582">
        <f>'6-PlantInService'!K176</f>
        <v>2.9870758328075101E-3</v>
      </c>
      <c r="M98" s="582">
        <f>'6-PlantInService'!L176</f>
        <v>4.8639259911804275E-3</v>
      </c>
      <c r="N98" s="115"/>
    </row>
    <row r="99" spans="1:14">
      <c r="A99" s="2">
        <f t="shared" si="8"/>
        <v>50</v>
      </c>
      <c r="C99" s="389" t="s">
        <v>2914</v>
      </c>
      <c r="D99" s="582">
        <f>'6-PlantInService'!C177</f>
        <v>1.8367931412530143</v>
      </c>
      <c r="E99" s="582">
        <f>'6-PlantInService'!D177</f>
        <v>-8.1620513960320596E-3</v>
      </c>
      <c r="F99" s="582">
        <f>'6-PlantInService'!E177</f>
        <v>9.4281306623502259E-2</v>
      </c>
      <c r="G99" s="582">
        <f>'6-PlantInService'!F177</f>
        <v>0.1629760478232006</v>
      </c>
      <c r="H99" s="582">
        <f>'6-PlantInService'!G177</f>
        <v>8.6010742600535817E-2</v>
      </c>
      <c r="I99" s="582">
        <f>'6-PlantInService'!H177</f>
        <v>8.2181063703058402E-2</v>
      </c>
      <c r="J99" s="582">
        <f>'6-PlantInService'!I177</f>
        <v>-3.4916996163436166E-2</v>
      </c>
      <c r="K99" s="582">
        <f>'6-PlantInService'!J177</f>
        <v>1.1162944826439738E-6</v>
      </c>
      <c r="L99" s="582">
        <f>'6-PlantInService'!K177</f>
        <v>0.5850260996391029</v>
      </c>
      <c r="M99" s="582">
        <f>'6-PlantInService'!L177</f>
        <v>1.8650997236138826E-3</v>
      </c>
      <c r="N99" s="115"/>
    </row>
    <row r="100" spans="1:14">
      <c r="A100" s="2">
        <f t="shared" si="8"/>
        <v>51</v>
      </c>
      <c r="C100" s="389" t="s">
        <v>2915</v>
      </c>
      <c r="D100" s="582">
        <f>'6-PlantInService'!C178</f>
        <v>-1.8455178210920238E-13</v>
      </c>
      <c r="E100" s="582">
        <f>'6-PlantInService'!D178</f>
        <v>2.6352843055483594E-4</v>
      </c>
      <c r="F100" s="582">
        <f>'6-PlantInService'!E178</f>
        <v>3.7445894505739284E-2</v>
      </c>
      <c r="G100" s="582">
        <f>'6-PlantInService'!F178</f>
        <v>0.24597872579891547</v>
      </c>
      <c r="H100" s="582">
        <f>'6-PlantInService'!G178</f>
        <v>0.15703345081456033</v>
      </c>
      <c r="I100" s="582">
        <f>'6-PlantInService'!H178</f>
        <v>0.12046250400414454</v>
      </c>
      <c r="J100" s="582">
        <f>'6-PlantInService'!I178</f>
        <v>0.18632952773139344</v>
      </c>
      <c r="K100" s="582">
        <f>'6-PlantInService'!J178</f>
        <v>1.1162944826439738E-5</v>
      </c>
      <c r="L100" s="582">
        <f>'6-PlantInService'!K178</f>
        <v>-4.1661475354306523E-3</v>
      </c>
      <c r="M100" s="582">
        <f>'6-PlantInService'!L178</f>
        <v>5.1770257476826942E-4</v>
      </c>
      <c r="N100" s="185"/>
    </row>
    <row r="102" spans="1:14">
      <c r="C102" s="1" t="s">
        <v>760</v>
      </c>
    </row>
    <row r="104" spans="1:14">
      <c r="C104" s="234" t="s">
        <v>761</v>
      </c>
    </row>
    <row r="105" spans="1:14">
      <c r="C105" s="12"/>
      <c r="D105" s="48">
        <v>350.1</v>
      </c>
      <c r="E105" s="48">
        <v>350.2</v>
      </c>
      <c r="F105" s="48">
        <v>352</v>
      </c>
      <c r="G105" s="48">
        <v>353</v>
      </c>
      <c r="H105" s="48">
        <v>354</v>
      </c>
      <c r="I105" s="48">
        <v>355</v>
      </c>
      <c r="J105" s="48">
        <v>356</v>
      </c>
      <c r="K105" s="48">
        <v>357</v>
      </c>
      <c r="L105" s="48">
        <v>358</v>
      </c>
      <c r="M105" s="48">
        <v>359</v>
      </c>
      <c r="N105" s="3" t="s">
        <v>244</v>
      </c>
    </row>
    <row r="106" spans="1:14">
      <c r="A106" s="2">
        <f>A100+1</f>
        <v>52</v>
      </c>
      <c r="C106" s="12"/>
      <c r="D106" s="6">
        <f t="shared" ref="D106:M106" si="9">D24-D12</f>
        <v>0</v>
      </c>
      <c r="E106" s="6">
        <f t="shared" si="9"/>
        <v>2796455.7406757027</v>
      </c>
      <c r="F106" s="6">
        <f t="shared" si="9"/>
        <v>21352554.204914957</v>
      </c>
      <c r="G106" s="6">
        <f t="shared" si="9"/>
        <v>80832390.468036056</v>
      </c>
      <c r="H106" s="6">
        <f t="shared" si="9"/>
        <v>39404518.851037621</v>
      </c>
      <c r="I106" s="6">
        <f t="shared" si="9"/>
        <v>13568522.789318375</v>
      </c>
      <c r="J106" s="6">
        <f t="shared" si="9"/>
        <v>41308626.82179594</v>
      </c>
      <c r="K106" s="6">
        <f t="shared" si="9"/>
        <v>3165801.8873414285</v>
      </c>
      <c r="L106" s="6">
        <f t="shared" si="9"/>
        <v>2972230.6088458225</v>
      </c>
      <c r="M106" s="6">
        <f t="shared" si="9"/>
        <v>3170418.5295526758</v>
      </c>
      <c r="N106" s="6">
        <f>SUM(D106:M106)</f>
        <v>208571519.90151861</v>
      </c>
    </row>
    <row r="107" spans="1:14">
      <c r="C107" s="234" t="s">
        <v>762</v>
      </c>
    </row>
    <row r="108" spans="1:14">
      <c r="C108" s="12"/>
      <c r="D108" s="48">
        <v>350.1</v>
      </c>
      <c r="E108" s="48">
        <v>350.2</v>
      </c>
      <c r="F108" s="48">
        <v>352</v>
      </c>
      <c r="G108" s="48">
        <v>353</v>
      </c>
      <c r="H108" s="48">
        <v>354</v>
      </c>
      <c r="I108" s="48">
        <v>355</v>
      </c>
      <c r="J108" s="48">
        <v>356</v>
      </c>
      <c r="K108" s="48">
        <v>357</v>
      </c>
      <c r="L108" s="48">
        <v>358</v>
      </c>
      <c r="M108" s="48">
        <v>359</v>
      </c>
      <c r="N108" s="3" t="s">
        <v>244</v>
      </c>
    </row>
    <row r="109" spans="1:14">
      <c r="A109" s="2">
        <f>A106+1</f>
        <v>53</v>
      </c>
      <c r="C109" s="12"/>
      <c r="D109" s="6">
        <f t="shared" ref="D109:M109" si="10">D82</f>
        <v>0</v>
      </c>
      <c r="E109" s="6">
        <f t="shared" si="10"/>
        <v>3114005.6326272343</v>
      </c>
      <c r="F109" s="6">
        <f t="shared" si="10"/>
        <v>23689994.671514049</v>
      </c>
      <c r="G109" s="6">
        <f t="shared" si="10"/>
        <v>109763057.67864294</v>
      </c>
      <c r="H109" s="6">
        <f t="shared" si="10"/>
        <v>61110076.179154217</v>
      </c>
      <c r="I109" s="6">
        <f t="shared" si="10"/>
        <v>23382067.803252228</v>
      </c>
      <c r="J109" s="6">
        <f t="shared" si="10"/>
        <v>51703104.259240113</v>
      </c>
      <c r="K109" s="6">
        <f t="shared" si="10"/>
        <v>3552585.0399562144</v>
      </c>
      <c r="L109" s="6">
        <f t="shared" si="10"/>
        <v>2273737.1924609994</v>
      </c>
      <c r="M109" s="6">
        <f t="shared" si="10"/>
        <v>3524071.3953285269</v>
      </c>
      <c r="N109" s="6">
        <f>SUM(D109:M109)</f>
        <v>282112699.85217649</v>
      </c>
    </row>
    <row r="110" spans="1:14">
      <c r="C110" s="234" t="s">
        <v>763</v>
      </c>
    </row>
    <row r="111" spans="1:14">
      <c r="D111" s="48">
        <v>350.1</v>
      </c>
      <c r="E111" s="48">
        <v>350.2</v>
      </c>
      <c r="F111" s="48">
        <v>352</v>
      </c>
      <c r="G111" s="48">
        <v>353</v>
      </c>
      <c r="H111" s="48">
        <v>354</v>
      </c>
      <c r="I111" s="48">
        <v>355</v>
      </c>
      <c r="J111" s="48">
        <v>356</v>
      </c>
      <c r="K111" s="48">
        <v>357</v>
      </c>
      <c r="L111" s="48">
        <v>358</v>
      </c>
      <c r="M111" s="48">
        <v>359</v>
      </c>
      <c r="N111" s="3" t="s">
        <v>244</v>
      </c>
    </row>
    <row r="112" spans="1:14">
      <c r="A112" s="2">
        <f>A109+1</f>
        <v>54</v>
      </c>
      <c r="D112" s="6">
        <f t="shared" ref="D112:M112" si="11">D106-D109</f>
        <v>0</v>
      </c>
      <c r="E112" s="6">
        <f t="shared" si="11"/>
        <v>-317549.89195153164</v>
      </c>
      <c r="F112" s="6">
        <f t="shared" si="11"/>
        <v>-2337440.4665990919</v>
      </c>
      <c r="G112" s="6">
        <f t="shared" si="11"/>
        <v>-28930667.210606888</v>
      </c>
      <c r="H112" s="6">
        <f t="shared" si="11"/>
        <v>-21705557.328116596</v>
      </c>
      <c r="I112" s="6">
        <f t="shared" si="11"/>
        <v>-9813545.0139338523</v>
      </c>
      <c r="J112" s="6">
        <f t="shared" si="11"/>
        <v>-10394477.437444173</v>
      </c>
      <c r="K112" s="6">
        <f t="shared" si="11"/>
        <v>-386783.15261478582</v>
      </c>
      <c r="L112" s="6">
        <f t="shared" si="11"/>
        <v>698493.41638482315</v>
      </c>
      <c r="M112" s="6">
        <f t="shared" si="11"/>
        <v>-353652.86577585107</v>
      </c>
      <c r="N112" s="6">
        <f>SUM(D112:M112)</f>
        <v>-73541179.950657949</v>
      </c>
    </row>
    <row r="114" spans="1:14">
      <c r="C114" s="1" t="s">
        <v>764</v>
      </c>
      <c r="D114" s="235"/>
      <c r="E114" s="235"/>
      <c r="F114" s="235"/>
      <c r="G114" s="235"/>
      <c r="H114" s="235"/>
      <c r="I114" s="235"/>
      <c r="J114" s="235"/>
      <c r="K114" s="235"/>
      <c r="L114" s="235"/>
    </row>
    <row r="115" spans="1:14">
      <c r="C115" s="235"/>
      <c r="D115" s="235"/>
      <c r="E115" s="235"/>
      <c r="F115" s="235"/>
      <c r="G115" s="235"/>
      <c r="H115" s="235"/>
      <c r="I115" s="235"/>
      <c r="J115" s="235"/>
      <c r="K115" s="235"/>
      <c r="L115" s="235"/>
    </row>
    <row r="116" spans="1:14">
      <c r="C116" s="48" t="s">
        <v>329</v>
      </c>
      <c r="D116" s="48" t="s">
        <v>330</v>
      </c>
      <c r="E116" s="48" t="s">
        <v>331</v>
      </c>
      <c r="F116" s="48" t="s">
        <v>332</v>
      </c>
      <c r="G116" s="48" t="s">
        <v>333</v>
      </c>
      <c r="H116" s="48" t="s">
        <v>334</v>
      </c>
      <c r="I116" s="48" t="s">
        <v>335</v>
      </c>
      <c r="J116" s="48" t="s">
        <v>336</v>
      </c>
      <c r="K116" s="48" t="s">
        <v>337</v>
      </c>
      <c r="L116" s="48" t="s">
        <v>582</v>
      </c>
      <c r="M116" s="48" t="s">
        <v>583</v>
      </c>
      <c r="N116" s="48" t="s">
        <v>584</v>
      </c>
    </row>
    <row r="117" spans="1:14">
      <c r="C117" s="126"/>
      <c r="D117" s="113"/>
      <c r="E117" s="113"/>
      <c r="F117" s="113"/>
      <c r="G117" s="113"/>
      <c r="H117" s="113"/>
      <c r="I117" s="113"/>
      <c r="J117" s="113"/>
      <c r="K117" s="113"/>
      <c r="L117" s="113"/>
      <c r="N117" s="126" t="s">
        <v>635</v>
      </c>
    </row>
    <row r="118" spans="1:14">
      <c r="C118" s="3" t="s">
        <v>636</v>
      </c>
      <c r="D118" s="48">
        <v>350.1</v>
      </c>
      <c r="E118" s="48">
        <v>350.2</v>
      </c>
      <c r="F118" s="48">
        <v>352</v>
      </c>
      <c r="G118" s="48">
        <v>353</v>
      </c>
      <c r="H118" s="48">
        <v>354</v>
      </c>
      <c r="I118" s="48">
        <v>355</v>
      </c>
      <c r="J118" s="48">
        <v>356</v>
      </c>
      <c r="K118" s="48">
        <v>357</v>
      </c>
      <c r="L118" s="48">
        <v>358</v>
      </c>
      <c r="M118" s="48">
        <v>359</v>
      </c>
      <c r="N118" s="3" t="s">
        <v>244</v>
      </c>
    </row>
    <row r="119" spans="1:14">
      <c r="A119" s="2">
        <f>A112+1</f>
        <v>55</v>
      </c>
      <c r="C119" s="389" t="s">
        <v>2904</v>
      </c>
      <c r="D119" s="115">
        <f>D$112*D89</f>
        <v>0</v>
      </c>
      <c r="E119" s="115">
        <f t="shared" ref="E119:M119" si="12">E$112*E89</f>
        <v>-7307.4879340764055</v>
      </c>
      <c r="F119" s="115">
        <f t="shared" si="12"/>
        <v>-233189.16544505706</v>
      </c>
      <c r="G119" s="115">
        <f t="shared" si="12"/>
        <v>-3824402.0740126017</v>
      </c>
      <c r="H119" s="115">
        <f t="shared" si="12"/>
        <v>3369893.1475429093</v>
      </c>
      <c r="I119" s="115">
        <f t="shared" si="12"/>
        <v>-370721.79663597484</v>
      </c>
      <c r="J119" s="115">
        <f t="shared" si="12"/>
        <v>350569.86058158934</v>
      </c>
      <c r="K119" s="115">
        <f t="shared" si="12"/>
        <v>273.45045865495581</v>
      </c>
      <c r="L119" s="115">
        <f t="shared" si="12"/>
        <v>4636.5648008708422</v>
      </c>
      <c r="M119" s="115">
        <f t="shared" si="12"/>
        <v>-417.17016936482759</v>
      </c>
      <c r="N119" s="115">
        <f>SUM(D119:M119)</f>
        <v>-710664.67081305047</v>
      </c>
    </row>
    <row r="120" spans="1:14">
      <c r="A120" s="2">
        <f t="shared" ref="A120:A131" si="13">A119+1</f>
        <v>56</v>
      </c>
      <c r="C120" s="389" t="s">
        <v>2905</v>
      </c>
      <c r="D120" s="115">
        <f t="shared" ref="D120:M130" si="14">D$112*D90</f>
        <v>0</v>
      </c>
      <c r="E120" s="115">
        <f t="shared" si="14"/>
        <v>895.12376138547381</v>
      </c>
      <c r="F120" s="115">
        <f t="shared" si="14"/>
        <v>-114572.15963616937</v>
      </c>
      <c r="G120" s="115">
        <f t="shared" si="14"/>
        <v>-3079670.0208488866</v>
      </c>
      <c r="H120" s="115">
        <f t="shared" si="14"/>
        <v>-833315.06243746204</v>
      </c>
      <c r="I120" s="115">
        <f t="shared" si="14"/>
        <v>-762576.78241516487</v>
      </c>
      <c r="J120" s="115">
        <f t="shared" si="14"/>
        <v>1575003.5044752213</v>
      </c>
      <c r="K120" s="115">
        <f t="shared" si="14"/>
        <v>-268.48517402811467</v>
      </c>
      <c r="L120" s="115">
        <f t="shared" si="14"/>
        <v>-3823.3831349103139</v>
      </c>
      <c r="M120" s="115">
        <f t="shared" si="14"/>
        <v>-524245.94300077145</v>
      </c>
      <c r="N120" s="115">
        <f t="shared" ref="N120:N130" si="15">SUM(D120:M120)</f>
        <v>-3742573.2084107865</v>
      </c>
    </row>
    <row r="121" spans="1:14">
      <c r="A121" s="2">
        <f t="shared" si="13"/>
        <v>57</v>
      </c>
      <c r="C121" s="389" t="s">
        <v>2906</v>
      </c>
      <c r="D121" s="115">
        <f t="shared" si="14"/>
        <v>0</v>
      </c>
      <c r="E121" s="115">
        <f t="shared" si="14"/>
        <v>-350.97313856786235</v>
      </c>
      <c r="F121" s="115">
        <f t="shared" si="14"/>
        <v>-147996.78131107206</v>
      </c>
      <c r="G121" s="115">
        <f t="shared" si="14"/>
        <v>-841188.14881150483</v>
      </c>
      <c r="H121" s="115">
        <f t="shared" si="14"/>
        <v>-11676738.005360669</v>
      </c>
      <c r="I121" s="115">
        <f t="shared" si="14"/>
        <v>-807936.34800255555</v>
      </c>
      <c r="J121" s="115">
        <f t="shared" si="14"/>
        <v>-3104124.6323894467</v>
      </c>
      <c r="K121" s="115">
        <f t="shared" si="14"/>
        <v>-41.017568712459592</v>
      </c>
      <c r="L121" s="115">
        <f t="shared" si="14"/>
        <v>195383.5491660907</v>
      </c>
      <c r="M121" s="115">
        <f t="shared" si="14"/>
        <v>755.71937626335318</v>
      </c>
      <c r="N121" s="115">
        <f t="shared" si="15"/>
        <v>-16382236.638040174</v>
      </c>
    </row>
    <row r="122" spans="1:14">
      <c r="A122" s="2">
        <f t="shared" si="13"/>
        <v>58</v>
      </c>
      <c r="C122" s="389" t="s">
        <v>2907</v>
      </c>
      <c r="D122" s="115">
        <f t="shared" si="14"/>
        <v>0</v>
      </c>
      <c r="E122" s="115">
        <f t="shared" si="14"/>
        <v>-1395.82837624838</v>
      </c>
      <c r="F122" s="115">
        <f t="shared" si="14"/>
        <v>-86963.602188232733</v>
      </c>
      <c r="G122" s="115">
        <f t="shared" si="14"/>
        <v>-1773710.624401069</v>
      </c>
      <c r="H122" s="115">
        <f t="shared" si="14"/>
        <v>3091664.2347905273</v>
      </c>
      <c r="I122" s="115">
        <f t="shared" si="14"/>
        <v>2641641.5011623045</v>
      </c>
      <c r="J122" s="115">
        <f t="shared" si="14"/>
        <v>-49043.68063461416</v>
      </c>
      <c r="K122" s="115">
        <f t="shared" si="14"/>
        <v>-1053.719754284238</v>
      </c>
      <c r="L122" s="115">
        <f t="shared" si="14"/>
        <v>3605.7496349087805</v>
      </c>
      <c r="M122" s="115">
        <f t="shared" si="14"/>
        <v>-5841.9326275634567</v>
      </c>
      <c r="N122" s="115">
        <f t="shared" si="15"/>
        <v>3818902.097605729</v>
      </c>
    </row>
    <row r="123" spans="1:14">
      <c r="A123" s="2">
        <f t="shared" si="13"/>
        <v>59</v>
      </c>
      <c r="C123" s="389" t="s">
        <v>2908</v>
      </c>
      <c r="D123" s="115">
        <f t="shared" si="14"/>
        <v>0</v>
      </c>
      <c r="E123" s="115">
        <f t="shared" si="14"/>
        <v>-303188.58100283751</v>
      </c>
      <c r="F123" s="115">
        <f t="shared" si="14"/>
        <v>-472590.97218733077</v>
      </c>
      <c r="G123" s="115">
        <f t="shared" si="14"/>
        <v>-3312927.045024456</v>
      </c>
      <c r="H123" s="115">
        <f t="shared" si="14"/>
        <v>-1943687.2583448964</v>
      </c>
      <c r="I123" s="115">
        <f t="shared" si="14"/>
        <v>-967102.91073925048</v>
      </c>
      <c r="J123" s="115">
        <f t="shared" si="14"/>
        <v>6154190.1798596112</v>
      </c>
      <c r="K123" s="115">
        <f t="shared" si="14"/>
        <v>-58.647927145219015</v>
      </c>
      <c r="L123" s="115">
        <f t="shared" si="14"/>
        <v>-602.02802237888363</v>
      </c>
      <c r="M123" s="115">
        <f t="shared" si="14"/>
        <v>-2369.2288230422064</v>
      </c>
      <c r="N123" s="115">
        <f t="shared" si="15"/>
        <v>-848336.49221172626</v>
      </c>
    </row>
    <row r="124" spans="1:14">
      <c r="A124" s="2">
        <f t="shared" si="13"/>
        <v>60</v>
      </c>
      <c r="C124" s="389" t="s">
        <v>2909</v>
      </c>
      <c r="D124" s="115">
        <f t="shared" si="14"/>
        <v>0</v>
      </c>
      <c r="E124" s="115">
        <f t="shared" si="14"/>
        <v>-3487.2359311874229</v>
      </c>
      <c r="F124" s="115">
        <f t="shared" si="14"/>
        <v>-578422.52784532867</v>
      </c>
      <c r="G124" s="115">
        <f t="shared" si="14"/>
        <v>1317514.3792452847</v>
      </c>
      <c r="H124" s="115">
        <f t="shared" si="14"/>
        <v>-986386.46840790543</v>
      </c>
      <c r="I124" s="115">
        <f t="shared" si="14"/>
        <v>-3300990.5371540948</v>
      </c>
      <c r="J124" s="115">
        <f t="shared" si="14"/>
        <v>529662.6354256554</v>
      </c>
      <c r="K124" s="115">
        <f t="shared" si="14"/>
        <v>238473.62637025563</v>
      </c>
      <c r="L124" s="115">
        <f t="shared" si="14"/>
        <v>48215.417517563896</v>
      </c>
      <c r="M124" s="115">
        <f t="shared" si="14"/>
        <v>6550.5174832181128</v>
      </c>
      <c r="N124" s="115">
        <f t="shared" si="15"/>
        <v>-2728870.1932965387</v>
      </c>
    </row>
    <row r="125" spans="1:14">
      <c r="A125" s="2">
        <f t="shared" si="13"/>
        <v>61</v>
      </c>
      <c r="C125" s="389" t="s">
        <v>2910</v>
      </c>
      <c r="D125" s="115">
        <f t="shared" si="14"/>
        <v>0</v>
      </c>
      <c r="E125" s="115">
        <f t="shared" si="14"/>
        <v>-2209.6984326778356</v>
      </c>
      <c r="F125" s="115">
        <f t="shared" si="14"/>
        <v>-150601.53876046385</v>
      </c>
      <c r="G125" s="115">
        <f t="shared" si="14"/>
        <v>-2124005.0119520999</v>
      </c>
      <c r="H125" s="115">
        <f t="shared" si="14"/>
        <v>-3421781.5435519544</v>
      </c>
      <c r="I125" s="115">
        <f t="shared" si="14"/>
        <v>-719170.16008887335</v>
      </c>
      <c r="J125" s="115">
        <f t="shared" si="14"/>
        <v>2513690.8398619704</v>
      </c>
      <c r="K125" s="115">
        <f t="shared" si="14"/>
        <v>-624947.63604562171</v>
      </c>
      <c r="L125" s="115">
        <f t="shared" si="14"/>
        <v>-2399.9020425964336</v>
      </c>
      <c r="M125" s="115">
        <f t="shared" si="14"/>
        <v>-1820.0181948041932</v>
      </c>
      <c r="N125" s="115">
        <f t="shared" si="15"/>
        <v>-4533244.6692071212</v>
      </c>
    </row>
    <row r="126" spans="1:14">
      <c r="A126" s="2">
        <f t="shared" si="13"/>
        <v>62</v>
      </c>
      <c r="C126" s="389" t="s">
        <v>2911</v>
      </c>
      <c r="D126" s="115">
        <f t="shared" si="14"/>
        <v>0</v>
      </c>
      <c r="E126" s="115">
        <f t="shared" si="14"/>
        <v>-2664.0778474277708</v>
      </c>
      <c r="F126" s="115">
        <f t="shared" si="14"/>
        <v>-207190.20485746185</v>
      </c>
      <c r="G126" s="115">
        <f t="shared" si="14"/>
        <v>416760.37384254776</v>
      </c>
      <c r="H126" s="115">
        <f t="shared" si="14"/>
        <v>93329.288826724369</v>
      </c>
      <c r="I126" s="115">
        <f t="shared" si="14"/>
        <v>-705375.13916300132</v>
      </c>
      <c r="J126" s="115">
        <f t="shared" si="14"/>
        <v>620512.73993543873</v>
      </c>
      <c r="K126" s="115">
        <f t="shared" si="14"/>
        <v>973.62755419145537</v>
      </c>
      <c r="L126" s="115">
        <f t="shared" si="14"/>
        <v>12369.948363572792</v>
      </c>
      <c r="M126" s="115">
        <f t="shared" si="14"/>
        <v>-28.660161507997898</v>
      </c>
      <c r="N126" s="115">
        <f t="shared" si="15"/>
        <v>228687.89649307617</v>
      </c>
    </row>
    <row r="127" spans="1:14">
      <c r="A127" s="2">
        <f t="shared" si="13"/>
        <v>63</v>
      </c>
      <c r="C127" s="389" t="s">
        <v>2912</v>
      </c>
      <c r="D127" s="115">
        <f t="shared" si="14"/>
        <v>0</v>
      </c>
      <c r="E127" s="115">
        <f t="shared" si="14"/>
        <v>-3983.4284846577866</v>
      </c>
      <c r="F127" s="115">
        <f t="shared" si="14"/>
        <v>-16324.59306392789</v>
      </c>
      <c r="G127" s="115">
        <f t="shared" si="14"/>
        <v>-1378951.3265041597</v>
      </c>
      <c r="H127" s="115">
        <f t="shared" si="14"/>
        <v>-164596.79805170992</v>
      </c>
      <c r="I127" s="115">
        <f t="shared" si="14"/>
        <v>-1353029.8297555041</v>
      </c>
      <c r="J127" s="115">
        <f t="shared" si="14"/>
        <v>-5927435.0148995137</v>
      </c>
      <c r="K127" s="115">
        <f t="shared" si="14"/>
        <v>-129.09740072678815</v>
      </c>
      <c r="L127" s="115">
        <f t="shared" si="14"/>
        <v>33294.194912224739</v>
      </c>
      <c r="M127" s="115">
        <f t="shared" si="14"/>
        <v>176326.6765688243</v>
      </c>
      <c r="N127" s="115">
        <f t="shared" si="15"/>
        <v>-8634829.2166791502</v>
      </c>
    </row>
    <row r="128" spans="1:14">
      <c r="A128" s="2">
        <f t="shared" si="13"/>
        <v>64</v>
      </c>
      <c r="C128" s="389" t="s">
        <v>2913</v>
      </c>
      <c r="D128" s="115">
        <f t="shared" si="14"/>
        <v>0</v>
      </c>
      <c r="E128" s="115">
        <f t="shared" si="14"/>
        <v>3634.1203204998938</v>
      </c>
      <c r="F128" s="115">
        <f t="shared" si="14"/>
        <v>-21684.430832720915</v>
      </c>
      <c r="G128" s="115">
        <f t="shared" si="14"/>
        <v>-2498753.2522894265</v>
      </c>
      <c r="H128" s="115">
        <f t="shared" si="14"/>
        <v>-3958529.1896849321</v>
      </c>
      <c r="I128" s="115">
        <f t="shared" si="14"/>
        <v>-1479631.2376629496</v>
      </c>
      <c r="J128" s="115">
        <f t="shared" si="14"/>
        <v>-11483649.726530651</v>
      </c>
      <c r="K128" s="115">
        <f t="shared" si="14"/>
        <v>-0.50372447763096873</v>
      </c>
      <c r="L128" s="115">
        <f t="shared" si="14"/>
        <v>2086.4528034582586</v>
      </c>
      <c r="M128" s="115">
        <f t="shared" si="14"/>
        <v>-1720.1413657026051</v>
      </c>
      <c r="N128" s="115">
        <f t="shared" si="15"/>
        <v>-19438247.908966903</v>
      </c>
    </row>
    <row r="129" spans="1:14">
      <c r="A129" s="2">
        <f t="shared" si="13"/>
        <v>65</v>
      </c>
      <c r="C129" s="389" t="s">
        <v>2914</v>
      </c>
      <c r="D129" s="115">
        <f t="shared" si="14"/>
        <v>0</v>
      </c>
      <c r="E129" s="115">
        <f t="shared" si="14"/>
        <v>2591.8585389128284</v>
      </c>
      <c r="F129" s="115">
        <f t="shared" si="14"/>
        <v>-220376.94134561118</v>
      </c>
      <c r="G129" s="115">
        <f t="shared" si="14"/>
        <v>-4715005.8028729698</v>
      </c>
      <c r="H129" s="115">
        <f t="shared" si="14"/>
        <v>-1866911.1043498104</v>
      </c>
      <c r="I129" s="115">
        <f t="shared" si="14"/>
        <v>-806487.5679429291</v>
      </c>
      <c r="J129" s="115">
        <f t="shared" si="14"/>
        <v>362943.92880416196</v>
      </c>
      <c r="K129" s="115">
        <f t="shared" si="14"/>
        <v>-0.43176389924352754</v>
      </c>
      <c r="L129" s="115">
        <f t="shared" si="14"/>
        <v>408636.87901120493</v>
      </c>
      <c r="M129" s="115">
        <f t="shared" si="14"/>
        <v>-659.59786221379738</v>
      </c>
      <c r="N129" s="115">
        <f t="shared" si="15"/>
        <v>-6835268.7797831539</v>
      </c>
    </row>
    <row r="130" spans="1:14">
      <c r="A130" s="2">
        <f t="shared" si="13"/>
        <v>66</v>
      </c>
      <c r="C130" s="389" t="s">
        <v>2915</v>
      </c>
      <c r="D130" s="185">
        <f t="shared" si="14"/>
        <v>0</v>
      </c>
      <c r="E130" s="185">
        <f t="shared" si="14"/>
        <v>-83.683424648844863</v>
      </c>
      <c r="F130" s="185">
        <f t="shared" si="14"/>
        <v>-87527.54912571561</v>
      </c>
      <c r="G130" s="185">
        <f t="shared" si="14"/>
        <v>-7116328.6569775464</v>
      </c>
      <c r="H130" s="185">
        <f t="shared" si="14"/>
        <v>-3408498.5690874169</v>
      </c>
      <c r="I130" s="185">
        <f t="shared" si="14"/>
        <v>-1182164.2055358593</v>
      </c>
      <c r="J130" s="185">
        <f t="shared" si="14"/>
        <v>-1936798.0719335973</v>
      </c>
      <c r="K130" s="185">
        <f t="shared" si="14"/>
        <v>-4.3176389924352749</v>
      </c>
      <c r="L130" s="185">
        <f t="shared" si="14"/>
        <v>-2910.0266251861676</v>
      </c>
      <c r="M130" s="185">
        <f t="shared" si="14"/>
        <v>-183.08699918633528</v>
      </c>
      <c r="N130" s="185">
        <f t="shared" si="15"/>
        <v>-13734498.167348152</v>
      </c>
    </row>
    <row r="131" spans="1:14">
      <c r="A131" s="2">
        <f t="shared" si="13"/>
        <v>67</v>
      </c>
      <c r="C131" s="564" t="s">
        <v>402</v>
      </c>
      <c r="D131" s="115">
        <f>SUM(D119:D130)</f>
        <v>0</v>
      </c>
      <c r="E131" s="115">
        <f t="shared" ref="E131:M131" si="16">SUM(E119:E130)</f>
        <v>-317549.89195153158</v>
      </c>
      <c r="F131" s="115">
        <f t="shared" si="16"/>
        <v>-2337440.4665990919</v>
      </c>
      <c r="G131" s="115">
        <f t="shared" si="16"/>
        <v>-28930667.210606888</v>
      </c>
      <c r="H131" s="115">
        <f t="shared" si="16"/>
        <v>-21705557.328116592</v>
      </c>
      <c r="I131" s="115">
        <f t="shared" si="16"/>
        <v>-9813545.0139338523</v>
      </c>
      <c r="J131" s="115">
        <f t="shared" si="16"/>
        <v>-10394477.437444173</v>
      </c>
      <c r="K131" s="115">
        <f t="shared" si="16"/>
        <v>-386783.15261478577</v>
      </c>
      <c r="L131" s="115">
        <f t="shared" si="16"/>
        <v>698493.41638482315</v>
      </c>
      <c r="M131" s="115">
        <f t="shared" si="16"/>
        <v>-353652.86577585113</v>
      </c>
      <c r="N131" s="115">
        <f>SUM(N119:N130)</f>
        <v>-73541179.950657949</v>
      </c>
    </row>
    <row r="133" spans="1:14">
      <c r="B133" s="202" t="s">
        <v>226</v>
      </c>
    </row>
    <row r="134" spans="1:14">
      <c r="B134" s="487" t="s">
        <v>765</v>
      </c>
    </row>
    <row r="135" spans="1:14">
      <c r="B135" s="581" t="s">
        <v>766</v>
      </c>
    </row>
    <row r="136" spans="1:14">
      <c r="B136" s="305" t="s">
        <v>767</v>
      </c>
      <c r="C136" s="305"/>
      <c r="D136" s="305"/>
      <c r="E136" s="305"/>
      <c r="F136" s="305"/>
      <c r="G136" s="305"/>
      <c r="H136" s="305"/>
      <c r="I136" s="305"/>
      <c r="L136" s="305"/>
      <c r="M136" s="305"/>
    </row>
    <row r="137" spans="1:14">
      <c r="B137" s="306" t="s">
        <v>768</v>
      </c>
      <c r="C137" s="305"/>
      <c r="D137" s="305"/>
      <c r="E137" s="305"/>
      <c r="F137" s="305"/>
      <c r="G137" s="305"/>
      <c r="H137" s="305"/>
      <c r="I137" s="305"/>
      <c r="J137" s="305"/>
      <c r="K137" s="305"/>
      <c r="L137" s="305"/>
      <c r="M137" s="305"/>
    </row>
    <row r="138" spans="1:14">
      <c r="B138" s="306" t="s">
        <v>769</v>
      </c>
      <c r="C138" s="305"/>
      <c r="D138" s="305"/>
      <c r="E138" s="305"/>
      <c r="F138" s="305"/>
      <c r="G138" s="305"/>
      <c r="H138" s="305"/>
      <c r="I138" s="305"/>
      <c r="J138" s="305"/>
      <c r="K138" s="305"/>
      <c r="L138" s="305"/>
      <c r="M138" s="305"/>
    </row>
    <row r="139" spans="1:14">
      <c r="B139" s="306" t="s">
        <v>770</v>
      </c>
      <c r="C139" s="305"/>
      <c r="D139" s="305"/>
      <c r="E139" s="305"/>
      <c r="F139" s="305"/>
      <c r="G139" s="305"/>
      <c r="H139" s="305"/>
      <c r="I139" s="305"/>
      <c r="J139" s="305"/>
      <c r="K139" s="305"/>
      <c r="L139" s="305"/>
      <c r="M139" s="305"/>
    </row>
    <row r="140" spans="1:14">
      <c r="B140" s="305" t="s">
        <v>771</v>
      </c>
      <c r="C140" s="305"/>
      <c r="D140" s="305"/>
      <c r="E140" s="305"/>
      <c r="F140" s="305"/>
      <c r="G140" s="305"/>
      <c r="H140" s="305"/>
      <c r="I140" s="305"/>
      <c r="J140" s="305"/>
      <c r="K140" s="305"/>
      <c r="L140" s="305"/>
      <c r="M140" s="305"/>
    </row>
    <row r="141" spans="1:14">
      <c r="B141" s="306" t="s">
        <v>772</v>
      </c>
      <c r="C141" s="305"/>
      <c r="D141" s="305"/>
      <c r="E141" s="305"/>
      <c r="F141" s="305"/>
      <c r="G141" s="305"/>
      <c r="H141" s="305"/>
      <c r="I141" s="305"/>
      <c r="J141" s="305"/>
      <c r="K141" s="305"/>
      <c r="L141" s="305"/>
      <c r="M141" s="305"/>
    </row>
    <row r="142" spans="1:14">
      <c r="B142" s="306" t="s">
        <v>773</v>
      </c>
      <c r="C142" s="305"/>
      <c r="D142" s="305"/>
      <c r="E142" s="305"/>
      <c r="F142" s="305"/>
      <c r="G142" s="305"/>
      <c r="H142" s="305"/>
      <c r="I142" s="305"/>
      <c r="J142" s="305"/>
      <c r="K142" s="305"/>
      <c r="L142" s="305"/>
      <c r="M142" s="305"/>
    </row>
    <row r="143" spans="1:14">
      <c r="B143" s="306" t="s">
        <v>774</v>
      </c>
      <c r="C143" s="305"/>
      <c r="D143" s="305"/>
      <c r="E143" s="305"/>
      <c r="F143" s="305"/>
      <c r="G143" s="305"/>
      <c r="H143" s="305"/>
      <c r="I143" s="305"/>
      <c r="J143" s="305"/>
      <c r="K143" s="305"/>
      <c r="L143" s="305"/>
      <c r="M143" s="305"/>
    </row>
    <row r="144" spans="1:14">
      <c r="B144" s="235" t="str">
        <f>"2) Amounts on Line "&amp;A33&amp;" derived from Plant Study for previous year Prior Year."</f>
        <v>2) Amounts on Line 15 derived from Plant Study for previous year Prior Year.</v>
      </c>
    </row>
    <row r="145" spans="2:2">
      <c r="B145" s="234"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35" t="s">
        <v>775</v>
      </c>
    </row>
    <row r="148" spans="2:2">
      <c r="B148" s="235" t="str">
        <f>"5) Line "&amp;A24&amp;" - Line "&amp;A12&amp;"."</f>
        <v>5) Line 13 - Line 1.</v>
      </c>
    </row>
    <row r="149" spans="2:2">
      <c r="B149" t="str">
        <f>"6) Line "&amp;A82&amp;"."</f>
        <v>6) Line 39.</v>
      </c>
    </row>
    <row r="150" spans="2:2">
      <c r="B150" s="235" t="str">
        <f>"7) Line "&amp;A106&amp;" - Line "&amp;A109&amp;"."</f>
        <v>7) Line 52 - Line 53.</v>
      </c>
    </row>
    <row r="151" spans="2:2">
      <c r="B151" s="235" t="s">
        <v>776</v>
      </c>
    </row>
    <row r="152" spans="2:2">
      <c r="B152" s="234" t="s">
        <v>777</v>
      </c>
    </row>
    <row r="153" spans="2:2">
      <c r="B153" s="235"/>
    </row>
    <row r="154" spans="2:2">
      <c r="B154" s="235"/>
    </row>
  </sheetData>
  <phoneticPr fontId="23" type="noConversion"/>
  <pageMargins left="0.75" right="0.75" top="1" bottom="1" header="0.5" footer="0.5"/>
  <pageSetup scale="65" orientation="landscape" cellComments="asDisplayed" r:id="rId1"/>
  <headerFooter alignWithMargins="0">
    <oddHeader>&amp;CSchedule 8
Accumulated Depreciation
&amp;RTO2025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65"/>
  <sheetViews>
    <sheetView zoomScaleNormal="100" zoomScaleSheetLayoutView="70" workbookViewId="0"/>
  </sheetViews>
  <sheetFormatPr defaultRowHeight="12.75"/>
  <cols>
    <col min="1" max="1" width="5.85546875" customWidth="1"/>
    <col min="2" max="2" width="9.5703125" style="270" customWidth="1"/>
    <col min="3" max="3" width="50.5703125" style="270" customWidth="1"/>
    <col min="4" max="4" width="23.42578125" style="270" bestFit="1" customWidth="1"/>
    <col min="5" max="5" width="26.140625" style="270" customWidth="1"/>
    <col min="6" max="6" width="15.5703125" style="270" customWidth="1"/>
    <col min="7" max="7" width="19.42578125" style="270" customWidth="1"/>
    <col min="8" max="9" width="17.42578125" style="270" customWidth="1"/>
    <col min="10" max="10" width="29.42578125" style="270" customWidth="1"/>
    <col min="11" max="11" width="25.5703125" customWidth="1"/>
  </cols>
  <sheetData>
    <row r="1" spans="1:10">
      <c r="A1" s="1" t="s">
        <v>778</v>
      </c>
      <c r="B1" s="113"/>
      <c r="C1" s="113"/>
      <c r="D1" s="113"/>
      <c r="E1" s="113"/>
      <c r="F1" s="200" t="s">
        <v>96</v>
      </c>
      <c r="G1" s="200"/>
      <c r="H1" s="113"/>
      <c r="I1" s="113"/>
      <c r="J1" s="113"/>
    </row>
    <row r="2" spans="1:10">
      <c r="A2" s="113"/>
      <c r="B2" s="309"/>
      <c r="C2" s="305"/>
      <c r="D2" s="305"/>
      <c r="E2" s="113"/>
      <c r="F2" s="113"/>
      <c r="G2" s="113"/>
      <c r="H2" s="113"/>
      <c r="I2" s="113"/>
      <c r="J2" s="113"/>
    </row>
    <row r="3" spans="1:10">
      <c r="A3" s="113"/>
      <c r="B3" s="309" t="s">
        <v>779</v>
      </c>
      <c r="C3" s="305"/>
      <c r="D3" s="305"/>
      <c r="E3" s="113"/>
      <c r="F3" s="113"/>
      <c r="G3" s="113"/>
      <c r="H3" s="113"/>
      <c r="I3" s="113"/>
      <c r="J3" s="113"/>
    </row>
    <row r="4" spans="1:10">
      <c r="A4" s="113"/>
      <c r="B4" s="309"/>
      <c r="C4" s="305"/>
      <c r="D4" s="305"/>
      <c r="E4" s="113"/>
      <c r="F4" s="113"/>
      <c r="G4" s="113"/>
      <c r="H4" s="113"/>
      <c r="I4" s="113"/>
      <c r="J4" s="113"/>
    </row>
    <row r="5" spans="1:10">
      <c r="A5" s="113"/>
      <c r="B5" s="310" t="s">
        <v>780</v>
      </c>
      <c r="C5" s="305"/>
      <c r="D5" s="305"/>
      <c r="E5" s="113"/>
      <c r="F5" s="113"/>
      <c r="G5" s="113"/>
      <c r="H5" s="113"/>
      <c r="I5" s="113"/>
      <c r="J5" s="113"/>
    </row>
    <row r="6" spans="1:10">
      <c r="A6" s="113"/>
      <c r="B6" s="309"/>
      <c r="C6" s="48" t="s">
        <v>329</v>
      </c>
      <c r="D6" s="48" t="s">
        <v>330</v>
      </c>
      <c r="E6" s="113"/>
      <c r="I6" s="113"/>
      <c r="J6" s="113"/>
    </row>
    <row r="7" spans="1:10">
      <c r="A7" s="113"/>
      <c r="C7" s="305"/>
      <c r="D7" s="113"/>
      <c r="E7" s="113"/>
      <c r="I7" s="113"/>
      <c r="J7" s="113"/>
    </row>
    <row r="8" spans="1:10">
      <c r="A8" s="113"/>
      <c r="B8" s="309"/>
      <c r="C8" s="113"/>
      <c r="D8" s="2" t="s">
        <v>244</v>
      </c>
      <c r="J8" s="113"/>
    </row>
    <row r="9" spans="1:10">
      <c r="A9" s="32" t="s">
        <v>266</v>
      </c>
      <c r="B9" s="309"/>
      <c r="C9" s="202" t="s">
        <v>698</v>
      </c>
      <c r="D9" s="3" t="s">
        <v>781</v>
      </c>
      <c r="E9" s="186" t="s">
        <v>644</v>
      </c>
      <c r="J9" s="113"/>
    </row>
    <row r="10" spans="1:10" ht="15">
      <c r="A10" s="193">
        <v>1</v>
      </c>
      <c r="B10" s="309"/>
      <c r="C10" s="235" t="s">
        <v>782</v>
      </c>
      <c r="D10" s="237">
        <f>+D70</f>
        <v>400449455.2251187</v>
      </c>
      <c r="E10" s="234" t="str">
        <f>"Line "&amp;A70&amp;", Col. 2"</f>
        <v>Line 353, Col. 2</v>
      </c>
      <c r="J10" s="113"/>
    </row>
    <row r="11" spans="1:10">
      <c r="A11" s="2">
        <f>A10+1</f>
        <v>2</v>
      </c>
      <c r="B11" s="309"/>
      <c r="C11" s="235" t="s">
        <v>783</v>
      </c>
      <c r="D11" s="237">
        <f>+D89</f>
        <v>-1402459856</v>
      </c>
      <c r="E11" s="234" t="str">
        <f>"Line "&amp;A89&amp;", Col. 2"</f>
        <v>Line 452, Col. 2</v>
      </c>
      <c r="J11"/>
    </row>
    <row r="12" spans="1:10">
      <c r="A12" s="2">
        <f t="shared" ref="A12:A24" si="0">A11+1</f>
        <v>3</v>
      </c>
      <c r="B12" s="309"/>
      <c r="C12" s="235" t="s">
        <v>784</v>
      </c>
      <c r="D12" s="237">
        <f>+D133</f>
        <v>-16547474.140315089</v>
      </c>
      <c r="E12" s="234" t="str">
        <f>"Line "&amp;A133&amp;", Col. 2"</f>
        <v>Line 803, Col. 2</v>
      </c>
      <c r="J12"/>
    </row>
    <row r="13" spans="1:10">
      <c r="A13" s="2">
        <f t="shared" si="0"/>
        <v>4</v>
      </c>
      <c r="B13" s="309"/>
      <c r="C13" s="235" t="s">
        <v>785</v>
      </c>
      <c r="D13" s="939">
        <f>'9-ADIT-2'!M49</f>
        <v>-490033634</v>
      </c>
      <c r="E13" s="234" t="s">
        <v>2718</v>
      </c>
      <c r="F13" s="938"/>
      <c r="J13"/>
    </row>
    <row r="14" spans="1:10">
      <c r="A14" s="2">
        <f t="shared" si="0"/>
        <v>5</v>
      </c>
      <c r="B14" s="309"/>
      <c r="C14" s="235" t="s">
        <v>786</v>
      </c>
      <c r="D14" s="237">
        <f>SUM(D10:D13)</f>
        <v>-1508591508.9151964</v>
      </c>
      <c r="E14" s="280" t="str">
        <f>"Sum of Lines "&amp;A10&amp;" to "&amp;A13&amp;""</f>
        <v>Sum of Lines 1 to 4</v>
      </c>
      <c r="H14" s="674"/>
      <c r="I14" s="674"/>
      <c r="J14"/>
    </row>
    <row r="15" spans="1:10">
      <c r="A15" s="2">
        <f t="shared" si="0"/>
        <v>6</v>
      </c>
      <c r="B15" s="309"/>
      <c r="C15" s="234" t="s">
        <v>787</v>
      </c>
      <c r="D15" s="113"/>
      <c r="E15" s="113"/>
      <c r="G15" s="125"/>
      <c r="H15" s="124"/>
      <c r="I15" s="113"/>
      <c r="J15" s="113"/>
    </row>
    <row r="16" spans="1:10">
      <c r="A16" s="2">
        <f t="shared" si="0"/>
        <v>7</v>
      </c>
      <c r="B16" s="310" t="s">
        <v>788</v>
      </c>
      <c r="E16" s="113"/>
      <c r="G16" s="271"/>
      <c r="H16" s="272"/>
      <c r="I16" s="271"/>
      <c r="J16" s="113"/>
    </row>
    <row r="17" spans="1:10">
      <c r="A17" s="2">
        <f t="shared" si="0"/>
        <v>8</v>
      </c>
      <c r="B17" s="310"/>
      <c r="D17" s="2" t="s">
        <v>789</v>
      </c>
      <c r="E17" s="113"/>
      <c r="G17" s="271"/>
      <c r="H17" s="272"/>
      <c r="I17" s="271"/>
      <c r="J17" s="113"/>
    </row>
    <row r="18" spans="1:10">
      <c r="A18" s="2">
        <f t="shared" si="0"/>
        <v>9</v>
      </c>
      <c r="B18" s="309"/>
      <c r="D18" s="3" t="s">
        <v>781</v>
      </c>
      <c r="E18" s="186" t="s">
        <v>644</v>
      </c>
      <c r="G18" s="273"/>
      <c r="H18" s="271"/>
      <c r="I18" s="271"/>
      <c r="J18" s="113"/>
    </row>
    <row r="19" spans="1:10">
      <c r="A19" s="2">
        <f t="shared" si="0"/>
        <v>10</v>
      </c>
      <c r="B19" s="309"/>
      <c r="C19" s="235" t="s">
        <v>786</v>
      </c>
      <c r="D19" s="255">
        <v>-1435064626.6339588</v>
      </c>
      <c r="E19" s="234" t="str">
        <f>"Previous Year Informational Filing, Line "&amp;A14&amp;", Col. 2"</f>
        <v>Previous Year Informational Filing, Line 5, Col. 2</v>
      </c>
      <c r="G19" s="612"/>
      <c r="H19" s="271"/>
      <c r="I19" s="271"/>
    </row>
    <row r="20" spans="1:10">
      <c r="A20" s="2">
        <f t="shared" si="0"/>
        <v>11</v>
      </c>
      <c r="B20" s="309"/>
      <c r="D20" s="113"/>
      <c r="E20" s="113"/>
      <c r="F20" s="271"/>
      <c r="G20" s="271"/>
      <c r="H20" s="271"/>
      <c r="I20" s="271"/>
      <c r="J20" s="113"/>
    </row>
    <row r="21" spans="1:10">
      <c r="A21" s="2">
        <f t="shared" si="0"/>
        <v>12</v>
      </c>
      <c r="B21" s="310" t="s">
        <v>790</v>
      </c>
      <c r="D21" s="113"/>
      <c r="E21" s="113"/>
      <c r="F21" s="271"/>
      <c r="G21" s="271"/>
      <c r="H21" s="271"/>
      <c r="I21" s="271"/>
      <c r="J21" s="113"/>
    </row>
    <row r="22" spans="1:10">
      <c r="A22" s="2">
        <f t="shared" si="0"/>
        <v>13</v>
      </c>
      <c r="B22" s="305"/>
      <c r="C22" s="311"/>
      <c r="D22" s="312" t="s">
        <v>791</v>
      </c>
      <c r="E22" s="113"/>
      <c r="F22" s="113"/>
      <c r="G22" s="113"/>
      <c r="H22" s="113"/>
      <c r="I22" s="113"/>
      <c r="J22" s="113"/>
    </row>
    <row r="23" spans="1:10">
      <c r="A23" s="2">
        <f t="shared" si="0"/>
        <v>14</v>
      </c>
      <c r="B23" s="305"/>
      <c r="D23" s="3" t="s">
        <v>22</v>
      </c>
      <c r="E23" s="186" t="s">
        <v>644</v>
      </c>
      <c r="F23" s="113"/>
      <c r="G23" s="273"/>
      <c r="H23" s="113"/>
      <c r="I23" s="113"/>
      <c r="J23" s="113"/>
    </row>
    <row r="24" spans="1:10">
      <c r="A24" s="2">
        <f t="shared" si="0"/>
        <v>15</v>
      </c>
      <c r="B24" s="305"/>
      <c r="C24" s="313" t="s">
        <v>792</v>
      </c>
      <c r="D24" s="346">
        <f>(D14+D19)/2</f>
        <v>-1471828067.7745776</v>
      </c>
      <c r="E24" s="124" t="s">
        <v>793</v>
      </c>
      <c r="F24" s="113"/>
      <c r="G24" s="271"/>
      <c r="H24" s="113"/>
      <c r="I24" s="113"/>
      <c r="J24" s="113"/>
    </row>
    <row r="25" spans="1:10">
      <c r="A25" s="2"/>
      <c r="B25" s="305"/>
      <c r="C25" s="311"/>
      <c r="D25" s="314"/>
      <c r="E25" s="113"/>
      <c r="F25" s="113"/>
      <c r="G25" s="113"/>
      <c r="H25" s="113"/>
      <c r="I25" s="113"/>
      <c r="J25" s="113"/>
    </row>
    <row r="26" spans="1:10">
      <c r="A26" s="2"/>
      <c r="B26" s="309" t="s">
        <v>794</v>
      </c>
      <c r="C26" s="311"/>
      <c r="D26" s="314"/>
      <c r="E26" s="113"/>
      <c r="F26" s="113"/>
      <c r="G26" s="113"/>
      <c r="H26" s="113"/>
      <c r="I26" s="113"/>
      <c r="J26" s="113"/>
    </row>
    <row r="27" spans="1:10">
      <c r="A27" s="2"/>
      <c r="B27" s="309"/>
      <c r="C27" s="48" t="s">
        <v>329</v>
      </c>
      <c r="D27" s="48" t="s">
        <v>330</v>
      </c>
      <c r="E27" s="48" t="s">
        <v>331</v>
      </c>
      <c r="F27" s="48" t="s">
        <v>332</v>
      </c>
      <c r="G27" s="48" t="s">
        <v>333</v>
      </c>
      <c r="H27" s="48" t="s">
        <v>334</v>
      </c>
      <c r="I27" s="48" t="s">
        <v>335</v>
      </c>
      <c r="J27" s="113"/>
    </row>
    <row r="28" spans="1:10">
      <c r="A28" s="235"/>
      <c r="B28" s="312"/>
      <c r="C28" s="312"/>
      <c r="D28" s="312" t="s">
        <v>795</v>
      </c>
      <c r="E28" s="312" t="s">
        <v>796</v>
      </c>
      <c r="F28" s="312"/>
      <c r="G28" s="312"/>
      <c r="H28" s="312" t="s">
        <v>797</v>
      </c>
      <c r="I28" s="490" t="s">
        <v>798</v>
      </c>
      <c r="J28" s="113"/>
    </row>
    <row r="29" spans="1:10">
      <c r="A29" s="235"/>
      <c r="B29" s="315" t="s">
        <v>799</v>
      </c>
      <c r="C29" s="315" t="s">
        <v>800</v>
      </c>
      <c r="D29" s="315" t="s">
        <v>801</v>
      </c>
      <c r="E29" s="315" t="s">
        <v>802</v>
      </c>
      <c r="F29" s="315" t="s">
        <v>803</v>
      </c>
      <c r="G29" s="315" t="s">
        <v>804</v>
      </c>
      <c r="H29" s="315" t="s">
        <v>805</v>
      </c>
      <c r="I29" s="315" t="s">
        <v>806</v>
      </c>
      <c r="J29" s="113"/>
    </row>
    <row r="30" spans="1:10">
      <c r="A30" s="2"/>
      <c r="B30" s="305" t="s">
        <v>807</v>
      </c>
      <c r="C30" s="305"/>
      <c r="D30" s="305"/>
      <c r="E30" s="113"/>
      <c r="F30" s="113"/>
      <c r="G30" s="113"/>
      <c r="H30" s="113"/>
      <c r="I30" s="113"/>
      <c r="J30" s="113"/>
    </row>
    <row r="31" spans="1:10">
      <c r="A31" s="105">
        <v>100</v>
      </c>
      <c r="B31" s="524">
        <v>190</v>
      </c>
      <c r="C31" s="316" t="s">
        <v>808</v>
      </c>
      <c r="D31" s="317">
        <v>449174</v>
      </c>
      <c r="E31" s="317">
        <f>D31*$G$158</f>
        <v>342.52267325975191</v>
      </c>
      <c r="F31" s="117"/>
      <c r="G31" s="395">
        <f>D31-E31</f>
        <v>448831.47732674022</v>
      </c>
      <c r="H31" s="395"/>
      <c r="I31" s="526" t="s">
        <v>2809</v>
      </c>
      <c r="J31" s="200"/>
    </row>
    <row r="32" spans="1:10">
      <c r="A32" s="105">
        <f>A31+1</f>
        <v>101</v>
      </c>
      <c r="B32" s="524">
        <v>190</v>
      </c>
      <c r="C32" s="316" t="s">
        <v>809</v>
      </c>
      <c r="D32" s="317">
        <v>3681943</v>
      </c>
      <c r="E32" s="317">
        <f>D32*$G$150</f>
        <v>15521.024440289642</v>
      </c>
      <c r="F32" s="117"/>
      <c r="G32" s="395"/>
      <c r="H32" s="395">
        <f>D32-E32</f>
        <v>3666421.9755597105</v>
      </c>
      <c r="I32" s="526" t="s">
        <v>2810</v>
      </c>
      <c r="J32" s="200"/>
    </row>
    <row r="33" spans="1:10">
      <c r="A33" s="105">
        <f t="shared" ref="A33:A43" si="1">A32+1</f>
        <v>102</v>
      </c>
      <c r="B33" s="524">
        <v>190</v>
      </c>
      <c r="C33" s="316" t="s">
        <v>2811</v>
      </c>
      <c r="D33" s="317">
        <v>28823490</v>
      </c>
      <c r="E33" s="317">
        <f>D33*$G$150</f>
        <v>121503.8072953449</v>
      </c>
      <c r="F33" s="117"/>
      <c r="G33" s="395"/>
      <c r="H33" s="395">
        <f t="shared" ref="H33:H34" si="2">D33-E33</f>
        <v>28701986.192704655</v>
      </c>
      <c r="I33" s="526" t="s">
        <v>2810</v>
      </c>
      <c r="J33" s="200"/>
    </row>
    <row r="34" spans="1:10">
      <c r="A34" s="105">
        <f t="shared" si="1"/>
        <v>103</v>
      </c>
      <c r="B34" s="524">
        <v>190</v>
      </c>
      <c r="C34" s="316" t="s">
        <v>812</v>
      </c>
      <c r="D34" s="317">
        <v>21751261</v>
      </c>
      <c r="E34" s="317">
        <f>D34*$G$150</f>
        <v>91691.222158550227</v>
      </c>
      <c r="F34" s="395"/>
      <c r="G34" s="395"/>
      <c r="H34" s="395">
        <f t="shared" si="2"/>
        <v>21659569.777841449</v>
      </c>
      <c r="I34" s="526" t="s">
        <v>2810</v>
      </c>
      <c r="J34" s="200"/>
    </row>
    <row r="35" spans="1:10">
      <c r="A35" s="105">
        <f t="shared" si="1"/>
        <v>104</v>
      </c>
      <c r="B35" s="524">
        <v>190</v>
      </c>
      <c r="C35" s="316" t="s">
        <v>813</v>
      </c>
      <c r="D35" s="317">
        <v>423225</v>
      </c>
      <c r="E35" s="317">
        <f>D35*$G$158</f>
        <v>322.73497217193892</v>
      </c>
      <c r="F35" s="117"/>
      <c r="G35" s="395">
        <f>D35-E35</f>
        <v>422902.26502782805</v>
      </c>
      <c r="H35" s="395"/>
      <c r="I35" s="526" t="s">
        <v>2809</v>
      </c>
      <c r="J35" s="200"/>
    </row>
    <row r="36" spans="1:10" ht="12.75" customHeight="1">
      <c r="A36" s="105">
        <f t="shared" si="1"/>
        <v>105</v>
      </c>
      <c r="B36" s="524">
        <v>190</v>
      </c>
      <c r="C36" s="316" t="s">
        <v>2812</v>
      </c>
      <c r="D36" s="317">
        <v>182695119</v>
      </c>
      <c r="E36" s="317">
        <f>D36*$G$150</f>
        <v>770141.03888099967</v>
      </c>
      <c r="F36" s="117"/>
      <c r="G36" s="395"/>
      <c r="H36" s="395">
        <f>D36-E36</f>
        <v>181924977.961119</v>
      </c>
      <c r="I36" s="526" t="s">
        <v>2810</v>
      </c>
      <c r="J36" s="200"/>
    </row>
    <row r="37" spans="1:10">
      <c r="A37" s="105">
        <f t="shared" si="1"/>
        <v>106</v>
      </c>
      <c r="B37" s="524">
        <v>190</v>
      </c>
      <c r="C37" s="316" t="s">
        <v>2813</v>
      </c>
      <c r="D37" s="317">
        <v>47770443</v>
      </c>
      <c r="E37" s="317">
        <f>D37</f>
        <v>47770443</v>
      </c>
      <c r="F37" s="117"/>
      <c r="G37" s="395"/>
      <c r="H37" s="395"/>
      <c r="I37" s="526" t="s">
        <v>2814</v>
      </c>
      <c r="J37" s="200"/>
    </row>
    <row r="38" spans="1:10">
      <c r="A38" s="105">
        <f t="shared" si="1"/>
        <v>107</v>
      </c>
      <c r="B38" s="524">
        <v>190</v>
      </c>
      <c r="C38" s="316" t="s">
        <v>2815</v>
      </c>
      <c r="D38" s="317">
        <v>393033974</v>
      </c>
      <c r="E38" s="317">
        <f>D38</f>
        <v>393033974</v>
      </c>
      <c r="F38" s="117"/>
      <c r="G38" s="395"/>
      <c r="H38" s="395"/>
      <c r="I38" s="526" t="s">
        <v>2816</v>
      </c>
      <c r="J38" s="200"/>
    </row>
    <row r="39" spans="1:10">
      <c r="A39" s="105">
        <f t="shared" si="1"/>
        <v>108</v>
      </c>
      <c r="B39" s="524">
        <v>190</v>
      </c>
      <c r="C39" s="316" t="s">
        <v>814</v>
      </c>
      <c r="D39" s="317">
        <v>30029926</v>
      </c>
      <c r="E39" s="317">
        <f>D39*$G$150</f>
        <v>126589.47066429039</v>
      </c>
      <c r="F39" s="117"/>
      <c r="G39" s="395"/>
      <c r="H39" s="395">
        <f>D39-E39</f>
        <v>29903336.529335711</v>
      </c>
      <c r="I39" s="526" t="s">
        <v>2810</v>
      </c>
      <c r="J39" s="200"/>
    </row>
    <row r="40" spans="1:10">
      <c r="A40" s="105">
        <f t="shared" si="1"/>
        <v>109</v>
      </c>
      <c r="B40" s="524">
        <v>190</v>
      </c>
      <c r="C40" s="316" t="s">
        <v>2817</v>
      </c>
      <c r="D40" s="317">
        <v>5418941</v>
      </c>
      <c r="E40" s="317">
        <f>D40</f>
        <v>5418941</v>
      </c>
      <c r="F40" s="117"/>
      <c r="G40" s="395"/>
      <c r="H40" s="395"/>
      <c r="I40" s="526" t="s">
        <v>2818</v>
      </c>
      <c r="J40" s="200"/>
    </row>
    <row r="41" spans="1:10">
      <c r="A41" s="105">
        <f t="shared" si="1"/>
        <v>110</v>
      </c>
      <c r="B41" s="524">
        <v>190</v>
      </c>
      <c r="C41" s="316" t="s">
        <v>2921</v>
      </c>
      <c r="D41" s="317">
        <v>614046610</v>
      </c>
      <c r="E41" s="317">
        <f>D41</f>
        <v>614046610</v>
      </c>
      <c r="F41" s="117"/>
      <c r="G41" s="395"/>
      <c r="H41" s="395"/>
      <c r="I41" s="526" t="s">
        <v>2818</v>
      </c>
      <c r="J41" s="200"/>
    </row>
    <row r="42" spans="1:10">
      <c r="A42" s="105">
        <f t="shared" si="1"/>
        <v>111</v>
      </c>
      <c r="B42" s="524">
        <v>190</v>
      </c>
      <c r="C42" s="316" t="s">
        <v>2819</v>
      </c>
      <c r="D42" s="317">
        <v>10764015</v>
      </c>
      <c r="E42" s="317">
        <f>D42</f>
        <v>10764015</v>
      </c>
      <c r="F42" s="117"/>
      <c r="G42" s="395"/>
      <c r="H42" s="395"/>
      <c r="I42" s="526" t="s">
        <v>2820</v>
      </c>
      <c r="J42" s="200"/>
    </row>
    <row r="43" spans="1:10">
      <c r="A43" s="105">
        <f t="shared" si="1"/>
        <v>112</v>
      </c>
      <c r="B43" s="524">
        <v>190</v>
      </c>
      <c r="C43" s="316" t="s">
        <v>2821</v>
      </c>
      <c r="D43" s="317">
        <v>802178753</v>
      </c>
      <c r="E43" s="395">
        <f t="shared" ref="E43" si="3">D43</f>
        <v>802178753</v>
      </c>
      <c r="F43" s="255"/>
      <c r="G43" s="395"/>
      <c r="H43" s="395"/>
      <c r="I43" s="526" t="s">
        <v>2822</v>
      </c>
      <c r="J43" s="394"/>
    </row>
    <row r="44" spans="1:10">
      <c r="A44" s="105">
        <f>A43+1</f>
        <v>113</v>
      </c>
      <c r="B44" s="524">
        <v>190</v>
      </c>
      <c r="C44" s="316" t="s">
        <v>2823</v>
      </c>
      <c r="D44" s="317">
        <v>2158537502</v>
      </c>
      <c r="E44" s="317"/>
      <c r="F44" s="117"/>
      <c r="G44" s="395">
        <f>D44</f>
        <v>2158537502</v>
      </c>
      <c r="H44" s="395"/>
      <c r="I44" s="528" t="s">
        <v>2824</v>
      </c>
      <c r="J44" s="200"/>
    </row>
    <row r="45" spans="1:10">
      <c r="A45" s="105">
        <f>A44+1</f>
        <v>114</v>
      </c>
      <c r="B45" s="524" t="s">
        <v>815</v>
      </c>
      <c r="C45" s="316"/>
      <c r="D45" s="317"/>
      <c r="E45" s="396"/>
      <c r="F45" s="117"/>
      <c r="G45" s="395"/>
      <c r="H45" s="117"/>
      <c r="I45" s="526"/>
      <c r="J45" s="200"/>
    </row>
    <row r="46" spans="1:10">
      <c r="A46" s="2"/>
      <c r="B46" s="318"/>
      <c r="C46" s="305"/>
      <c r="D46" s="113"/>
      <c r="E46" s="113"/>
      <c r="F46" s="113"/>
      <c r="G46" s="113"/>
      <c r="H46" s="113"/>
      <c r="I46" s="113"/>
      <c r="J46" s="113"/>
    </row>
    <row r="47" spans="1:10">
      <c r="A47" s="2"/>
      <c r="B47" s="309" t="s">
        <v>816</v>
      </c>
      <c r="C47" s="311"/>
      <c r="D47" s="314"/>
      <c r="E47" s="113"/>
      <c r="F47" s="113"/>
      <c r="G47" s="113"/>
      <c r="H47" s="113"/>
      <c r="I47" s="113"/>
      <c r="J47" s="113"/>
    </row>
    <row r="48" spans="1:10">
      <c r="A48" s="2"/>
      <c r="B48" s="309"/>
      <c r="C48" s="48" t="s">
        <v>329</v>
      </c>
      <c r="D48" s="48" t="s">
        <v>330</v>
      </c>
      <c r="E48" s="48" t="s">
        <v>331</v>
      </c>
      <c r="F48" s="48" t="s">
        <v>332</v>
      </c>
      <c r="G48" s="48" t="s">
        <v>333</v>
      </c>
      <c r="H48" s="48" t="s">
        <v>334</v>
      </c>
      <c r="I48" s="48" t="s">
        <v>335</v>
      </c>
      <c r="J48" s="113"/>
    </row>
    <row r="49" spans="1:10">
      <c r="A49" s="2"/>
      <c r="B49" s="312"/>
      <c r="C49" s="312"/>
      <c r="D49" s="312" t="s">
        <v>795</v>
      </c>
      <c r="E49" s="312" t="s">
        <v>796</v>
      </c>
      <c r="F49" s="312"/>
      <c r="G49" s="312"/>
      <c r="H49" s="312"/>
      <c r="I49" s="490" t="s">
        <v>798</v>
      </c>
      <c r="J49" s="113"/>
    </row>
    <row r="50" spans="1:10">
      <c r="A50" s="2"/>
      <c r="B50" s="315" t="s">
        <v>799</v>
      </c>
      <c r="C50" s="315" t="s">
        <v>800</v>
      </c>
      <c r="D50" s="315" t="s">
        <v>801</v>
      </c>
      <c r="E50" s="315" t="s">
        <v>802</v>
      </c>
      <c r="F50" s="315" t="s">
        <v>803</v>
      </c>
      <c r="G50" s="315" t="s">
        <v>804</v>
      </c>
      <c r="H50" s="315" t="s">
        <v>817</v>
      </c>
      <c r="I50" s="315" t="s">
        <v>806</v>
      </c>
      <c r="J50" s="115"/>
    </row>
    <row r="51" spans="1:10">
      <c r="A51" s="2"/>
      <c r="B51" s="305" t="s">
        <v>807</v>
      </c>
      <c r="C51" s="305"/>
      <c r="D51" s="305"/>
      <c r="E51" s="113"/>
      <c r="F51" s="113"/>
      <c r="G51" s="113"/>
      <c r="H51" s="113"/>
      <c r="I51" s="113"/>
      <c r="J51" s="113"/>
    </row>
    <row r="52" spans="1:10">
      <c r="A52" s="105">
        <f>A45+1</f>
        <v>115</v>
      </c>
      <c r="B52" s="524" t="s">
        <v>815</v>
      </c>
      <c r="C52" s="316"/>
      <c r="D52" s="317"/>
      <c r="E52" s="117"/>
      <c r="F52" s="117"/>
      <c r="G52" s="117"/>
      <c r="H52" s="117"/>
      <c r="I52" s="200"/>
      <c r="J52" s="200"/>
    </row>
    <row r="53" spans="1:10">
      <c r="A53" s="2"/>
      <c r="B53" s="319"/>
      <c r="C53" s="305"/>
      <c r="D53" s="307"/>
      <c r="E53" s="115"/>
      <c r="F53" s="115"/>
      <c r="G53" s="115"/>
      <c r="H53" s="115"/>
      <c r="I53" s="186" t="s">
        <v>644</v>
      </c>
      <c r="J53" s="113"/>
    </row>
    <row r="54" spans="1:10">
      <c r="A54" s="2">
        <v>250</v>
      </c>
      <c r="B54" s="305"/>
      <c r="C54" s="305" t="s">
        <v>818</v>
      </c>
      <c r="D54" s="327">
        <f>SUM(D31:D45)+SUM(D52:D52)</f>
        <v>4299604376</v>
      </c>
      <c r="E54" s="327">
        <f>SUM(E31:E45)+SUM(E52:E52)</f>
        <v>1874338847.821085</v>
      </c>
      <c r="F54" s="327">
        <f>SUM(F31:F45)+SUM(F52:F52)</f>
        <v>0</v>
      </c>
      <c r="G54" s="327">
        <f>SUM(G31:G45)+SUM(G52:G52)</f>
        <v>2159409235.7423544</v>
      </c>
      <c r="H54" s="327">
        <f>SUM(H31:H45)+SUM(H52:H52)</f>
        <v>265856292.43656051</v>
      </c>
      <c r="I54" s="124" t="str">
        <f>"Sum of Above Lines beginning on Line "&amp;A31&amp;""</f>
        <v>Sum of Above Lines beginning on Line 100</v>
      </c>
      <c r="J54" s="113"/>
    </row>
    <row r="55" spans="1:10">
      <c r="A55" s="2"/>
      <c r="B55" s="305"/>
      <c r="C55" s="305"/>
      <c r="D55" s="321"/>
      <c r="E55" s="115"/>
      <c r="F55" s="115"/>
      <c r="G55" s="115"/>
      <c r="H55" s="115"/>
      <c r="I55" s="113"/>
      <c r="J55" s="113"/>
    </row>
    <row r="56" spans="1:10">
      <c r="A56" s="2"/>
      <c r="B56" s="305" t="s">
        <v>819</v>
      </c>
      <c r="C56" s="305"/>
      <c r="D56" s="321"/>
      <c r="E56" s="115"/>
      <c r="F56" s="115"/>
      <c r="G56" s="115"/>
      <c r="H56" s="115"/>
      <c r="I56" s="490" t="s">
        <v>798</v>
      </c>
      <c r="J56" s="113"/>
    </row>
    <row r="57" spans="1:10">
      <c r="A57" s="2"/>
      <c r="C57" s="48" t="s">
        <v>329</v>
      </c>
      <c r="D57" s="48" t="s">
        <v>330</v>
      </c>
      <c r="E57" s="48" t="s">
        <v>331</v>
      </c>
      <c r="F57" s="48" t="s">
        <v>332</v>
      </c>
      <c r="G57" s="48" t="s">
        <v>333</v>
      </c>
      <c r="H57" s="48" t="s">
        <v>334</v>
      </c>
      <c r="I57" s="48" t="s">
        <v>335</v>
      </c>
      <c r="J57" s="113"/>
    </row>
    <row r="58" spans="1:10">
      <c r="A58" s="105">
        <v>300</v>
      </c>
      <c r="B58" s="524">
        <v>190</v>
      </c>
      <c r="C58" s="316" t="s">
        <v>2916</v>
      </c>
      <c r="D58" s="317">
        <v>111217</v>
      </c>
      <c r="E58" s="395">
        <f>D58</f>
        <v>111217</v>
      </c>
      <c r="F58" s="395"/>
      <c r="G58" s="395"/>
      <c r="H58" s="395"/>
      <c r="I58" s="526" t="s">
        <v>2818</v>
      </c>
      <c r="J58" s="526"/>
    </row>
    <row r="59" spans="1:10">
      <c r="A59" s="105">
        <f t="shared" ref="A59:A63" si="4">A58+1</f>
        <v>301</v>
      </c>
      <c r="B59" s="524">
        <v>190</v>
      </c>
      <c r="C59" s="316" t="s">
        <v>2917</v>
      </c>
      <c r="D59" s="317">
        <v>2559</v>
      </c>
      <c r="E59" s="395">
        <f>D59</f>
        <v>2559</v>
      </c>
      <c r="F59" s="395"/>
      <c r="G59" s="395"/>
      <c r="H59" s="395"/>
      <c r="I59" s="526" t="s">
        <v>2828</v>
      </c>
      <c r="J59" s="526"/>
    </row>
    <row r="60" spans="1:10">
      <c r="A60" s="105">
        <f t="shared" si="4"/>
        <v>302</v>
      </c>
      <c r="B60" s="524">
        <v>190</v>
      </c>
      <c r="C60" s="316" t="s">
        <v>2918</v>
      </c>
      <c r="D60" s="317">
        <v>-142351</v>
      </c>
      <c r="E60" s="395">
        <f t="shared" ref="E60:E62" si="5">D60</f>
        <v>-142351</v>
      </c>
      <c r="F60" s="395"/>
      <c r="G60" s="395"/>
      <c r="H60" s="395"/>
      <c r="I60" s="526" t="s">
        <v>2818</v>
      </c>
      <c r="J60" s="526"/>
    </row>
    <row r="61" spans="1:10">
      <c r="A61" s="105">
        <f t="shared" si="4"/>
        <v>303</v>
      </c>
      <c r="B61" s="524">
        <v>190</v>
      </c>
      <c r="C61" s="316" t="s">
        <v>2827</v>
      </c>
      <c r="D61" s="317">
        <v>39688466</v>
      </c>
      <c r="E61" s="395">
        <f t="shared" si="5"/>
        <v>39688466</v>
      </c>
      <c r="F61" s="395"/>
      <c r="G61" s="395"/>
      <c r="H61" s="395"/>
      <c r="I61" s="526" t="s">
        <v>2828</v>
      </c>
      <c r="J61" s="526"/>
    </row>
    <row r="62" spans="1:10">
      <c r="A62" s="105">
        <f t="shared" si="4"/>
        <v>304</v>
      </c>
      <c r="B62" s="524">
        <v>190</v>
      </c>
      <c r="C62" s="316" t="s">
        <v>2919</v>
      </c>
      <c r="D62" s="317">
        <v>870075</v>
      </c>
      <c r="E62" s="395">
        <f t="shared" si="5"/>
        <v>870075</v>
      </c>
      <c r="F62" s="395"/>
      <c r="G62" s="395"/>
      <c r="H62" s="395"/>
      <c r="I62" s="526" t="s">
        <v>2828</v>
      </c>
      <c r="J62" s="526"/>
    </row>
    <row r="63" spans="1:10">
      <c r="A63" s="105">
        <f t="shared" si="4"/>
        <v>305</v>
      </c>
      <c r="B63" s="1046" t="s">
        <v>815</v>
      </c>
      <c r="C63" s="316"/>
      <c r="D63" s="317"/>
      <c r="E63" s="117"/>
      <c r="F63" s="117"/>
      <c r="G63" s="117"/>
      <c r="H63" s="117"/>
      <c r="I63" s="200"/>
      <c r="J63" s="200"/>
    </row>
    <row r="64" spans="1:10">
      <c r="A64" s="2"/>
      <c r="B64" s="319"/>
      <c r="C64" s="305"/>
      <c r="D64" s="307"/>
      <c r="E64" s="115"/>
      <c r="F64" s="115"/>
      <c r="G64" s="115"/>
      <c r="H64" s="115"/>
      <c r="I64" s="113"/>
      <c r="J64" s="113"/>
    </row>
    <row r="65" spans="1:10">
      <c r="A65" s="2"/>
      <c r="B65" s="319"/>
      <c r="C65" s="48" t="s">
        <v>329</v>
      </c>
      <c r="D65" s="48" t="s">
        <v>330</v>
      </c>
      <c r="E65" s="48" t="s">
        <v>331</v>
      </c>
      <c r="F65" s="48" t="s">
        <v>332</v>
      </c>
      <c r="G65" s="48" t="s">
        <v>333</v>
      </c>
      <c r="H65" s="48" t="s">
        <v>334</v>
      </c>
      <c r="I65" s="186" t="s">
        <v>644</v>
      </c>
      <c r="J65" s="113"/>
    </row>
    <row r="66" spans="1:10">
      <c r="A66" s="2">
        <v>350</v>
      </c>
      <c r="B66" s="305"/>
      <c r="C66" s="305" t="s">
        <v>821</v>
      </c>
      <c r="D66" s="327">
        <f>SUM(D58:D63)</f>
        <v>40529966</v>
      </c>
      <c r="E66" s="327">
        <f>SUM(E58:E63)</f>
        <v>40529966</v>
      </c>
      <c r="F66" s="327">
        <f>SUM(F58:F63)</f>
        <v>0</v>
      </c>
      <c r="G66" s="327">
        <f>SUM(G58:G63)</f>
        <v>0</v>
      </c>
      <c r="H66" s="327">
        <f>SUM(H58:H63)</f>
        <v>0</v>
      </c>
      <c r="I66" s="124" t="str">
        <f>"Sum of Above Lines beginning on Line "&amp;A58&amp;""</f>
        <v>Sum of Above Lines beginning on Line 300</v>
      </c>
      <c r="J66" s="113"/>
    </row>
    <row r="67" spans="1:10">
      <c r="A67" s="2"/>
      <c r="B67" s="305"/>
      <c r="C67" s="305"/>
      <c r="D67" s="327"/>
      <c r="E67" s="327"/>
      <c r="F67" s="327"/>
      <c r="G67" s="327"/>
      <c r="H67" s="327"/>
      <c r="I67" s="124"/>
      <c r="J67" s="113"/>
    </row>
    <row r="68" spans="1:10">
      <c r="A68" s="2">
        <f t="shared" ref="A68" si="6">A66+1</f>
        <v>351</v>
      </c>
      <c r="B68" s="305"/>
      <c r="C68" s="305" t="s">
        <v>822</v>
      </c>
      <c r="D68" s="327">
        <f>+D66+D54</f>
        <v>4340134342</v>
      </c>
      <c r="E68" s="327">
        <f>+E66+E54</f>
        <v>1914868813.821085</v>
      </c>
      <c r="F68" s="327">
        <f>+F66+F54</f>
        <v>0</v>
      </c>
      <c r="G68" s="327">
        <f>+G66+G54</f>
        <v>2159409235.7423544</v>
      </c>
      <c r="H68" s="327">
        <f>+H66+H54</f>
        <v>265856292.43656051</v>
      </c>
      <c r="I68" s="274" t="str">
        <f>"Line "&amp;A54&amp;" + Line "&amp;A66&amp;""</f>
        <v>Line 250 + Line 350</v>
      </c>
      <c r="J68" s="113"/>
    </row>
    <row r="69" spans="1:10">
      <c r="A69" s="2">
        <f>+A68+1</f>
        <v>352</v>
      </c>
      <c r="B69" s="305"/>
      <c r="C69" s="305" t="s">
        <v>823</v>
      </c>
      <c r="D69" s="320"/>
      <c r="E69" s="320"/>
      <c r="F69" s="320"/>
      <c r="G69" s="322">
        <f>'27-Allocators'!$G$28</f>
        <v>0.17820337068056696</v>
      </c>
      <c r="H69" s="322">
        <f>'27-Allocators'!$G$15</f>
        <v>5.8811663225218191E-2</v>
      </c>
      <c r="I69" s="397" t="str">
        <f>"27-Allocators Lines "&amp;'27-Allocators'!A28&amp;" and "&amp;'27-Allocators'!A15&amp;" respectively."</f>
        <v>27-Allocators Lines 22 and 9 respectively.</v>
      </c>
      <c r="J69" s="113"/>
    </row>
    <row r="70" spans="1:10">
      <c r="A70" s="2">
        <f>+A69+1</f>
        <v>353</v>
      </c>
      <c r="B70" s="305"/>
      <c r="C70" s="305" t="s">
        <v>824</v>
      </c>
      <c r="D70" s="320">
        <f>SUM(F70:H70)</f>
        <v>400449455.2251187</v>
      </c>
      <c r="E70" s="320"/>
      <c r="F70" s="886">
        <f>+F68</f>
        <v>0</v>
      </c>
      <c r="G70" s="886">
        <f>+G68*G69</f>
        <v>384814004.48803461</v>
      </c>
      <c r="H70" s="886">
        <f>+H68*H69</f>
        <v>15635450.737084119</v>
      </c>
      <c r="I70" s="274" t="str">
        <f>"Line "&amp;A68&amp;" * Line "&amp;A69&amp;" for Cols 5 and 6.  Col. 4 100% ISO."</f>
        <v>Line 351 * Line 352 for Cols 5 and 6.  Col. 4 100% ISO.</v>
      </c>
      <c r="J70" s="113"/>
    </row>
    <row r="71" spans="1:10">
      <c r="A71" s="2"/>
      <c r="B71" s="305"/>
      <c r="C71" s="323" t="s">
        <v>825</v>
      </c>
      <c r="D71" s="320"/>
      <c r="E71" s="320"/>
      <c r="F71" s="320"/>
      <c r="G71" s="320"/>
      <c r="H71" s="320"/>
      <c r="I71" s="274"/>
      <c r="J71" s="113"/>
    </row>
    <row r="72" spans="1:10">
      <c r="A72" s="2"/>
      <c r="B72" s="305"/>
      <c r="C72" s="305"/>
      <c r="D72" s="320"/>
      <c r="E72" s="320"/>
      <c r="F72" s="320"/>
      <c r="G72" s="320"/>
      <c r="H72" s="320"/>
      <c r="I72" s="274"/>
      <c r="J72" s="113"/>
    </row>
    <row r="73" spans="1:10">
      <c r="A73" s="2">
        <f>+A70+1</f>
        <v>354</v>
      </c>
      <c r="B73" s="305"/>
      <c r="C73" s="305" t="s">
        <v>826</v>
      </c>
      <c r="D73" s="525">
        <v>4340134342</v>
      </c>
      <c r="E73" s="630" t="str">
        <f>"Must match amount on Line "&amp;A68&amp;", Col. 2"</f>
        <v>Must match amount on Line 351, Col. 2</v>
      </c>
      <c r="G73" s="320"/>
      <c r="H73" s="320"/>
      <c r="I73" s="274" t="s">
        <v>827</v>
      </c>
      <c r="J73" s="113"/>
    </row>
    <row r="74" spans="1:10">
      <c r="A74" s="2"/>
      <c r="B74" s="305"/>
      <c r="C74" s="305"/>
      <c r="D74" s="325"/>
      <c r="E74" s="325"/>
      <c r="F74" s="325"/>
      <c r="G74" s="325"/>
      <c r="H74" s="325"/>
      <c r="I74" s="275"/>
      <c r="J74" s="113"/>
    </row>
    <row r="75" spans="1:10">
      <c r="A75" s="235"/>
      <c r="B75" s="309" t="s">
        <v>828</v>
      </c>
      <c r="C75" s="326"/>
      <c r="D75" s="325"/>
      <c r="E75" s="113"/>
      <c r="F75" s="113"/>
      <c r="G75" s="113"/>
      <c r="H75" s="113"/>
      <c r="I75" s="113"/>
      <c r="J75" s="113"/>
    </row>
    <row r="76" spans="1:10">
      <c r="A76" s="235"/>
      <c r="C76" s="48" t="s">
        <v>329</v>
      </c>
      <c r="D76" s="48" t="s">
        <v>330</v>
      </c>
      <c r="E76" s="48" t="s">
        <v>331</v>
      </c>
      <c r="F76" s="48" t="s">
        <v>332</v>
      </c>
      <c r="G76" s="48" t="s">
        <v>333</v>
      </c>
      <c r="H76" s="48" t="s">
        <v>334</v>
      </c>
      <c r="I76" s="48" t="s">
        <v>335</v>
      </c>
      <c r="J76" s="113"/>
    </row>
    <row r="77" spans="1:10">
      <c r="A77" s="235"/>
      <c r="B77" s="312"/>
      <c r="C77" s="312"/>
      <c r="D77" s="312" t="s">
        <v>795</v>
      </c>
      <c r="E77" s="312" t="s">
        <v>796</v>
      </c>
      <c r="F77" s="312"/>
      <c r="G77" s="312"/>
      <c r="H77" s="312" t="s">
        <v>797</v>
      </c>
      <c r="I77" s="490" t="s">
        <v>798</v>
      </c>
      <c r="J77" s="113"/>
    </row>
    <row r="78" spans="1:10">
      <c r="A78" s="235"/>
      <c r="B78" s="315" t="s">
        <v>829</v>
      </c>
      <c r="C78" s="315" t="s">
        <v>800</v>
      </c>
      <c r="D78" s="315" t="s">
        <v>801</v>
      </c>
      <c r="E78" s="315" t="s">
        <v>802</v>
      </c>
      <c r="F78" s="315" t="s">
        <v>803</v>
      </c>
      <c r="G78" s="315" t="s">
        <v>804</v>
      </c>
      <c r="H78" s="315" t="s">
        <v>805</v>
      </c>
      <c r="I78" s="315" t="s">
        <v>806</v>
      </c>
      <c r="J78" s="113"/>
    </row>
    <row r="79" spans="1:10">
      <c r="A79" s="105">
        <v>400</v>
      </c>
      <c r="B79" s="527">
        <v>282</v>
      </c>
      <c r="C79" s="528" t="s">
        <v>2829</v>
      </c>
      <c r="D79" s="529">
        <v>-1402459856</v>
      </c>
      <c r="E79" s="395"/>
      <c r="F79" s="395">
        <f>D79</f>
        <v>-1402459856</v>
      </c>
      <c r="G79" s="395"/>
      <c r="H79" s="395"/>
      <c r="I79" s="526" t="s">
        <v>2830</v>
      </c>
      <c r="J79" s="526"/>
    </row>
    <row r="80" spans="1:10">
      <c r="A80" s="105">
        <f>A79+1</f>
        <v>401</v>
      </c>
      <c r="B80" s="527">
        <v>282</v>
      </c>
      <c r="C80" s="528" t="s">
        <v>2817</v>
      </c>
      <c r="D80" s="529">
        <v>-8650640215</v>
      </c>
      <c r="E80" s="395">
        <f>D80</f>
        <v>-8650640215</v>
      </c>
      <c r="F80" s="395"/>
      <c r="G80" s="395"/>
      <c r="H80" s="395"/>
      <c r="I80" s="526" t="s">
        <v>2831</v>
      </c>
      <c r="J80" s="526"/>
    </row>
    <row r="81" spans="1:10">
      <c r="A81" s="105">
        <f t="shared" ref="A81:A84" si="7">A80+1</f>
        <v>402</v>
      </c>
      <c r="B81" s="527">
        <v>282</v>
      </c>
      <c r="C81" s="528" t="s">
        <v>2832</v>
      </c>
      <c r="D81" s="529">
        <v>-71351585</v>
      </c>
      <c r="E81" s="395">
        <f t="shared" ref="E81:E83" si="8">D81</f>
        <v>-71351585</v>
      </c>
      <c r="F81" s="395"/>
      <c r="G81" s="395"/>
      <c r="H81" s="395"/>
      <c r="I81" s="526" t="s">
        <v>2833</v>
      </c>
      <c r="J81" s="526"/>
    </row>
    <row r="82" spans="1:10">
      <c r="A82" s="105">
        <f t="shared" si="7"/>
        <v>403</v>
      </c>
      <c r="B82" s="527">
        <v>282</v>
      </c>
      <c r="C82" s="528" t="s">
        <v>2825</v>
      </c>
      <c r="D82" s="529">
        <v>-774997</v>
      </c>
      <c r="E82" s="395">
        <f t="shared" si="8"/>
        <v>-774997</v>
      </c>
      <c r="F82" s="395"/>
      <c r="G82" s="395"/>
      <c r="H82" s="395"/>
      <c r="I82" s="526" t="s">
        <v>2834</v>
      </c>
      <c r="J82" s="526"/>
    </row>
    <row r="83" spans="1:10">
      <c r="A83" s="105">
        <f t="shared" si="7"/>
        <v>404</v>
      </c>
      <c r="B83" s="527">
        <v>282</v>
      </c>
      <c r="C83" s="528" t="s">
        <v>2826</v>
      </c>
      <c r="D83" s="529">
        <v>-4695834</v>
      </c>
      <c r="E83" s="395">
        <f t="shared" si="8"/>
        <v>-4695834</v>
      </c>
      <c r="F83" s="395"/>
      <c r="G83" s="395"/>
      <c r="H83" s="395"/>
      <c r="I83" s="526" t="s">
        <v>2828</v>
      </c>
      <c r="J83" s="526"/>
    </row>
    <row r="84" spans="1:10">
      <c r="A84" s="105">
        <f t="shared" si="7"/>
        <v>405</v>
      </c>
      <c r="B84" s="524" t="s">
        <v>815</v>
      </c>
      <c r="C84" s="242"/>
      <c r="D84" s="525"/>
      <c r="E84" s="117"/>
      <c r="F84" s="117"/>
      <c r="G84" s="117"/>
      <c r="H84" s="117"/>
      <c r="I84" s="200"/>
      <c r="J84" s="200"/>
    </row>
    <row r="85" spans="1:10">
      <c r="A85" s="2"/>
      <c r="B85" s="241"/>
      <c r="C85" s="235"/>
      <c r="D85" s="327"/>
      <c r="E85" s="115"/>
      <c r="F85" s="115"/>
      <c r="G85" s="115"/>
      <c r="H85" s="115"/>
      <c r="I85" s="113"/>
      <c r="J85" s="113"/>
    </row>
    <row r="86" spans="1:10">
      <c r="A86" s="2"/>
      <c r="B86" s="241"/>
      <c r="C86" s="48" t="s">
        <v>329</v>
      </c>
      <c r="D86" s="48" t="s">
        <v>330</v>
      </c>
      <c r="E86" s="48" t="s">
        <v>331</v>
      </c>
      <c r="F86" s="48" t="s">
        <v>332</v>
      </c>
      <c r="G86" s="48" t="s">
        <v>333</v>
      </c>
      <c r="H86" s="48" t="s">
        <v>334</v>
      </c>
      <c r="I86" s="186" t="s">
        <v>644</v>
      </c>
      <c r="J86" s="113"/>
    </row>
    <row r="87" spans="1:10">
      <c r="A87" s="2">
        <v>450</v>
      </c>
      <c r="B87" s="236"/>
      <c r="C87" s="235" t="s">
        <v>830</v>
      </c>
      <c r="D87" s="327">
        <f>SUM(D79:D84)</f>
        <v>-10129922487</v>
      </c>
      <c r="E87" s="327">
        <f>SUM(E79:E84)</f>
        <v>-8727462631</v>
      </c>
      <c r="F87" s="327">
        <f>SUM(F79:F84)</f>
        <v>-1402459856</v>
      </c>
      <c r="G87" s="327">
        <f>SUM(G79:G84)</f>
        <v>0</v>
      </c>
      <c r="H87" s="327">
        <f>SUM(H79:H84)</f>
        <v>0</v>
      </c>
      <c r="I87" s="124" t="str">
        <f>"Sum of Above Lines beginning on Line "&amp;A79&amp;""</f>
        <v>Sum of Above Lines beginning on Line 400</v>
      </c>
      <c r="J87" s="113"/>
    </row>
    <row r="88" spans="1:10">
      <c r="A88" s="2">
        <f>+A87+1</f>
        <v>451</v>
      </c>
      <c r="B88" s="305"/>
      <c r="C88" s="305" t="s">
        <v>823</v>
      </c>
      <c r="D88" s="320"/>
      <c r="E88" s="320"/>
      <c r="F88" s="320"/>
      <c r="G88" s="322">
        <f>'27-Allocators'!$G$28</f>
        <v>0.17820337068056696</v>
      </c>
      <c r="H88" s="322">
        <f>'27-Allocators'!$G$15</f>
        <v>5.8811663225218191E-2</v>
      </c>
      <c r="I88" s="397" t="str">
        <f>"27-Allocators Lines "&amp;'27-Allocators'!A28&amp;" and "&amp;'27-Allocators'!A15&amp;" respectively."</f>
        <v>27-Allocators Lines 22 and 9 respectively.</v>
      </c>
      <c r="J88" s="113"/>
    </row>
    <row r="89" spans="1:10">
      <c r="A89" s="2">
        <f>+A88+1</f>
        <v>452</v>
      </c>
      <c r="B89" s="305"/>
      <c r="C89" s="305" t="s">
        <v>831</v>
      </c>
      <c r="D89" s="320">
        <f>SUM(F89:H89)</f>
        <v>-1402459856</v>
      </c>
      <c r="E89" s="320"/>
      <c r="F89" s="886">
        <f>+F87</f>
        <v>-1402459856</v>
      </c>
      <c r="G89" s="886">
        <f>+G87*G88</f>
        <v>0</v>
      </c>
      <c r="H89" s="886">
        <f>+H87*H88</f>
        <v>0</v>
      </c>
      <c r="I89" s="274" t="str">
        <f>"Line "&amp;A87&amp;" * Line "&amp;A88&amp;" for Cols 5 and 6.  Col. 4 100% ISO."</f>
        <v>Line 450 * Line 451 for Cols 5 and 6.  Col. 4 100% ISO.</v>
      </c>
      <c r="J89" s="113"/>
    </row>
    <row r="90" spans="1:10">
      <c r="A90" s="2"/>
      <c r="B90" s="305"/>
      <c r="C90" s="323" t="s">
        <v>825</v>
      </c>
      <c r="D90" s="320"/>
      <c r="E90" s="320"/>
      <c r="F90" s="320"/>
      <c r="G90" s="320"/>
      <c r="H90" s="320"/>
      <c r="I90" s="274"/>
      <c r="J90" s="113"/>
    </row>
    <row r="91" spans="1:10">
      <c r="A91" s="2"/>
      <c r="B91" s="236"/>
      <c r="C91" s="235"/>
      <c r="D91" s="320"/>
      <c r="E91" s="320"/>
      <c r="F91" s="320"/>
      <c r="G91" s="320"/>
      <c r="H91" s="320"/>
      <c r="I91" s="124"/>
      <c r="J91" s="113"/>
    </row>
    <row r="92" spans="1:10">
      <c r="A92" s="2">
        <f>+A89+1</f>
        <v>453</v>
      </c>
      <c r="B92" s="236"/>
      <c r="C92" s="305" t="s">
        <v>832</v>
      </c>
      <c r="D92" s="525">
        <v>-10129922487</v>
      </c>
      <c r="E92" s="630" t="str">
        <f>"Must match amount on Line "&amp;A87&amp;", Col. 2"</f>
        <v>Must match amount on Line 450, Col. 2</v>
      </c>
      <c r="F92" s="320"/>
      <c r="G92" s="320"/>
      <c r="H92" s="320"/>
      <c r="I92" s="124" t="s">
        <v>833</v>
      </c>
      <c r="J92" s="113"/>
    </row>
    <row r="93" spans="1:10">
      <c r="A93" s="2"/>
      <c r="B93" s="236"/>
      <c r="C93" s="235"/>
      <c r="D93" s="320"/>
      <c r="E93" s="320"/>
      <c r="F93" s="320"/>
      <c r="G93" s="320"/>
      <c r="H93" s="320"/>
      <c r="I93" s="124"/>
      <c r="J93" s="113"/>
    </row>
    <row r="94" spans="1:10">
      <c r="A94" s="2"/>
      <c r="B94" s="236"/>
      <c r="C94" s="235"/>
      <c r="D94" s="320"/>
      <c r="E94" s="320"/>
      <c r="F94" s="320"/>
      <c r="G94" s="320"/>
      <c r="H94" s="320"/>
      <c r="I94" s="275"/>
      <c r="J94" s="113"/>
    </row>
    <row r="95" spans="1:10">
      <c r="A95" s="235"/>
      <c r="B95" s="309" t="s">
        <v>834</v>
      </c>
      <c r="C95" s="305"/>
      <c r="D95" s="320"/>
      <c r="E95" s="115"/>
      <c r="F95" s="115"/>
      <c r="G95" s="115"/>
      <c r="H95" s="115"/>
      <c r="I95" s="113"/>
      <c r="J95" s="113"/>
    </row>
    <row r="96" spans="1:10">
      <c r="A96" s="235"/>
      <c r="B96" s="309"/>
      <c r="C96" s="48" t="s">
        <v>329</v>
      </c>
      <c r="D96" s="48" t="s">
        <v>330</v>
      </c>
      <c r="E96" s="48" t="s">
        <v>331</v>
      </c>
      <c r="F96" s="48" t="s">
        <v>332</v>
      </c>
      <c r="G96" s="48" t="s">
        <v>333</v>
      </c>
      <c r="H96" s="48" t="s">
        <v>334</v>
      </c>
      <c r="I96" s="48" t="s">
        <v>335</v>
      </c>
      <c r="J96" s="113"/>
    </row>
    <row r="97" spans="1:10">
      <c r="A97" s="235"/>
      <c r="B97" s="312"/>
      <c r="C97" s="312"/>
      <c r="D97" s="328" t="s">
        <v>795</v>
      </c>
      <c r="E97" s="328" t="s">
        <v>796</v>
      </c>
      <c r="F97" s="328"/>
      <c r="G97" s="328"/>
      <c r="H97" s="328" t="s">
        <v>797</v>
      </c>
      <c r="I97" s="490" t="s">
        <v>798</v>
      </c>
      <c r="J97" s="113"/>
    </row>
    <row r="98" spans="1:10">
      <c r="A98" s="235"/>
      <c r="B98" s="315" t="s">
        <v>835</v>
      </c>
      <c r="C98" s="315" t="s">
        <v>800</v>
      </c>
      <c r="D98" s="329" t="s">
        <v>801</v>
      </c>
      <c r="E98" s="329" t="s">
        <v>802</v>
      </c>
      <c r="F98" s="329" t="s">
        <v>803</v>
      </c>
      <c r="G98" s="329" t="s">
        <v>804</v>
      </c>
      <c r="H98" s="329" t="s">
        <v>805</v>
      </c>
      <c r="I98" s="315" t="s">
        <v>806</v>
      </c>
      <c r="J98" s="113"/>
    </row>
    <row r="99" spans="1:10">
      <c r="A99" s="2"/>
      <c r="B99" s="305" t="s">
        <v>807</v>
      </c>
      <c r="C99" s="113"/>
      <c r="D99" s="115"/>
      <c r="E99" s="115"/>
      <c r="F99" s="115"/>
      <c r="G99" s="115"/>
      <c r="H99" s="115"/>
      <c r="I99" s="113"/>
      <c r="J99" s="113"/>
    </row>
    <row r="100" spans="1:10">
      <c r="A100" s="105">
        <v>500</v>
      </c>
      <c r="B100" s="527">
        <v>283</v>
      </c>
      <c r="C100" s="528" t="s">
        <v>2835</v>
      </c>
      <c r="D100" s="395">
        <v>-73693196</v>
      </c>
      <c r="E100" s="396">
        <f t="shared" ref="E100" si="9">D100</f>
        <v>-73693196</v>
      </c>
      <c r="F100" s="395"/>
      <c r="G100" s="395"/>
      <c r="H100" s="395"/>
      <c r="I100" s="526" t="s">
        <v>2836</v>
      </c>
      <c r="J100" s="200"/>
    </row>
    <row r="101" spans="1:10">
      <c r="A101" s="105">
        <f>A100+1</f>
        <v>501</v>
      </c>
      <c r="B101" s="527">
        <v>283</v>
      </c>
      <c r="C101" s="528" t="s">
        <v>2920</v>
      </c>
      <c r="D101" s="395">
        <v>-12405831</v>
      </c>
      <c r="E101" s="395"/>
      <c r="F101" s="395">
        <f>D101</f>
        <v>-12405831</v>
      </c>
      <c r="G101" s="395"/>
      <c r="H101" s="395"/>
      <c r="I101" s="526" t="s">
        <v>2837</v>
      </c>
      <c r="J101" s="200"/>
    </row>
    <row r="102" spans="1:10">
      <c r="A102" s="105">
        <f t="shared" ref="A102:A109" si="10">A101+1</f>
        <v>502</v>
      </c>
      <c r="B102" s="527">
        <v>283</v>
      </c>
      <c r="C102" s="528" t="s">
        <v>2839</v>
      </c>
      <c r="D102" s="395">
        <v>-1283760215</v>
      </c>
      <c r="E102" s="395">
        <f>D102</f>
        <v>-1283760215</v>
      </c>
      <c r="F102" s="395"/>
      <c r="G102" s="395"/>
      <c r="H102" s="395"/>
      <c r="I102" s="526" t="s">
        <v>2840</v>
      </c>
      <c r="J102" s="200"/>
    </row>
    <row r="103" spans="1:10">
      <c r="A103" s="105">
        <f t="shared" si="10"/>
        <v>503</v>
      </c>
      <c r="B103" s="527">
        <v>283</v>
      </c>
      <c r="C103" s="528" t="s">
        <v>810</v>
      </c>
      <c r="D103" s="395">
        <v>-1023969</v>
      </c>
      <c r="E103" s="395">
        <f>D103*$G$158</f>
        <v>-780.83904948887266</v>
      </c>
      <c r="F103" s="395"/>
      <c r="G103" s="395">
        <f>D103-E103</f>
        <v>-1023188.1609505111</v>
      </c>
      <c r="H103" s="395"/>
      <c r="I103" s="526" t="s">
        <v>2809</v>
      </c>
      <c r="J103" s="200"/>
    </row>
    <row r="104" spans="1:10">
      <c r="A104" s="105">
        <f t="shared" si="10"/>
        <v>504</v>
      </c>
      <c r="B104" s="527">
        <v>283</v>
      </c>
      <c r="C104" s="528" t="s">
        <v>2815</v>
      </c>
      <c r="D104" s="395">
        <v>-379687580</v>
      </c>
      <c r="E104" s="395">
        <f>D104</f>
        <v>-379687580</v>
      </c>
      <c r="F104" s="395"/>
      <c r="G104" s="395"/>
      <c r="H104" s="395"/>
      <c r="I104" s="526" t="s">
        <v>2816</v>
      </c>
      <c r="J104" s="200"/>
    </row>
    <row r="105" spans="1:10">
      <c r="A105" s="105">
        <f t="shared" si="10"/>
        <v>505</v>
      </c>
      <c r="B105" s="527">
        <v>283</v>
      </c>
      <c r="C105" s="528" t="s">
        <v>837</v>
      </c>
      <c r="D105" s="395">
        <v>-1042965</v>
      </c>
      <c r="E105" s="395">
        <f>D105*$G$150</f>
        <v>-4396.5605267019846</v>
      </c>
      <c r="F105" s="395"/>
      <c r="G105" s="395"/>
      <c r="H105" s="395">
        <f>D105-E105</f>
        <v>-1038568.439473298</v>
      </c>
      <c r="I105" s="526" t="s">
        <v>2810</v>
      </c>
      <c r="J105" s="200"/>
    </row>
    <row r="106" spans="1:10">
      <c r="A106" s="105">
        <f t="shared" si="10"/>
        <v>506</v>
      </c>
      <c r="B106" s="527">
        <v>283</v>
      </c>
      <c r="C106" s="528" t="s">
        <v>836</v>
      </c>
      <c r="D106" s="395">
        <v>-21891856</v>
      </c>
      <c r="E106" s="395">
        <f>D106*$G$158</f>
        <v>-16693.880411015642</v>
      </c>
      <c r="F106" s="395"/>
      <c r="G106" s="395">
        <f>D106-E106</f>
        <v>-21875162.119588986</v>
      </c>
      <c r="H106" s="395"/>
      <c r="I106" s="526" t="s">
        <v>2838</v>
      </c>
      <c r="J106" s="200"/>
    </row>
    <row r="107" spans="1:10">
      <c r="A107" s="105">
        <f t="shared" si="10"/>
        <v>507</v>
      </c>
      <c r="B107" s="527">
        <v>283</v>
      </c>
      <c r="C107" s="528" t="s">
        <v>2819</v>
      </c>
      <c r="D107" s="395">
        <v>-202134315</v>
      </c>
      <c r="E107" s="396">
        <f t="shared" ref="E107:E108" si="11">D107</f>
        <v>-202134315</v>
      </c>
      <c r="F107" s="395"/>
      <c r="G107" s="395"/>
      <c r="H107" s="395"/>
      <c r="I107" s="526" t="s">
        <v>2820</v>
      </c>
      <c r="J107" s="200"/>
    </row>
    <row r="108" spans="1:10">
      <c r="A108" s="105">
        <f t="shared" si="10"/>
        <v>508</v>
      </c>
      <c r="B108" s="527">
        <v>283</v>
      </c>
      <c r="C108" s="528" t="s">
        <v>2841</v>
      </c>
      <c r="D108" s="395">
        <v>-362328510</v>
      </c>
      <c r="E108" s="396">
        <f t="shared" si="11"/>
        <v>-362328510</v>
      </c>
      <c r="F108" s="395"/>
      <c r="G108" s="395"/>
      <c r="H108" s="395"/>
      <c r="I108" s="526" t="s">
        <v>2822</v>
      </c>
      <c r="J108" s="200"/>
    </row>
    <row r="109" spans="1:10">
      <c r="A109" s="105">
        <f t="shared" si="10"/>
        <v>509</v>
      </c>
      <c r="B109" s="527" t="s">
        <v>815</v>
      </c>
      <c r="C109" s="242"/>
      <c r="D109" s="255"/>
      <c r="E109" s="395"/>
      <c r="F109" s="117"/>
      <c r="G109" s="395"/>
      <c r="H109" s="117"/>
      <c r="I109" s="200"/>
      <c r="J109" s="200"/>
    </row>
    <row r="110" spans="1:10">
      <c r="A110" s="2"/>
      <c r="B110" s="277"/>
      <c r="C110" s="235"/>
      <c r="D110" s="237"/>
      <c r="E110" s="115"/>
      <c r="F110" s="115"/>
      <c r="G110" s="115"/>
      <c r="H110" s="115"/>
      <c r="I110" s="113"/>
      <c r="J110" s="113"/>
    </row>
    <row r="111" spans="1:10">
      <c r="A111" s="2"/>
      <c r="B111" s="309" t="s">
        <v>838</v>
      </c>
      <c r="C111" s="305"/>
      <c r="D111" s="320"/>
      <c r="E111" s="115"/>
      <c r="F111" s="115"/>
      <c r="G111" s="115"/>
      <c r="H111" s="115"/>
      <c r="I111" s="113"/>
      <c r="J111" s="113"/>
    </row>
    <row r="112" spans="1:10">
      <c r="A112" s="2"/>
      <c r="B112" s="309"/>
      <c r="C112" s="48" t="s">
        <v>329</v>
      </c>
      <c r="D112" s="48" t="s">
        <v>330</v>
      </c>
      <c r="E112" s="48" t="s">
        <v>331</v>
      </c>
      <c r="F112" s="48" t="s">
        <v>332</v>
      </c>
      <c r="G112" s="48" t="s">
        <v>333</v>
      </c>
      <c r="H112" s="48" t="s">
        <v>334</v>
      </c>
      <c r="I112" s="48" t="s">
        <v>335</v>
      </c>
      <c r="J112" s="113"/>
    </row>
    <row r="113" spans="1:10">
      <c r="A113" s="2"/>
      <c r="B113" s="312"/>
      <c r="C113" s="312"/>
      <c r="D113" s="328" t="s">
        <v>795</v>
      </c>
      <c r="E113" s="328" t="s">
        <v>796</v>
      </c>
      <c r="F113" s="328"/>
      <c r="G113" s="328"/>
      <c r="H113" s="328" t="s">
        <v>797</v>
      </c>
      <c r="I113" s="490" t="s">
        <v>798</v>
      </c>
      <c r="J113" s="113"/>
    </row>
    <row r="114" spans="1:10">
      <c r="A114" s="2"/>
      <c r="B114" s="315" t="s">
        <v>835</v>
      </c>
      <c r="C114" s="315" t="s">
        <v>800</v>
      </c>
      <c r="D114" s="329" t="s">
        <v>801</v>
      </c>
      <c r="E114" s="329" t="s">
        <v>802</v>
      </c>
      <c r="F114" s="329" t="s">
        <v>803</v>
      </c>
      <c r="G114" s="329" t="s">
        <v>804</v>
      </c>
      <c r="H114" s="329" t="s">
        <v>805</v>
      </c>
      <c r="I114" s="315" t="s">
        <v>806</v>
      </c>
      <c r="J114" s="113"/>
    </row>
    <row r="115" spans="1:10">
      <c r="A115" s="2"/>
      <c r="B115" s="305" t="s">
        <v>839</v>
      </c>
      <c r="C115" s="312"/>
      <c r="D115" s="328"/>
      <c r="E115" s="328"/>
      <c r="F115" s="328"/>
      <c r="G115" s="328"/>
      <c r="H115" s="328"/>
      <c r="I115" s="312"/>
      <c r="J115" s="113"/>
    </row>
    <row r="116" spans="1:10">
      <c r="A116" s="105">
        <f>A109+1</f>
        <v>510</v>
      </c>
      <c r="B116" s="527" t="s">
        <v>815</v>
      </c>
      <c r="C116" s="242"/>
      <c r="D116" s="255"/>
      <c r="E116" s="395"/>
      <c r="F116" s="117"/>
      <c r="G116" s="395"/>
      <c r="H116" s="117"/>
      <c r="I116" s="200"/>
      <c r="J116" s="200"/>
    </row>
    <row r="117" spans="1:10">
      <c r="A117" s="2"/>
      <c r="B117" s="245"/>
      <c r="C117" s="235"/>
      <c r="D117" s="237"/>
      <c r="E117" s="115"/>
      <c r="F117" s="115"/>
      <c r="G117" s="115"/>
      <c r="H117" s="115"/>
      <c r="I117" s="113"/>
      <c r="J117" s="113"/>
    </row>
    <row r="118" spans="1:10">
      <c r="A118" s="2">
        <v>650</v>
      </c>
      <c r="B118" s="235"/>
      <c r="C118" s="235" t="s">
        <v>840</v>
      </c>
      <c r="D118" s="237">
        <f>SUM(D100:D109)+SUM(D116:D116)</f>
        <v>-2337968437</v>
      </c>
      <c r="E118" s="237">
        <f>SUM(E100:E109)+SUM(E116:E116)</f>
        <v>-2301625687.2799873</v>
      </c>
      <c r="F118" s="237">
        <f>SUM(F100:F109)+SUM(F116:F116)</f>
        <v>-12405831</v>
      </c>
      <c r="G118" s="237">
        <f>SUM(G100:G109)+SUM(G116:G116)</f>
        <v>-22898350.280539498</v>
      </c>
      <c r="H118" s="237">
        <f>SUM(H100:H109)+SUM(H116:H116)</f>
        <v>-1038568.439473298</v>
      </c>
      <c r="I118" s="124" t="str">
        <f>"Sum of Above Lines beginning on Line "&amp;A100&amp;""</f>
        <v>Sum of Above Lines beginning on Line 500</v>
      </c>
      <c r="J118" s="113"/>
    </row>
    <row r="119" spans="1:10">
      <c r="A119" s="2"/>
      <c r="B119" s="235"/>
      <c r="C119" s="235"/>
      <c r="D119" s="237"/>
      <c r="E119" s="237"/>
      <c r="F119" s="237"/>
      <c r="G119" s="237"/>
      <c r="H119" s="237"/>
      <c r="I119" s="275"/>
      <c r="J119" s="113"/>
    </row>
    <row r="120" spans="1:10">
      <c r="A120" s="2"/>
      <c r="B120" s="305" t="s">
        <v>841</v>
      </c>
      <c r="C120" s="235"/>
      <c r="D120" s="237"/>
      <c r="E120" s="115"/>
      <c r="F120" s="115"/>
      <c r="G120" s="115"/>
      <c r="H120" s="115"/>
      <c r="I120" s="490" t="s">
        <v>798</v>
      </c>
      <c r="J120" s="113"/>
    </row>
    <row r="121" spans="1:10">
      <c r="A121" s="2"/>
      <c r="C121" s="48" t="s">
        <v>329</v>
      </c>
      <c r="D121" s="48" t="s">
        <v>330</v>
      </c>
      <c r="E121" s="48" t="s">
        <v>331</v>
      </c>
      <c r="F121" s="48" t="s">
        <v>332</v>
      </c>
      <c r="G121" s="48" t="s">
        <v>333</v>
      </c>
      <c r="H121" s="48" t="s">
        <v>334</v>
      </c>
      <c r="I121" s="48" t="s">
        <v>335</v>
      </c>
      <c r="J121" s="113"/>
    </row>
    <row r="122" spans="1:10">
      <c r="A122" s="105">
        <v>700</v>
      </c>
      <c r="B122" s="527">
        <v>283</v>
      </c>
      <c r="C122" s="528" t="s">
        <v>2842</v>
      </c>
      <c r="D122" s="396">
        <v>-129489</v>
      </c>
      <c r="E122" s="396">
        <f>D122</f>
        <v>-129489</v>
      </c>
      <c r="F122" s="395"/>
      <c r="G122" s="395"/>
      <c r="H122" s="395"/>
      <c r="I122" s="526" t="s">
        <v>2834</v>
      </c>
      <c r="J122" s="526"/>
    </row>
    <row r="123" spans="1:10">
      <c r="A123" s="105">
        <f>A122+1</f>
        <v>701</v>
      </c>
      <c r="B123" s="527">
        <v>283</v>
      </c>
      <c r="C123" s="528" t="s">
        <v>2843</v>
      </c>
      <c r="D123" s="396">
        <v>-9555</v>
      </c>
      <c r="E123" s="396">
        <f t="shared" ref="E123:E125" si="12">D123</f>
        <v>-9555</v>
      </c>
      <c r="F123" s="395"/>
      <c r="G123" s="395"/>
      <c r="H123" s="395"/>
      <c r="I123" s="526" t="s">
        <v>2834</v>
      </c>
      <c r="J123" s="526"/>
    </row>
    <row r="124" spans="1:10">
      <c r="A124" s="105">
        <f>A123+1</f>
        <v>702</v>
      </c>
      <c r="B124" s="527">
        <v>283</v>
      </c>
      <c r="C124" s="528" t="s">
        <v>2844</v>
      </c>
      <c r="D124" s="396">
        <v>-1001690</v>
      </c>
      <c r="E124" s="396">
        <f t="shared" si="12"/>
        <v>-1001690</v>
      </c>
      <c r="F124" s="395"/>
      <c r="G124" s="395"/>
      <c r="H124" s="395"/>
      <c r="I124" s="526" t="s">
        <v>2828</v>
      </c>
      <c r="J124" s="526"/>
    </row>
    <row r="125" spans="1:10">
      <c r="A125" s="105">
        <f>A124+1</f>
        <v>703</v>
      </c>
      <c r="B125" s="527">
        <v>283</v>
      </c>
      <c r="C125" s="528" t="s">
        <v>2845</v>
      </c>
      <c r="D125" s="396">
        <v>-10259083</v>
      </c>
      <c r="E125" s="396">
        <f t="shared" si="12"/>
        <v>-10259083</v>
      </c>
      <c r="F125" s="395"/>
      <c r="G125" s="395"/>
      <c r="H125" s="395"/>
      <c r="I125" s="526" t="s">
        <v>2828</v>
      </c>
      <c r="J125" s="526"/>
    </row>
    <row r="126" spans="1:10">
      <c r="A126" s="105">
        <f>A125+1</f>
        <v>704</v>
      </c>
      <c r="B126" s="527" t="s">
        <v>815</v>
      </c>
      <c r="C126" s="528"/>
      <c r="D126" s="396"/>
      <c r="E126" s="395"/>
      <c r="F126" s="395"/>
      <c r="G126" s="395"/>
      <c r="H126" s="395"/>
      <c r="I126" s="526"/>
      <c r="J126" s="526"/>
    </row>
    <row r="127" spans="1:10">
      <c r="A127" s="2"/>
      <c r="B127" s="277"/>
      <c r="C127" s="235"/>
      <c r="D127" s="237"/>
      <c r="E127" s="115"/>
      <c r="F127" s="115"/>
      <c r="G127" s="115"/>
      <c r="H127" s="115"/>
      <c r="I127" s="113"/>
      <c r="J127" s="113"/>
    </row>
    <row r="128" spans="1:10">
      <c r="A128" s="2"/>
      <c r="B128" s="235"/>
      <c r="C128" s="48" t="s">
        <v>329</v>
      </c>
      <c r="D128" s="48" t="s">
        <v>330</v>
      </c>
      <c r="E128" s="48" t="s">
        <v>331</v>
      </c>
      <c r="F128" s="48" t="s">
        <v>332</v>
      </c>
      <c r="G128" s="48" t="s">
        <v>333</v>
      </c>
      <c r="H128" s="48" t="s">
        <v>334</v>
      </c>
      <c r="I128" s="186" t="s">
        <v>644</v>
      </c>
      <c r="J128" s="113"/>
    </row>
    <row r="129" spans="1:10">
      <c r="A129" s="2">
        <v>800</v>
      </c>
      <c r="B129" s="113"/>
      <c r="C129" s="235" t="s">
        <v>842</v>
      </c>
      <c r="D129" s="237">
        <f>SUM(D122:D125)</f>
        <v>-11399817</v>
      </c>
      <c r="E129" s="237">
        <f>SUM(E122:E125)</f>
        <v>-11399817</v>
      </c>
      <c r="F129" s="237">
        <f>SUM(F122:F125)</f>
        <v>0</v>
      </c>
      <c r="G129" s="237">
        <f>SUM(G122:G125)</f>
        <v>0</v>
      </c>
      <c r="H129" s="237">
        <f>SUM(H122:H125)</f>
        <v>0</v>
      </c>
      <c r="I129" s="124" t="str">
        <f>"Sum of Above Lines beginning on Line "&amp;A122&amp;""</f>
        <v>Sum of Above Lines beginning on Line 700</v>
      </c>
      <c r="J129" s="113"/>
    </row>
    <row r="130" spans="1:10">
      <c r="A130" s="2"/>
      <c r="B130" s="113"/>
      <c r="C130" s="235"/>
      <c r="D130" s="237"/>
      <c r="E130" s="237"/>
      <c r="F130" s="237"/>
      <c r="G130" s="237"/>
      <c r="H130" s="237"/>
      <c r="I130" s="124"/>
      <c r="J130" s="113"/>
    </row>
    <row r="131" spans="1:10">
      <c r="A131" s="2">
        <f>A129+1</f>
        <v>801</v>
      </c>
      <c r="B131" s="113"/>
      <c r="C131" s="235" t="s">
        <v>843</v>
      </c>
      <c r="D131" s="237">
        <f>D118+D129</f>
        <v>-2349368254</v>
      </c>
      <c r="E131" s="237">
        <f>E118+E129</f>
        <v>-2313025504.2799873</v>
      </c>
      <c r="F131" s="237">
        <f>F118+F129</f>
        <v>-12405831</v>
      </c>
      <c r="G131" s="237">
        <f>G118+G129</f>
        <v>-22898350.280539498</v>
      </c>
      <c r="H131" s="237">
        <f>H118+H129</f>
        <v>-1038568.439473298</v>
      </c>
      <c r="I131" s="274" t="str">
        <f>"Line "&amp;A118&amp;" + Line "&amp;A129&amp;""</f>
        <v>Line 650 + Line 800</v>
      </c>
      <c r="J131" s="113"/>
    </row>
    <row r="132" spans="1:10">
      <c r="A132" s="2">
        <f>+A131+1</f>
        <v>802</v>
      </c>
      <c r="B132" s="305"/>
      <c r="C132" s="305" t="s">
        <v>823</v>
      </c>
      <c r="D132" s="509"/>
      <c r="E132" s="509"/>
      <c r="F132" s="320"/>
      <c r="G132" s="322">
        <f>'27-Allocators'!$G$28</f>
        <v>0.17820337068056696</v>
      </c>
      <c r="H132" s="322">
        <f>'27-Allocators'!$G$15</f>
        <v>5.8811663225218191E-2</v>
      </c>
      <c r="I132" s="397" t="str">
        <f>"27-Allocators Lines "&amp;'27-Allocators'!A28&amp;" and "&amp;'27-Allocators'!A15&amp;" respectively."</f>
        <v>27-Allocators Lines 22 and 9 respectively.</v>
      </c>
      <c r="J132" s="113"/>
    </row>
    <row r="133" spans="1:10">
      <c r="A133" s="2">
        <f>+A132+1</f>
        <v>803</v>
      </c>
      <c r="B133" s="305"/>
      <c r="C133" s="305" t="s">
        <v>844</v>
      </c>
      <c r="D133" s="327">
        <f>SUM(F133:H133)</f>
        <v>-16547474.140315089</v>
      </c>
      <c r="E133" s="320"/>
      <c r="F133" s="886">
        <f>+F131</f>
        <v>-12405831</v>
      </c>
      <c r="G133" s="886">
        <f>+G131*G132</f>
        <v>-4080563.2030164446</v>
      </c>
      <c r="H133" s="887">
        <f>+H131*H132</f>
        <v>-61079.937298644007</v>
      </c>
      <c r="I133" s="274" t="str">
        <f>"Line "&amp;A131&amp;" * Line "&amp;A132&amp;" for Cols 5 and 6.  Col. 4 100% ISO."</f>
        <v>Line 801 * Line 802 for Cols 5 and 6.  Col. 4 100% ISO.</v>
      </c>
      <c r="J133" s="113"/>
    </row>
    <row r="134" spans="1:10">
      <c r="A134" s="2"/>
      <c r="B134" s="113"/>
      <c r="C134" s="323" t="s">
        <v>825</v>
      </c>
      <c r="D134" s="237"/>
      <c r="E134" s="237"/>
      <c r="F134" s="237"/>
      <c r="G134" s="237"/>
      <c r="H134" s="237"/>
      <c r="I134" s="274"/>
      <c r="J134" s="115"/>
    </row>
    <row r="135" spans="1:10">
      <c r="A135" s="2"/>
      <c r="B135" s="113"/>
      <c r="C135" s="235"/>
      <c r="D135" s="237"/>
      <c r="E135" s="237"/>
      <c r="F135" s="237"/>
      <c r="G135" s="237"/>
      <c r="H135" s="237"/>
      <c r="I135" s="274"/>
      <c r="J135" s="113"/>
    </row>
    <row r="136" spans="1:10">
      <c r="A136" s="2">
        <f>A133+1</f>
        <v>804</v>
      </c>
      <c r="C136" s="305" t="s">
        <v>845</v>
      </c>
      <c r="D136" s="525">
        <v>-2349368254</v>
      </c>
      <c r="E136" s="630" t="str">
        <f>"Must match amount on Line "&amp;A131&amp;", Col. 2"</f>
        <v>Must match amount on Line 801, Col. 2</v>
      </c>
      <c r="F136" s="320"/>
      <c r="G136" s="320"/>
      <c r="H136" s="320"/>
      <c r="I136" s="124" t="s">
        <v>846</v>
      </c>
    </row>
    <row r="137" spans="1:10">
      <c r="A137" s="2"/>
      <c r="C137" s="305"/>
      <c r="D137" s="324"/>
      <c r="E137" s="324"/>
      <c r="F137" s="320"/>
      <c r="G137" s="320"/>
      <c r="H137" s="320"/>
      <c r="I137" s="124"/>
    </row>
    <row r="138" spans="1:10">
      <c r="B138"/>
      <c r="C138" s="113" t="s">
        <v>847</v>
      </c>
      <c r="D138" s="113"/>
      <c r="E138" s="113"/>
      <c r="F138" s="113"/>
      <c r="G138" s="113"/>
      <c r="J138"/>
    </row>
    <row r="139" spans="1:10">
      <c r="B139"/>
      <c r="C139" s="113" t="s">
        <v>848</v>
      </c>
      <c r="D139" s="113"/>
      <c r="E139" s="113"/>
      <c r="F139" s="113"/>
      <c r="G139" s="113"/>
      <c r="J139"/>
    </row>
    <row r="140" spans="1:10">
      <c r="B140"/>
      <c r="C140" s="113"/>
      <c r="D140" s="113"/>
      <c r="E140" s="113"/>
      <c r="F140" s="113"/>
      <c r="G140" s="113"/>
      <c r="J140"/>
    </row>
    <row r="141" spans="1:10">
      <c r="B141"/>
      <c r="C141" s="113" t="s">
        <v>849</v>
      </c>
      <c r="D141" s="113"/>
      <c r="E141" s="113"/>
      <c r="F141" s="113"/>
      <c r="G141" s="113"/>
      <c r="J141"/>
    </row>
    <row r="142" spans="1:10">
      <c r="B142"/>
      <c r="C142" s="113" t="s">
        <v>850</v>
      </c>
      <c r="D142" s="113"/>
      <c r="E142" s="113"/>
      <c r="F142" s="113"/>
      <c r="G142" s="113"/>
      <c r="J142"/>
    </row>
    <row r="143" spans="1:10">
      <c r="B143"/>
      <c r="C143" s="113" t="s">
        <v>851</v>
      </c>
      <c r="D143" s="113"/>
      <c r="E143" s="113"/>
      <c r="F143" s="113"/>
      <c r="G143" s="113"/>
      <c r="J143"/>
    </row>
    <row r="144" spans="1:10" s="235" customFormat="1">
      <c r="E144" s="2" t="s">
        <v>98</v>
      </c>
      <c r="G144" s="4" t="s">
        <v>852</v>
      </c>
      <c r="H144" s="113"/>
      <c r="I144" s="113"/>
    </row>
    <row r="145" spans="2:10" s="235" customFormat="1">
      <c r="E145" s="3" t="s">
        <v>101</v>
      </c>
      <c r="G145" s="3" t="s">
        <v>102</v>
      </c>
      <c r="H145" s="113"/>
      <c r="I145" s="113"/>
    </row>
    <row r="146" spans="2:10" s="235" customFormat="1">
      <c r="C146" s="234" t="s">
        <v>853</v>
      </c>
      <c r="E146" s="235" t="s">
        <v>854</v>
      </c>
      <c r="G146" s="533">
        <v>917817764</v>
      </c>
      <c r="H146" s="113"/>
      <c r="I146" s="598"/>
    </row>
    <row r="147" spans="2:10" s="235" customFormat="1">
      <c r="C147" s="234" t="s">
        <v>855</v>
      </c>
      <c r="E147" s="235" t="s">
        <v>856</v>
      </c>
      <c r="G147" s="255">
        <v>830824</v>
      </c>
      <c r="H147" s="113"/>
      <c r="I147" s="598"/>
    </row>
    <row r="148" spans="2:10" s="235" customFormat="1">
      <c r="C148" s="234" t="s">
        <v>857</v>
      </c>
      <c r="E148" s="235" t="s">
        <v>858</v>
      </c>
      <c r="G148" s="61">
        <v>3054564</v>
      </c>
      <c r="H148" s="113"/>
      <c r="I148" s="598"/>
    </row>
    <row r="149" spans="2:10" s="235" customFormat="1">
      <c r="C149" s="234" t="s">
        <v>859</v>
      </c>
      <c r="E149" s="235" t="s">
        <v>860</v>
      </c>
      <c r="G149" s="237">
        <f>SUM(G146:G148)</f>
        <v>921703152</v>
      </c>
      <c r="H149" s="113"/>
      <c r="I149" s="113"/>
    </row>
    <row r="150" spans="2:10" s="235" customFormat="1">
      <c r="C150" s="234" t="s">
        <v>861</v>
      </c>
      <c r="E150" s="245" t="s">
        <v>862</v>
      </c>
      <c r="G150" s="205">
        <f>(G147+G148)/G149</f>
        <v>4.2154439762618926E-3</v>
      </c>
      <c r="H150" s="113"/>
      <c r="I150" s="113"/>
    </row>
    <row r="151" spans="2:10" s="235" customFormat="1">
      <c r="C151" s="484" t="s">
        <v>863</v>
      </c>
      <c r="D151" s="113"/>
      <c r="E151" s="113"/>
      <c r="F151" s="113"/>
      <c r="G151" s="113"/>
      <c r="H151" s="113"/>
      <c r="I151" s="113"/>
    </row>
    <row r="152" spans="2:10" s="235" customFormat="1">
      <c r="E152" s="2" t="s">
        <v>98</v>
      </c>
      <c r="G152" s="4" t="s">
        <v>852</v>
      </c>
      <c r="H152" s="113"/>
      <c r="I152" s="113"/>
    </row>
    <row r="153" spans="2:10" s="235" customFormat="1">
      <c r="E153" s="3" t="s">
        <v>101</v>
      </c>
      <c r="G153" s="3" t="s">
        <v>102</v>
      </c>
      <c r="H153" s="113"/>
      <c r="I153" s="113"/>
    </row>
    <row r="154" spans="2:10" s="235" customFormat="1">
      <c r="C154" s="234" t="s">
        <v>864</v>
      </c>
      <c r="E154" s="235" t="s">
        <v>865</v>
      </c>
      <c r="G154" s="533">
        <v>64134642585</v>
      </c>
      <c r="H154" s="113"/>
      <c r="I154" s="598"/>
    </row>
    <row r="155" spans="2:10" s="235" customFormat="1">
      <c r="C155" s="234" t="s">
        <v>866</v>
      </c>
      <c r="E155" s="235" t="s">
        <v>867</v>
      </c>
      <c r="G155" s="255">
        <v>6779054</v>
      </c>
      <c r="H155" s="113"/>
      <c r="I155" s="113"/>
    </row>
    <row r="156" spans="2:10" s="235" customFormat="1">
      <c r="C156" s="234" t="s">
        <v>868</v>
      </c>
      <c r="E156" s="235" t="s">
        <v>869</v>
      </c>
      <c r="G156" s="61">
        <v>42164860</v>
      </c>
      <c r="H156" s="113"/>
      <c r="I156" s="598"/>
    </row>
    <row r="157" spans="2:10" s="235" customFormat="1">
      <c r="C157" s="234" t="s">
        <v>870</v>
      </c>
      <c r="E157" s="235" t="s">
        <v>871</v>
      </c>
      <c r="G157" s="237">
        <f>SUM(G154:G156)</f>
        <v>64183586499</v>
      </c>
      <c r="H157" s="113"/>
      <c r="I157" s="113"/>
    </row>
    <row r="158" spans="2:10" s="235" customFormat="1">
      <c r="C158" s="234" t="s">
        <v>872</v>
      </c>
      <c r="E158" s="245" t="s">
        <v>873</v>
      </c>
      <c r="G158" s="205">
        <f>(G155+G156)/G157</f>
        <v>7.6256121961589918E-4</v>
      </c>
      <c r="H158" s="113"/>
      <c r="I158" s="113"/>
    </row>
    <row r="159" spans="2:10" s="235" customFormat="1">
      <c r="C159" s="113" t="s">
        <v>874</v>
      </c>
      <c r="D159" s="113"/>
      <c r="E159" s="113"/>
      <c r="F159" s="113"/>
      <c r="G159" s="113"/>
      <c r="H159" s="113"/>
      <c r="I159" s="113"/>
    </row>
    <row r="160" spans="2:10" s="235" customFormat="1">
      <c r="B160" s="113"/>
      <c r="C160" s="113"/>
      <c r="D160" s="113"/>
      <c r="E160" s="113"/>
      <c r="F160" s="113"/>
      <c r="G160" s="113"/>
      <c r="H160" s="113"/>
      <c r="I160" s="113"/>
      <c r="J160" s="113"/>
    </row>
    <row r="161" spans="2:10" s="235" customFormat="1">
      <c r="B161" s="113"/>
      <c r="C161" s="30"/>
      <c r="D161" s="113"/>
      <c r="E161" s="113"/>
      <c r="F161" s="113"/>
      <c r="G161" s="113"/>
      <c r="H161" s="113"/>
      <c r="I161" s="113"/>
      <c r="J161" s="113"/>
    </row>
    <row r="162" spans="2:10">
      <c r="C162" s="235"/>
      <c r="G162" s="672"/>
      <c r="H162" s="737"/>
      <c r="I162" s="113"/>
      <c r="J162" s="113"/>
    </row>
    <row r="163" spans="2:10">
      <c r="C163" s="235"/>
    </row>
    <row r="164" spans="2:10">
      <c r="C164" s="234"/>
    </row>
    <row r="165" spans="2:10">
      <c r="C165" s="234"/>
    </row>
  </sheetData>
  <protectedRanges>
    <protectedRange password="F1C4" sqref="D20:E23 E15:E19 D14:D15 D17:D18 I52 B7:C12 F20 D25:F30 D24 B14:C14 B13 B17:C30 C16 B15" name="AAReport1_23_1_1_2"/>
    <protectedRange password="F1C4" sqref="E24" name="AAReport1_23_1_1_2_3"/>
    <protectedRange password="F1C4" sqref="I116" name="AAReport1_23_1_1_2_2"/>
    <protectedRange password="F1C4" sqref="D19" name="AAReport1_23_1_1_1_1_1_1"/>
    <protectedRange password="F1C4" sqref="F46" name="AAReport1_23_1_1_2_1_2"/>
    <protectedRange password="F1C4" sqref="J32:J35" name="AAReport1_23_1_1_2_1_2_2"/>
    <protectedRange password="F1C4" sqref="I109" name="AAReport1_23_1_1_2_2_1"/>
    <protectedRange password="F1C4" sqref="F45" name="AAReport1_23_1_1_2_1_1"/>
    <protectedRange password="F1C4" sqref="F32:F33" name="AAReport1_23_1_1_2_1_1_1_2"/>
  </protectedRanges>
  <phoneticPr fontId="23" type="noConversion"/>
  <conditionalFormatting sqref="B110 B127">
    <cfRule type="expression" dxfId="27" priority="58" stopIfTrue="1">
      <formula>Formulas</formula>
    </cfRule>
  </conditionalFormatting>
  <conditionalFormatting sqref="C100:C105 C107:C108">
    <cfRule type="expression" dxfId="26" priority="11" stopIfTrue="1">
      <formula>#REF!&lt;&gt;""</formula>
    </cfRule>
  </conditionalFormatting>
  <conditionalFormatting sqref="C106">
    <cfRule type="expression" dxfId="25" priority="8" stopIfTrue="1">
      <formula>#REF!&lt;&gt;""</formula>
    </cfRule>
  </conditionalFormatting>
  <conditionalFormatting sqref="C109">
    <cfRule type="expression" dxfId="24" priority="12" stopIfTrue="1">
      <formula>#REF!&lt;&gt;""</formula>
    </cfRule>
  </conditionalFormatting>
  <conditionalFormatting sqref="C110">
    <cfRule type="expression" dxfId="23" priority="57" stopIfTrue="1">
      <formula>#REF!&lt;&gt;""</formula>
    </cfRule>
  </conditionalFormatting>
  <conditionalFormatting sqref="C116">
    <cfRule type="expression" dxfId="22" priority="37" stopIfTrue="1">
      <formula>#REF!&lt;&gt;""</formula>
    </cfRule>
  </conditionalFormatting>
  <conditionalFormatting sqref="C122:C127">
    <cfRule type="expression" dxfId="21" priority="1" stopIfTrue="1">
      <formula>#REF!&lt;&gt;""</formula>
    </cfRule>
  </conditionalFormatting>
  <conditionalFormatting sqref="D100:D110">
    <cfRule type="expression" dxfId="20" priority="7" stopIfTrue="1">
      <formula>Formulas</formula>
    </cfRule>
  </conditionalFormatting>
  <conditionalFormatting sqref="D116">
    <cfRule type="expression" dxfId="19" priority="38" stopIfTrue="1">
      <formula>Formulas</formula>
    </cfRule>
  </conditionalFormatting>
  <conditionalFormatting sqref="D122:D127">
    <cfRule type="expression" dxfId="18" priority="6" stopIfTrue="1">
      <formula>Formulas</formula>
    </cfRule>
  </conditionalFormatting>
  <conditionalFormatting sqref="E100">
    <cfRule type="expression" dxfId="17" priority="10" stopIfTrue="1">
      <formula>Formulas</formula>
    </cfRule>
  </conditionalFormatting>
  <conditionalFormatting sqref="E107:E108">
    <cfRule type="expression" dxfId="16" priority="9" stopIfTrue="1">
      <formula>Formulas</formula>
    </cfRule>
  </conditionalFormatting>
  <conditionalFormatting sqref="E122:E125">
    <cfRule type="expression" dxfId="15" priority="5" stopIfTrue="1">
      <formula>Formulas</formula>
    </cfRule>
  </conditionalFormatting>
  <pageMargins left="0.75" right="0.75" top="1" bottom="1" header="0.5" footer="0.5"/>
  <pageSetup scale="56" orientation="landscape" cellComments="asDisplayed" r:id="rId1"/>
  <headerFooter alignWithMargins="0">
    <oddHeader>&amp;C&amp;"Arial,Bold"Schedule 9-ADIT-1
ADIT
&amp;RTO2025 Annual Update 
Attachment 1</oddHeader>
    <oddFooter>&amp;R&amp;A</oddFooter>
  </headerFooter>
  <rowBreaks count="4" manualBreakCount="4">
    <brk id="24" max="16383" man="1"/>
    <brk id="55" max="16383" man="1"/>
    <brk id="92" max="9" man="1"/>
    <brk id="137"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74"/>
  <sheetViews>
    <sheetView zoomScaleNormal="100" workbookViewId="0"/>
  </sheetViews>
  <sheetFormatPr defaultColWidth="14.5703125" defaultRowHeight="12.75"/>
  <cols>
    <col min="1" max="1" width="5.5703125" customWidth="1"/>
    <col min="2" max="2" width="36.85546875" customWidth="1"/>
    <col min="3" max="3" width="3.5703125" customWidth="1"/>
    <col min="4" max="5" width="14.140625" customWidth="1"/>
    <col min="6" max="7" width="13.5703125" customWidth="1"/>
    <col min="10" max="10" width="15.140625" customWidth="1"/>
    <col min="12" max="12" width="16" customWidth="1"/>
    <col min="13" max="13" width="15.42578125" bestFit="1" customWidth="1"/>
  </cols>
  <sheetData>
    <row r="1" spans="1:14" ht="15">
      <c r="A1" s="736" t="s">
        <v>875</v>
      </c>
      <c r="B1" s="679"/>
      <c r="C1" s="679"/>
      <c r="D1" s="679"/>
      <c r="E1" s="679"/>
      <c r="F1" s="679"/>
      <c r="G1" s="679"/>
      <c r="H1" s="679"/>
      <c r="I1" s="679"/>
      <c r="J1" s="679"/>
      <c r="K1" s="679"/>
      <c r="L1" s="679"/>
      <c r="M1" s="679"/>
      <c r="N1" s="680"/>
    </row>
    <row r="2" spans="1:14">
      <c r="A2" s="681"/>
      <c r="B2" s="678"/>
      <c r="C2" s="678"/>
      <c r="D2" s="681"/>
      <c r="E2" s="681"/>
      <c r="F2" s="681"/>
      <c r="G2" s="681"/>
      <c r="H2" s="681"/>
      <c r="I2" s="681"/>
      <c r="J2" s="681"/>
      <c r="L2" s="682" t="s">
        <v>634</v>
      </c>
      <c r="M2" s="683">
        <v>2023</v>
      </c>
      <c r="N2" s="345"/>
    </row>
    <row r="3" spans="1:14">
      <c r="A3" s="681"/>
      <c r="B3" s="681"/>
      <c r="C3" s="681"/>
      <c r="D3" s="681"/>
      <c r="E3" s="681"/>
      <c r="F3" s="681"/>
      <c r="G3" s="681"/>
      <c r="H3" s="681"/>
      <c r="I3" s="681"/>
      <c r="J3" s="681"/>
      <c r="K3" s="681"/>
      <c r="L3" s="681"/>
      <c r="M3" s="681"/>
      <c r="N3" s="345"/>
    </row>
    <row r="4" spans="1:14">
      <c r="A4" s="684"/>
      <c r="B4" s="685" t="s">
        <v>876</v>
      </c>
      <c r="C4" s="685"/>
      <c r="D4" s="685" t="s">
        <v>877</v>
      </c>
      <c r="E4" s="685" t="s">
        <v>878</v>
      </c>
      <c r="F4" s="685" t="s">
        <v>879</v>
      </c>
      <c r="G4" s="685" t="s">
        <v>880</v>
      </c>
      <c r="H4" s="685" t="s">
        <v>881</v>
      </c>
      <c r="I4" s="685" t="s">
        <v>882</v>
      </c>
      <c r="J4" s="685" t="s">
        <v>883</v>
      </c>
      <c r="K4" s="685" t="s">
        <v>884</v>
      </c>
      <c r="L4" s="685" t="s">
        <v>885</v>
      </c>
      <c r="M4" s="685" t="s">
        <v>886</v>
      </c>
      <c r="N4" s="686"/>
    </row>
    <row r="5" spans="1:14" ht="13.5" thickBot="1">
      <c r="A5" s="345"/>
      <c r="B5" s="687"/>
      <c r="C5" s="687"/>
      <c r="D5" s="687"/>
      <c r="E5" s="687"/>
      <c r="F5" s="686"/>
      <c r="G5" s="686"/>
      <c r="H5" s="686"/>
      <c r="I5" s="686"/>
      <c r="J5" s="687"/>
      <c r="K5" s="686"/>
      <c r="L5" s="951" t="s">
        <v>126</v>
      </c>
      <c r="M5" s="951" t="s">
        <v>2519</v>
      </c>
      <c r="N5" s="687"/>
    </row>
    <row r="6" spans="1:14" ht="13.5" thickBot="1">
      <c r="A6" s="345"/>
      <c r="B6" s="687"/>
      <c r="C6" s="979"/>
      <c r="D6" s="688" t="s">
        <v>887</v>
      </c>
      <c r="E6" s="688" t="s">
        <v>887</v>
      </c>
      <c r="F6" s="688" t="s">
        <v>887</v>
      </c>
      <c r="G6" s="688" t="s">
        <v>887</v>
      </c>
      <c r="H6" s="688" t="s">
        <v>887</v>
      </c>
      <c r="I6" s="688" t="s">
        <v>887</v>
      </c>
      <c r="J6" s="689" t="s">
        <v>888</v>
      </c>
      <c r="K6" s="689" t="s">
        <v>889</v>
      </c>
      <c r="L6" s="689" t="s">
        <v>890</v>
      </c>
      <c r="M6" s="689" t="s">
        <v>890</v>
      </c>
      <c r="N6" s="687"/>
    </row>
    <row r="7" spans="1:14" ht="87" customHeight="1" thickBot="1">
      <c r="A7" s="690" t="s">
        <v>266</v>
      </c>
      <c r="B7" s="345"/>
      <c r="C7" s="691"/>
      <c r="D7" s="940" t="s">
        <v>2719</v>
      </c>
      <c r="E7" s="940" t="s">
        <v>2720</v>
      </c>
      <c r="F7" s="940" t="s">
        <v>891</v>
      </c>
      <c r="G7" s="940" t="s">
        <v>2721</v>
      </c>
      <c r="H7" s="941" t="s">
        <v>2747</v>
      </c>
      <c r="I7" s="940" t="s">
        <v>2722</v>
      </c>
      <c r="J7" s="940" t="s">
        <v>2723</v>
      </c>
      <c r="K7" s="941" t="s">
        <v>892</v>
      </c>
      <c r="L7" s="940" t="s">
        <v>2724</v>
      </c>
      <c r="M7" s="940" t="s">
        <v>2725</v>
      </c>
      <c r="N7" s="692"/>
    </row>
    <row r="8" spans="1:14">
      <c r="A8" s="693">
        <v>1</v>
      </c>
      <c r="B8" s="694" t="s">
        <v>893</v>
      </c>
      <c r="C8" s="695"/>
      <c r="D8" s="681"/>
      <c r="E8" s="681"/>
      <c r="F8" s="681"/>
      <c r="G8" s="681"/>
      <c r="H8" s="681"/>
      <c r="I8" s="681"/>
      <c r="J8" s="681"/>
      <c r="K8" s="681"/>
      <c r="L8" s="681"/>
      <c r="M8" s="681"/>
      <c r="N8" s="345"/>
    </row>
    <row r="9" spans="1:14">
      <c r="A9" s="693">
        <f t="shared" ref="A9:A45" si="0">+A8+1</f>
        <v>2</v>
      </c>
      <c r="B9" s="696" t="s">
        <v>894</v>
      </c>
      <c r="C9" s="697"/>
      <c r="D9" s="698">
        <v>0</v>
      </c>
      <c r="E9" s="698">
        <v>-574901873</v>
      </c>
      <c r="F9" s="698"/>
      <c r="G9" s="985"/>
      <c r="H9" s="698"/>
      <c r="I9" s="985">
        <v>4142028</v>
      </c>
      <c r="J9" s="738">
        <f>SUM(D9:I9)</f>
        <v>-570759845</v>
      </c>
      <c r="K9" s="738">
        <f>'9-ADIT-3'!I12</f>
        <v>0</v>
      </c>
      <c r="L9" s="738">
        <f>IF(+J9+K9&gt;0,+J9+K9,0)</f>
        <v>0</v>
      </c>
      <c r="M9" s="738">
        <f>IF(+J9+K9&gt;0,0,+J9+K9)</f>
        <v>-570759845</v>
      </c>
      <c r="N9" s="345"/>
    </row>
    <row r="10" spans="1:14">
      <c r="A10" s="693">
        <f t="shared" si="0"/>
        <v>3</v>
      </c>
      <c r="B10" s="696" t="s">
        <v>895</v>
      </c>
      <c r="C10" s="697"/>
      <c r="D10" s="698">
        <v>4273979</v>
      </c>
      <c r="E10" s="698"/>
      <c r="F10" s="985"/>
      <c r="G10" s="698"/>
      <c r="H10" s="698">
        <v>-884082</v>
      </c>
      <c r="I10" s="698"/>
      <c r="J10" s="738">
        <f t="shared" ref="J10:J13" si="1">SUM(D10:I10)</f>
        <v>3389897</v>
      </c>
      <c r="K10" s="738">
        <f>'9-ADIT-3'!I13</f>
        <v>0</v>
      </c>
      <c r="L10" s="738">
        <f t="shared" ref="L10:L12" si="2">IF(+J10+K10&gt;0,+J10+K10,0)</f>
        <v>3389897</v>
      </c>
      <c r="M10" s="738">
        <f t="shared" ref="M10:M12" si="3">IF(+J10+K10&gt;0,0,+J10+K10)</f>
        <v>0</v>
      </c>
      <c r="N10" s="345"/>
    </row>
    <row r="11" spans="1:14">
      <c r="A11" s="693">
        <f t="shared" si="0"/>
        <v>4</v>
      </c>
      <c r="B11" s="696" t="s">
        <v>896</v>
      </c>
      <c r="C11" s="697"/>
      <c r="D11" s="698">
        <v>1347127</v>
      </c>
      <c r="E11" s="698"/>
      <c r="F11" s="698"/>
      <c r="G11" s="698"/>
      <c r="H11" s="698">
        <v>-898084</v>
      </c>
      <c r="I11" s="698"/>
      <c r="J11" s="738">
        <f t="shared" si="1"/>
        <v>449043</v>
      </c>
      <c r="K11" s="738">
        <f>'9-ADIT-3'!I14</f>
        <v>0</v>
      </c>
      <c r="L11" s="738">
        <f t="shared" si="2"/>
        <v>449043</v>
      </c>
      <c r="M11" s="738">
        <f t="shared" si="3"/>
        <v>0</v>
      </c>
      <c r="N11" s="345"/>
    </row>
    <row r="12" spans="1:14">
      <c r="A12" s="693">
        <f t="shared" si="0"/>
        <v>5</v>
      </c>
      <c r="B12" s="696" t="s">
        <v>897</v>
      </c>
      <c r="C12" s="697"/>
      <c r="D12" s="698">
        <v>20638915</v>
      </c>
      <c r="E12" s="698"/>
      <c r="F12" s="698"/>
      <c r="G12" s="698"/>
      <c r="H12" s="698">
        <v>-36532</v>
      </c>
      <c r="I12" s="698"/>
      <c r="J12" s="738">
        <f t="shared" si="1"/>
        <v>20602383</v>
      </c>
      <c r="K12" s="738">
        <f>'9-ADIT-3'!I15</f>
        <v>0</v>
      </c>
      <c r="L12" s="738">
        <f t="shared" si="2"/>
        <v>20602383</v>
      </c>
      <c r="M12" s="738">
        <f t="shared" si="3"/>
        <v>0</v>
      </c>
      <c r="N12" s="345"/>
    </row>
    <row r="13" spans="1:14">
      <c r="A13" s="693">
        <f t="shared" si="0"/>
        <v>6</v>
      </c>
      <c r="B13" s="699" t="s">
        <v>815</v>
      </c>
      <c r="C13" s="700"/>
      <c r="D13" s="698"/>
      <c r="E13" s="698"/>
      <c r="F13" s="698"/>
      <c r="G13" s="698"/>
      <c r="H13" s="698"/>
      <c r="I13" s="698"/>
      <c r="J13" s="738">
        <f t="shared" si="1"/>
        <v>0</v>
      </c>
      <c r="K13" s="738"/>
      <c r="L13" s="738"/>
      <c r="M13" s="738"/>
      <c r="N13" s="345"/>
    </row>
    <row r="14" spans="1:14">
      <c r="A14" s="701" t="s">
        <v>898</v>
      </c>
      <c r="B14" s="702" t="s">
        <v>899</v>
      </c>
      <c r="C14" s="703"/>
      <c r="D14" s="739">
        <f t="shared" ref="D14:M14" si="4">SUM(D9:D13)</f>
        <v>26260021</v>
      </c>
      <c r="E14" s="739">
        <f t="shared" si="4"/>
        <v>-574901873</v>
      </c>
      <c r="F14" s="739">
        <f t="shared" si="4"/>
        <v>0</v>
      </c>
      <c r="G14" s="739">
        <f t="shared" si="4"/>
        <v>0</v>
      </c>
      <c r="H14" s="739">
        <f t="shared" si="4"/>
        <v>-1818698</v>
      </c>
      <c r="I14" s="739">
        <f t="shared" si="4"/>
        <v>4142028</v>
      </c>
      <c r="J14" s="739">
        <f t="shared" si="4"/>
        <v>-546318522</v>
      </c>
      <c r="K14" s="739">
        <f t="shared" si="4"/>
        <v>0</v>
      </c>
      <c r="L14" s="739">
        <f t="shared" si="4"/>
        <v>24441323</v>
      </c>
      <c r="M14" s="739">
        <f t="shared" si="4"/>
        <v>-570759845</v>
      </c>
      <c r="N14" s="345"/>
    </row>
    <row r="15" spans="1:14">
      <c r="A15" s="693"/>
      <c r="B15" s="696"/>
      <c r="C15" s="703"/>
      <c r="D15" s="696"/>
      <c r="E15" s="696"/>
      <c r="F15" s="696"/>
      <c r="G15" s="696"/>
      <c r="H15" s="696"/>
      <c r="I15" s="696"/>
      <c r="J15" s="696"/>
      <c r="K15" s="696"/>
      <c r="L15" s="696"/>
      <c r="M15" s="696"/>
      <c r="N15" s="345"/>
    </row>
    <row r="16" spans="1:14">
      <c r="A16" s="693">
        <v>100</v>
      </c>
      <c r="B16" s="704" t="s">
        <v>900</v>
      </c>
      <c r="C16" s="705"/>
      <c r="D16" s="696"/>
      <c r="E16" s="696"/>
      <c r="F16" s="696"/>
      <c r="G16" s="696"/>
      <c r="H16" s="696"/>
      <c r="I16" s="696"/>
      <c r="J16" s="696"/>
      <c r="K16" s="696"/>
      <c r="L16" s="696"/>
      <c r="M16" s="696"/>
      <c r="N16" s="345"/>
    </row>
    <row r="17" spans="1:14">
      <c r="A17" s="693">
        <f t="shared" si="0"/>
        <v>101</v>
      </c>
      <c r="B17" s="696" t="s">
        <v>901</v>
      </c>
      <c r="C17" s="697"/>
      <c r="D17" s="698"/>
      <c r="E17" s="698"/>
      <c r="F17" s="698"/>
      <c r="G17" s="698"/>
      <c r="H17" s="698"/>
      <c r="I17" s="698"/>
      <c r="J17" s="738">
        <f t="shared" ref="J17:J23" si="5">SUM(D17:I17)</f>
        <v>0</v>
      </c>
      <c r="K17" s="738">
        <f>'9-ADIT-3'!I20</f>
        <v>0</v>
      </c>
      <c r="L17" s="738">
        <f t="shared" ref="L17:L22" si="6">IF(+J17+K17&gt;0,+J17+K17,0)</f>
        <v>0</v>
      </c>
      <c r="M17" s="738">
        <f t="shared" ref="M17:M22" si="7">IF(+J17+K17&gt;0,0,+J17+K17)</f>
        <v>0</v>
      </c>
      <c r="N17" s="345"/>
    </row>
    <row r="18" spans="1:14">
      <c r="A18" s="693">
        <f t="shared" si="0"/>
        <v>102</v>
      </c>
      <c r="B18" s="696" t="s">
        <v>902</v>
      </c>
      <c r="C18" s="697"/>
      <c r="D18" s="698"/>
      <c r="E18" s="698"/>
      <c r="F18" s="698"/>
      <c r="G18" s="698"/>
      <c r="H18" s="698"/>
      <c r="I18" s="698"/>
      <c r="J18" s="738">
        <f t="shared" si="5"/>
        <v>0</v>
      </c>
      <c r="K18" s="738">
        <f>'9-ADIT-3'!I21</f>
        <v>0</v>
      </c>
      <c r="L18" s="738">
        <f t="shared" si="6"/>
        <v>0</v>
      </c>
      <c r="M18" s="738">
        <f t="shared" si="7"/>
        <v>0</v>
      </c>
      <c r="N18" s="345"/>
    </row>
    <row r="19" spans="1:14">
      <c r="A19" s="693">
        <f t="shared" si="0"/>
        <v>103</v>
      </c>
      <c r="B19" s="696" t="s">
        <v>903</v>
      </c>
      <c r="C19" s="697"/>
      <c r="D19" s="698"/>
      <c r="E19" s="698"/>
      <c r="F19" s="698"/>
      <c r="G19" s="698"/>
      <c r="H19" s="698"/>
      <c r="I19" s="698"/>
      <c r="J19" s="738">
        <f t="shared" si="5"/>
        <v>0</v>
      </c>
      <c r="K19" s="738">
        <f>'9-ADIT-3'!I22</f>
        <v>0</v>
      </c>
      <c r="L19" s="738">
        <f t="shared" si="6"/>
        <v>0</v>
      </c>
      <c r="M19" s="738">
        <f t="shared" si="7"/>
        <v>0</v>
      </c>
      <c r="N19" s="345"/>
    </row>
    <row r="20" spans="1:14">
      <c r="A20" s="693">
        <f t="shared" si="0"/>
        <v>104</v>
      </c>
      <c r="B20" s="696" t="s">
        <v>904</v>
      </c>
      <c r="C20" s="697"/>
      <c r="D20" s="698"/>
      <c r="E20" s="698"/>
      <c r="F20" s="698"/>
      <c r="G20" s="698"/>
      <c r="H20" s="698"/>
      <c r="I20" s="698"/>
      <c r="J20" s="738">
        <f t="shared" si="5"/>
        <v>0</v>
      </c>
      <c r="K20" s="738">
        <f>'9-ADIT-3'!I23</f>
        <v>0</v>
      </c>
      <c r="L20" s="738">
        <f t="shared" si="6"/>
        <v>0</v>
      </c>
      <c r="M20" s="738">
        <f t="shared" si="7"/>
        <v>0</v>
      </c>
      <c r="N20" s="345"/>
    </row>
    <row r="21" spans="1:14">
      <c r="A21" s="693">
        <f t="shared" si="0"/>
        <v>105</v>
      </c>
      <c r="B21" s="696" t="s">
        <v>905</v>
      </c>
      <c r="C21" s="697"/>
      <c r="D21" s="698"/>
      <c r="E21" s="698"/>
      <c r="F21" s="698"/>
      <c r="G21" s="698"/>
      <c r="H21" s="698"/>
      <c r="I21" s="698"/>
      <c r="J21" s="738">
        <f t="shared" si="5"/>
        <v>0</v>
      </c>
      <c r="K21" s="738">
        <f>'9-ADIT-3'!I24</f>
        <v>0</v>
      </c>
      <c r="L21" s="738">
        <f t="shared" si="6"/>
        <v>0</v>
      </c>
      <c r="M21" s="738">
        <f t="shared" si="7"/>
        <v>0</v>
      </c>
      <c r="N21" s="345"/>
    </row>
    <row r="22" spans="1:14">
      <c r="A22" s="693">
        <f t="shared" si="0"/>
        <v>106</v>
      </c>
      <c r="B22" s="696" t="s">
        <v>906</v>
      </c>
      <c r="C22" s="697"/>
      <c r="D22" s="698"/>
      <c r="E22" s="698"/>
      <c r="F22" s="698"/>
      <c r="G22" s="698"/>
      <c r="H22" s="698"/>
      <c r="I22" s="698"/>
      <c r="J22" s="738">
        <f t="shared" si="5"/>
        <v>0</v>
      </c>
      <c r="K22" s="738">
        <f>'9-ADIT-3'!I25</f>
        <v>0</v>
      </c>
      <c r="L22" s="738">
        <f t="shared" si="6"/>
        <v>0</v>
      </c>
      <c r="M22" s="738">
        <f t="shared" si="7"/>
        <v>0</v>
      </c>
      <c r="N22" s="345"/>
    </row>
    <row r="23" spans="1:14">
      <c r="A23" s="693">
        <f t="shared" si="0"/>
        <v>107</v>
      </c>
      <c r="B23" s="699" t="s">
        <v>815</v>
      </c>
      <c r="C23" s="700"/>
      <c r="D23" s="698"/>
      <c r="E23" s="698"/>
      <c r="F23" s="698"/>
      <c r="G23" s="698"/>
      <c r="H23" s="698"/>
      <c r="I23" s="698"/>
      <c r="J23" s="738">
        <f t="shared" si="5"/>
        <v>0</v>
      </c>
      <c r="K23" s="738"/>
      <c r="L23" s="738"/>
      <c r="M23" s="738"/>
      <c r="N23" s="345"/>
    </row>
    <row r="24" spans="1:14">
      <c r="A24" s="701" t="s">
        <v>907</v>
      </c>
      <c r="B24" s="702" t="s">
        <v>908</v>
      </c>
      <c r="C24" s="703"/>
      <c r="D24" s="740">
        <f t="shared" ref="D24:M24" si="8">SUM(D17:D23)</f>
        <v>0</v>
      </c>
      <c r="E24" s="740">
        <f t="shared" si="8"/>
        <v>0</v>
      </c>
      <c r="F24" s="740">
        <f t="shared" si="8"/>
        <v>0</v>
      </c>
      <c r="G24" s="740">
        <f t="shared" si="8"/>
        <v>0</v>
      </c>
      <c r="H24" s="740">
        <f t="shared" si="8"/>
        <v>0</v>
      </c>
      <c r="I24" s="740">
        <f t="shared" si="8"/>
        <v>0</v>
      </c>
      <c r="J24" s="740">
        <f t="shared" si="8"/>
        <v>0</v>
      </c>
      <c r="K24" s="740">
        <f t="shared" si="8"/>
        <v>0</v>
      </c>
      <c r="L24" s="740">
        <f t="shared" si="8"/>
        <v>0</v>
      </c>
      <c r="M24" s="740">
        <f t="shared" si="8"/>
        <v>0</v>
      </c>
      <c r="N24" s="345"/>
    </row>
    <row r="25" spans="1:14">
      <c r="A25" s="693"/>
      <c r="B25" s="696"/>
      <c r="C25" s="703"/>
      <c r="D25" s="113"/>
      <c r="E25" s="113"/>
      <c r="F25" s="113"/>
      <c r="G25" s="113"/>
      <c r="H25" s="113"/>
      <c r="I25" s="113"/>
      <c r="J25" s="113"/>
      <c r="K25" s="113"/>
      <c r="L25" s="113"/>
      <c r="M25" s="706"/>
      <c r="N25" s="345"/>
    </row>
    <row r="26" spans="1:14">
      <c r="A26" s="701" t="s">
        <v>909</v>
      </c>
      <c r="B26" s="707" t="s">
        <v>910</v>
      </c>
      <c r="C26" s="697"/>
      <c r="D26" s="708">
        <v>56284888</v>
      </c>
      <c r="E26" s="708"/>
      <c r="F26" s="708"/>
      <c r="G26" s="708"/>
      <c r="H26" s="708"/>
      <c r="I26" s="708"/>
      <c r="J26" s="741">
        <f>SUM(D26:I26)</f>
        <v>56284888</v>
      </c>
      <c r="K26" s="741">
        <f>'9-ADIT-3'!I29</f>
        <v>0</v>
      </c>
      <c r="L26" s="741">
        <f>IF(+J26+K26&gt;0,+J26+K26,0)</f>
        <v>56284888</v>
      </c>
      <c r="M26" s="741">
        <f>IF(+J26+K26&gt;0,0,+J26+K26)</f>
        <v>0</v>
      </c>
      <c r="N26" s="345"/>
    </row>
    <row r="27" spans="1:14">
      <c r="A27" s="693"/>
      <c r="B27" s="696"/>
      <c r="C27" s="703"/>
      <c r="D27" s="113"/>
      <c r="E27" s="113"/>
      <c r="F27" s="113"/>
      <c r="G27" s="113"/>
      <c r="H27" s="113"/>
      <c r="I27" s="113"/>
      <c r="J27" s="113"/>
      <c r="K27" s="113"/>
      <c r="L27" s="113"/>
      <c r="M27" s="113"/>
      <c r="N27" s="345"/>
    </row>
    <row r="28" spans="1:14" ht="13.5" thickBot="1">
      <c r="A28" s="701" t="s">
        <v>911</v>
      </c>
      <c r="B28" s="709" t="s">
        <v>912</v>
      </c>
      <c r="C28" s="710"/>
      <c r="D28" s="742">
        <f t="shared" ref="D28:M28" si="9">+D26+D24+D14</f>
        <v>82544909</v>
      </c>
      <c r="E28" s="742">
        <f t="shared" si="9"/>
        <v>-574901873</v>
      </c>
      <c r="F28" s="742">
        <f t="shared" si="9"/>
        <v>0</v>
      </c>
      <c r="G28" s="742">
        <f t="shared" si="9"/>
        <v>0</v>
      </c>
      <c r="H28" s="742">
        <f t="shared" si="9"/>
        <v>-1818698</v>
      </c>
      <c r="I28" s="742">
        <f t="shared" si="9"/>
        <v>4142028</v>
      </c>
      <c r="J28" s="742">
        <f t="shared" si="9"/>
        <v>-490033634</v>
      </c>
      <c r="K28" s="742">
        <f t="shared" si="9"/>
        <v>0</v>
      </c>
      <c r="L28" s="742">
        <f t="shared" si="9"/>
        <v>80726211</v>
      </c>
      <c r="M28" s="742">
        <f t="shared" si="9"/>
        <v>-570759845</v>
      </c>
      <c r="N28" s="345"/>
    </row>
    <row r="29" spans="1:14" ht="13.5" thickTop="1">
      <c r="A29" s="693"/>
      <c r="B29" s="711"/>
      <c r="C29" s="712"/>
      <c r="D29" s="696"/>
      <c r="E29" s="696"/>
      <c r="F29" s="696"/>
      <c r="G29" s="696"/>
      <c r="H29" s="696"/>
      <c r="I29" s="696"/>
      <c r="J29" s="696"/>
      <c r="K29" s="696"/>
      <c r="L29" s="696"/>
      <c r="M29" s="696"/>
      <c r="N29" s="345"/>
    </row>
    <row r="30" spans="1:14">
      <c r="A30" s="701" t="s">
        <v>913</v>
      </c>
      <c r="B30" s="704" t="s">
        <v>914</v>
      </c>
      <c r="C30" s="705"/>
      <c r="D30" s="696"/>
      <c r="E30" s="696"/>
      <c r="F30" s="696"/>
      <c r="G30" s="696"/>
      <c r="H30" s="696"/>
      <c r="I30" s="696"/>
      <c r="J30" s="696"/>
      <c r="K30" s="696"/>
      <c r="L30" s="696"/>
      <c r="M30" s="696"/>
      <c r="N30" s="345"/>
    </row>
    <row r="31" spans="1:14">
      <c r="A31" s="693">
        <f t="shared" si="0"/>
        <v>301</v>
      </c>
      <c r="B31" s="696" t="s">
        <v>808</v>
      </c>
      <c r="C31" s="697"/>
      <c r="D31" s="698"/>
      <c r="E31" s="698"/>
      <c r="F31" s="698"/>
      <c r="G31" s="698"/>
      <c r="H31" s="698"/>
      <c r="I31" s="698"/>
      <c r="J31" s="738">
        <f t="shared" ref="J31:J45" si="10">SUM(D31:I31)</f>
        <v>0</v>
      </c>
      <c r="K31" s="738">
        <f>'9-ADIT-3'!I34</f>
        <v>0</v>
      </c>
      <c r="L31" s="738">
        <f t="shared" ref="L31:L44" si="11">IF(+J31+K31&gt;0,+J31+K31,0)</f>
        <v>0</v>
      </c>
      <c r="M31" s="738">
        <f t="shared" ref="M31:M44" si="12">IF(+J31+K31&gt;0,0,+J31+K31)</f>
        <v>0</v>
      </c>
      <c r="N31" s="345"/>
    </row>
    <row r="32" spans="1:14">
      <c r="A32" s="693">
        <f t="shared" si="0"/>
        <v>302</v>
      </c>
      <c r="B32" s="696" t="s">
        <v>809</v>
      </c>
      <c r="C32" s="697"/>
      <c r="D32" s="698"/>
      <c r="E32" s="698"/>
      <c r="F32" s="698"/>
      <c r="G32" s="698"/>
      <c r="H32" s="698"/>
      <c r="I32" s="698"/>
      <c r="J32" s="738">
        <f t="shared" si="10"/>
        <v>0</v>
      </c>
      <c r="K32" s="738">
        <f>'9-ADIT-3'!I35</f>
        <v>0</v>
      </c>
      <c r="L32" s="738">
        <f t="shared" si="11"/>
        <v>0</v>
      </c>
      <c r="M32" s="738">
        <f t="shared" si="12"/>
        <v>0</v>
      </c>
      <c r="N32" s="345"/>
    </row>
    <row r="33" spans="1:14">
      <c r="A33" s="693">
        <f t="shared" si="0"/>
        <v>303</v>
      </c>
      <c r="B33" s="696" t="s">
        <v>810</v>
      </c>
      <c r="C33" s="697"/>
      <c r="D33" s="698"/>
      <c r="E33" s="698"/>
      <c r="F33" s="698"/>
      <c r="G33" s="698"/>
      <c r="H33" s="698"/>
      <c r="I33" s="698"/>
      <c r="J33" s="738">
        <f t="shared" si="10"/>
        <v>0</v>
      </c>
      <c r="K33" s="738">
        <f>'9-ADIT-3'!I36</f>
        <v>0</v>
      </c>
      <c r="L33" s="738">
        <f t="shared" si="11"/>
        <v>0</v>
      </c>
      <c r="M33" s="738">
        <f t="shared" si="12"/>
        <v>0</v>
      </c>
      <c r="N33" s="345"/>
    </row>
    <row r="34" spans="1:14">
      <c r="A34" s="693">
        <f t="shared" si="0"/>
        <v>304</v>
      </c>
      <c r="B34" s="696" t="s">
        <v>915</v>
      </c>
      <c r="C34" s="697"/>
      <c r="D34" s="698"/>
      <c r="E34" s="698"/>
      <c r="F34" s="698"/>
      <c r="G34" s="698"/>
      <c r="H34" s="698"/>
      <c r="I34" s="698"/>
      <c r="J34" s="738">
        <f t="shared" si="10"/>
        <v>0</v>
      </c>
      <c r="K34" s="738">
        <f>'9-ADIT-3'!I37</f>
        <v>0</v>
      </c>
      <c r="L34" s="738">
        <f t="shared" si="11"/>
        <v>0</v>
      </c>
      <c r="M34" s="738">
        <f t="shared" si="12"/>
        <v>0</v>
      </c>
      <c r="N34" s="345"/>
    </row>
    <row r="35" spans="1:14">
      <c r="A35" s="693">
        <f t="shared" si="0"/>
        <v>305</v>
      </c>
      <c r="B35" s="696" t="s">
        <v>916</v>
      </c>
      <c r="C35" s="697"/>
      <c r="D35" s="698"/>
      <c r="E35" s="698"/>
      <c r="F35" s="698"/>
      <c r="G35" s="698"/>
      <c r="H35" s="698"/>
      <c r="I35" s="698"/>
      <c r="J35" s="738">
        <f t="shared" si="10"/>
        <v>0</v>
      </c>
      <c r="K35" s="738">
        <f>'9-ADIT-3'!I38</f>
        <v>0</v>
      </c>
      <c r="L35" s="738">
        <f t="shared" si="11"/>
        <v>0</v>
      </c>
      <c r="M35" s="738">
        <f t="shared" si="12"/>
        <v>0</v>
      </c>
      <c r="N35" s="345"/>
    </row>
    <row r="36" spans="1:14">
      <c r="A36" s="693">
        <f t="shared" si="0"/>
        <v>306</v>
      </c>
      <c r="B36" s="696" t="s">
        <v>811</v>
      </c>
      <c r="C36" s="697"/>
      <c r="D36" s="698"/>
      <c r="E36" s="698"/>
      <c r="F36" s="698"/>
      <c r="G36" s="698"/>
      <c r="H36" s="698"/>
      <c r="I36" s="698"/>
      <c r="J36" s="738">
        <f t="shared" si="10"/>
        <v>0</v>
      </c>
      <c r="K36" s="738">
        <f>'9-ADIT-3'!I39</f>
        <v>0</v>
      </c>
      <c r="L36" s="738">
        <f t="shared" si="11"/>
        <v>0</v>
      </c>
      <c r="M36" s="738">
        <f t="shared" si="12"/>
        <v>0</v>
      </c>
      <c r="N36" s="345"/>
    </row>
    <row r="37" spans="1:14">
      <c r="A37" s="693">
        <f t="shared" si="0"/>
        <v>307</v>
      </c>
      <c r="B37" s="696" t="s">
        <v>812</v>
      </c>
      <c r="C37" s="697"/>
      <c r="D37" s="698"/>
      <c r="E37" s="698"/>
      <c r="F37" s="698"/>
      <c r="G37" s="698"/>
      <c r="H37" s="698"/>
      <c r="I37" s="698"/>
      <c r="J37" s="738">
        <f t="shared" si="10"/>
        <v>0</v>
      </c>
      <c r="K37" s="738">
        <f>'9-ADIT-3'!I40</f>
        <v>0</v>
      </c>
      <c r="L37" s="738">
        <f t="shared" si="11"/>
        <v>0</v>
      </c>
      <c r="M37" s="738">
        <f t="shared" si="12"/>
        <v>0</v>
      </c>
      <c r="N37" s="345"/>
    </row>
    <row r="38" spans="1:14">
      <c r="A38" s="693">
        <f t="shared" si="0"/>
        <v>308</v>
      </c>
      <c r="B38" s="696" t="s">
        <v>917</v>
      </c>
      <c r="C38" s="697"/>
      <c r="D38" s="698"/>
      <c r="E38" s="698"/>
      <c r="F38" s="698"/>
      <c r="G38" s="698"/>
      <c r="H38" s="698"/>
      <c r="I38" s="698"/>
      <c r="J38" s="738">
        <f t="shared" si="10"/>
        <v>0</v>
      </c>
      <c r="K38" s="738">
        <f>'9-ADIT-3'!I41</f>
        <v>0</v>
      </c>
      <c r="L38" s="738">
        <f t="shared" si="11"/>
        <v>0</v>
      </c>
      <c r="M38" s="738">
        <f t="shared" si="12"/>
        <v>0</v>
      </c>
      <c r="N38" s="345"/>
    </row>
    <row r="39" spans="1:14">
      <c r="A39" s="693">
        <f t="shared" si="0"/>
        <v>309</v>
      </c>
      <c r="B39" s="696" t="s">
        <v>820</v>
      </c>
      <c r="C39" s="697"/>
      <c r="D39" s="698"/>
      <c r="E39" s="698"/>
      <c r="F39" s="698"/>
      <c r="G39" s="698"/>
      <c r="H39" s="698"/>
      <c r="I39" s="698"/>
      <c r="J39" s="738">
        <f t="shared" si="10"/>
        <v>0</v>
      </c>
      <c r="K39" s="738">
        <f>'9-ADIT-3'!I42</f>
        <v>0</v>
      </c>
      <c r="L39" s="738">
        <f t="shared" si="11"/>
        <v>0</v>
      </c>
      <c r="M39" s="738">
        <f t="shared" si="12"/>
        <v>0</v>
      </c>
      <c r="N39" s="345"/>
    </row>
    <row r="40" spans="1:14">
      <c r="A40" s="693">
        <f t="shared" si="0"/>
        <v>310</v>
      </c>
      <c r="B40" s="696" t="s">
        <v>813</v>
      </c>
      <c r="C40" s="697"/>
      <c r="D40" s="698"/>
      <c r="E40" s="698"/>
      <c r="F40" s="698"/>
      <c r="G40" s="698"/>
      <c r="H40" s="698"/>
      <c r="I40" s="698"/>
      <c r="J40" s="738">
        <f t="shared" si="10"/>
        <v>0</v>
      </c>
      <c r="K40" s="738">
        <f>'9-ADIT-3'!I43</f>
        <v>0</v>
      </c>
      <c r="L40" s="738">
        <f t="shared" si="11"/>
        <v>0</v>
      </c>
      <c r="M40" s="738">
        <f t="shared" si="12"/>
        <v>0</v>
      </c>
      <c r="N40" s="345"/>
    </row>
    <row r="41" spans="1:14">
      <c r="A41" s="693">
        <f t="shared" si="0"/>
        <v>311</v>
      </c>
      <c r="B41" s="696" t="s">
        <v>814</v>
      </c>
      <c r="C41" s="697"/>
      <c r="D41" s="698"/>
      <c r="E41" s="698"/>
      <c r="F41" s="698"/>
      <c r="G41" s="698"/>
      <c r="H41" s="698"/>
      <c r="I41" s="698"/>
      <c r="J41" s="738">
        <f t="shared" si="10"/>
        <v>0</v>
      </c>
      <c r="K41" s="738">
        <f>'9-ADIT-3'!I44</f>
        <v>0</v>
      </c>
      <c r="L41" s="738">
        <f t="shared" si="11"/>
        <v>0</v>
      </c>
      <c r="M41" s="738">
        <f t="shared" si="12"/>
        <v>0</v>
      </c>
      <c r="N41" s="345"/>
    </row>
    <row r="42" spans="1:14">
      <c r="A42" s="693">
        <f t="shared" si="0"/>
        <v>312</v>
      </c>
      <c r="B42" s="696" t="s">
        <v>918</v>
      </c>
      <c r="C42" s="697"/>
      <c r="D42" s="698"/>
      <c r="E42" s="698"/>
      <c r="F42" s="698"/>
      <c r="G42" s="698"/>
      <c r="H42" s="698"/>
      <c r="I42" s="698"/>
      <c r="J42" s="738">
        <f t="shared" si="10"/>
        <v>0</v>
      </c>
      <c r="K42" s="738">
        <f>'9-ADIT-3'!I45</f>
        <v>0</v>
      </c>
      <c r="L42" s="738">
        <f t="shared" si="11"/>
        <v>0</v>
      </c>
      <c r="M42" s="738">
        <f t="shared" si="12"/>
        <v>0</v>
      </c>
      <c r="N42" s="345"/>
    </row>
    <row r="43" spans="1:14">
      <c r="A43" s="693">
        <f t="shared" si="0"/>
        <v>313</v>
      </c>
      <c r="B43" s="696" t="s">
        <v>836</v>
      </c>
      <c r="C43" s="697"/>
      <c r="D43" s="698"/>
      <c r="E43" s="698"/>
      <c r="F43" s="698"/>
      <c r="G43" s="698"/>
      <c r="H43" s="698"/>
      <c r="I43" s="698"/>
      <c r="J43" s="738">
        <f t="shared" si="10"/>
        <v>0</v>
      </c>
      <c r="K43" s="738">
        <f>'9-ADIT-3'!I46</f>
        <v>0</v>
      </c>
      <c r="L43" s="738">
        <f t="shared" si="11"/>
        <v>0</v>
      </c>
      <c r="M43" s="738">
        <f t="shared" si="12"/>
        <v>0</v>
      </c>
      <c r="N43" s="345"/>
    </row>
    <row r="44" spans="1:14">
      <c r="A44" s="693">
        <f t="shared" si="0"/>
        <v>314</v>
      </c>
      <c r="B44" s="696" t="s">
        <v>837</v>
      </c>
      <c r="C44" s="697"/>
      <c r="D44" s="698"/>
      <c r="E44" s="698"/>
      <c r="F44" s="698"/>
      <c r="G44" s="698"/>
      <c r="H44" s="698"/>
      <c r="I44" s="698"/>
      <c r="J44" s="738">
        <f t="shared" si="10"/>
        <v>0</v>
      </c>
      <c r="K44" s="738">
        <f>'9-ADIT-3'!I47</f>
        <v>0</v>
      </c>
      <c r="L44" s="738">
        <f t="shared" si="11"/>
        <v>0</v>
      </c>
      <c r="M44" s="738">
        <f t="shared" si="12"/>
        <v>0</v>
      </c>
      <c r="N44" s="345"/>
    </row>
    <row r="45" spans="1:14">
      <c r="A45" s="693">
        <f t="shared" si="0"/>
        <v>315</v>
      </c>
      <c r="B45" s="699" t="s">
        <v>815</v>
      </c>
      <c r="C45" s="698"/>
      <c r="D45" s="698"/>
      <c r="E45" s="698"/>
      <c r="F45" s="698"/>
      <c r="G45" s="698"/>
      <c r="H45" s="698"/>
      <c r="I45" s="698"/>
      <c r="J45" s="738">
        <f t="shared" si="10"/>
        <v>0</v>
      </c>
      <c r="K45" s="743"/>
      <c r="L45" s="743"/>
      <c r="M45" s="743"/>
      <c r="N45" s="345"/>
    </row>
    <row r="46" spans="1:14" ht="13.5" thickBot="1">
      <c r="A46" s="701" t="s">
        <v>919</v>
      </c>
      <c r="B46" s="713" t="s">
        <v>920</v>
      </c>
      <c r="C46" s="713"/>
      <c r="D46" s="744">
        <f t="shared" ref="D46" si="13">SUM(D31:D45)</f>
        <v>0</v>
      </c>
      <c r="E46" s="744">
        <f t="shared" ref="E46:M46" si="14">SUM(E31:E45)</f>
        <v>0</v>
      </c>
      <c r="F46" s="744">
        <f t="shared" si="14"/>
        <v>0</v>
      </c>
      <c r="G46" s="744">
        <f t="shared" si="14"/>
        <v>0</v>
      </c>
      <c r="H46" s="744">
        <f t="shared" si="14"/>
        <v>0</v>
      </c>
      <c r="I46" s="744">
        <f t="shared" si="14"/>
        <v>0</v>
      </c>
      <c r="J46" s="744">
        <f t="shared" si="14"/>
        <v>0</v>
      </c>
      <c r="K46" s="744">
        <f t="shared" si="14"/>
        <v>0</v>
      </c>
      <c r="L46" s="744">
        <f t="shared" si="14"/>
        <v>0</v>
      </c>
      <c r="M46" s="744">
        <f t="shared" si="14"/>
        <v>0</v>
      </c>
      <c r="N46" s="345"/>
    </row>
    <row r="47" spans="1:14" ht="13.5" thickTop="1">
      <c r="A47" s="693"/>
      <c r="B47" s="681"/>
      <c r="C47" s="681"/>
      <c r="D47" s="714"/>
      <c r="E47" s="714"/>
      <c r="F47" s="714"/>
      <c r="G47" s="714"/>
      <c r="H47" s="714"/>
      <c r="I47" s="714"/>
      <c r="J47" s="714"/>
      <c r="K47" s="714"/>
      <c r="L47" s="714"/>
      <c r="M47" s="714"/>
      <c r="N47" s="345"/>
    </row>
    <row r="48" spans="1:14" ht="13.5" thickBot="1">
      <c r="A48" s="693">
        <v>400</v>
      </c>
      <c r="B48" s="713" t="s">
        <v>921</v>
      </c>
      <c r="C48" s="713"/>
      <c r="D48" s="745">
        <f t="shared" ref="D48:M48" si="15">D28+D46</f>
        <v>82544909</v>
      </c>
      <c r="E48" s="745">
        <f t="shared" si="15"/>
        <v>-574901873</v>
      </c>
      <c r="F48" s="745">
        <f t="shared" si="15"/>
        <v>0</v>
      </c>
      <c r="G48" s="745">
        <f t="shared" si="15"/>
        <v>0</v>
      </c>
      <c r="H48" s="745">
        <f t="shared" si="15"/>
        <v>-1818698</v>
      </c>
      <c r="I48" s="745">
        <f>I28+I46</f>
        <v>4142028</v>
      </c>
      <c r="J48" s="745">
        <f t="shared" si="15"/>
        <v>-490033634</v>
      </c>
      <c r="K48" s="745">
        <f t="shared" si="15"/>
        <v>0</v>
      </c>
      <c r="L48" s="745">
        <f t="shared" si="15"/>
        <v>80726211</v>
      </c>
      <c r="M48" s="745">
        <f t="shared" si="15"/>
        <v>-570759845</v>
      </c>
      <c r="N48" s="345"/>
    </row>
    <row r="49" spans="1:14" ht="14.25" thickTop="1" thickBot="1">
      <c r="A49" s="693">
        <v>500</v>
      </c>
      <c r="B49" s="713" t="s">
        <v>922</v>
      </c>
      <c r="C49" s="715"/>
      <c r="D49" s="681"/>
      <c r="E49" s="746">
        <f>+E48+D48</f>
        <v>-492356964</v>
      </c>
      <c r="F49" s="681"/>
      <c r="G49" s="681"/>
      <c r="H49" s="716"/>
      <c r="I49" s="746">
        <f>+I48+H48</f>
        <v>2323330</v>
      </c>
      <c r="J49" s="681"/>
      <c r="K49" s="681"/>
      <c r="L49" s="681"/>
      <c r="M49" s="746">
        <f>+M48+L48</f>
        <v>-490033634</v>
      </c>
      <c r="N49" s="345"/>
    </row>
    <row r="50" spans="1:14" ht="13.5" thickTop="1">
      <c r="A50" s="693"/>
      <c r="B50" s="713"/>
      <c r="C50" s="715"/>
      <c r="D50" s="681"/>
      <c r="E50" s="950"/>
      <c r="F50" s="681"/>
      <c r="G50" s="681"/>
      <c r="H50" s="716"/>
      <c r="I50" s="950"/>
      <c r="J50" s="681"/>
      <c r="K50" s="681"/>
      <c r="L50" s="681"/>
      <c r="M50" s="950"/>
      <c r="N50" s="345"/>
    </row>
    <row r="51" spans="1:14">
      <c r="A51" s="951">
        <v>600</v>
      </c>
      <c r="B51" s="974" t="s">
        <v>2734</v>
      </c>
      <c r="C51" s="945"/>
      <c r="D51" s="945"/>
      <c r="E51" s="950"/>
      <c r="F51" s="681"/>
      <c r="G51" s="681"/>
      <c r="H51" s="716"/>
      <c r="I51" s="950"/>
      <c r="J51" s="681"/>
      <c r="K51" s="681"/>
      <c r="L51" s="953">
        <f>'1-BaseTRR'!K104/(1-'1-BaseTRR'!K104)</f>
        <v>0.38857260290711554</v>
      </c>
      <c r="M51" s="953">
        <f>'1-BaseTRR'!K104/(1-'1-BaseTRR'!K104)</f>
        <v>0.38857260290711554</v>
      </c>
      <c r="N51" s="345"/>
    </row>
    <row r="52" spans="1:14">
      <c r="A52" s="951">
        <v>601</v>
      </c>
      <c r="B52" s="974" t="s">
        <v>2735</v>
      </c>
      <c r="C52" s="945"/>
      <c r="D52" s="952" t="s">
        <v>2736</v>
      </c>
      <c r="E52" s="950"/>
      <c r="F52" s="681"/>
      <c r="G52" s="681"/>
      <c r="H52" s="716"/>
      <c r="I52" s="950"/>
      <c r="J52" s="681"/>
      <c r="K52" s="681"/>
      <c r="L52" s="1074">
        <f>L48*L51</f>
        <v>31367993.931099024</v>
      </c>
      <c r="M52" s="1074">
        <f>M48*M51</f>
        <v>-221781638.6065118</v>
      </c>
      <c r="N52" s="345"/>
    </row>
    <row r="53" spans="1:14">
      <c r="A53" s="693"/>
      <c r="B53" s="713"/>
      <c r="C53" s="715"/>
      <c r="D53" s="681"/>
      <c r="E53" s="950"/>
      <c r="F53" s="681"/>
      <c r="G53" s="681"/>
      <c r="H53" s="716"/>
      <c r="I53" s="950"/>
      <c r="J53" s="681"/>
      <c r="K53" s="681"/>
      <c r="L53" s="681"/>
      <c r="M53" s="950"/>
      <c r="N53" s="345"/>
    </row>
    <row r="54" spans="1:14">
      <c r="A54" s="693"/>
      <c r="B54" s="717" t="s">
        <v>226</v>
      </c>
      <c r="C54" s="718"/>
      <c r="D54" s="681"/>
      <c r="E54" s="681"/>
      <c r="F54" s="681"/>
      <c r="G54" s="681"/>
      <c r="H54" s="681"/>
      <c r="I54" s="681"/>
      <c r="J54" s="681"/>
      <c r="K54" s="681"/>
      <c r="L54" s="681"/>
      <c r="M54" s="681"/>
      <c r="N54" s="345"/>
    </row>
    <row r="55" spans="1:14">
      <c r="A55" s="693"/>
      <c r="B55" s="719" t="s">
        <v>923</v>
      </c>
      <c r="C55" s="681"/>
      <c r="D55" s="681"/>
      <c r="E55" s="681"/>
      <c r="F55" s="681"/>
      <c r="G55" s="681"/>
      <c r="H55" s="681"/>
      <c r="I55" s="681"/>
      <c r="J55" s="681"/>
      <c r="K55" s="681"/>
      <c r="L55" s="681"/>
      <c r="M55" s="681"/>
      <c r="N55" s="345"/>
    </row>
    <row r="56" spans="1:14">
      <c r="A56" s="693"/>
      <c r="B56" s="720" t="s">
        <v>924</v>
      </c>
      <c r="C56" s="681"/>
      <c r="D56" s="681"/>
      <c r="E56" s="681"/>
      <c r="F56" s="681"/>
      <c r="G56" s="681"/>
      <c r="H56" s="681"/>
      <c r="I56" s="681"/>
      <c r="J56" s="681"/>
      <c r="K56" s="681"/>
      <c r="L56" s="681"/>
      <c r="M56" s="681"/>
      <c r="N56" s="345"/>
    </row>
    <row r="57" spans="1:14">
      <c r="A57" s="693"/>
      <c r="B57" s="345"/>
      <c r="C57" s="721" t="s">
        <v>925</v>
      </c>
      <c r="D57" s="722">
        <v>4</v>
      </c>
      <c r="E57" s="722"/>
      <c r="F57" s="681"/>
      <c r="G57" s="681"/>
      <c r="H57" s="681"/>
      <c r="I57" s="681"/>
      <c r="J57" s="681"/>
      <c r="K57" s="681"/>
      <c r="L57" s="681"/>
      <c r="M57" s="681"/>
      <c r="N57" s="345"/>
    </row>
    <row r="58" spans="1:14">
      <c r="A58" s="693"/>
      <c r="B58" s="345"/>
      <c r="C58" s="721" t="s">
        <v>926</v>
      </c>
      <c r="D58" s="723">
        <v>2018</v>
      </c>
      <c r="E58" s="723"/>
      <c r="F58" s="681"/>
      <c r="G58" s="681"/>
      <c r="H58" s="681"/>
      <c r="I58" s="681"/>
      <c r="J58" s="681"/>
      <c r="K58" s="681"/>
      <c r="L58" s="681"/>
      <c r="M58" s="681"/>
      <c r="N58" s="345"/>
    </row>
    <row r="59" spans="1:14">
      <c r="A59" s="693"/>
      <c r="B59" s="957" t="s">
        <v>2899</v>
      </c>
      <c r="C59" s="681"/>
      <c r="D59" s="681"/>
      <c r="E59" s="681"/>
      <c r="F59" s="681"/>
      <c r="G59" s="681"/>
      <c r="H59" s="681"/>
      <c r="I59" s="1002"/>
      <c r="J59" s="1002"/>
      <c r="K59" s="1002"/>
      <c r="L59" s="1002"/>
      <c r="M59" s="1002"/>
      <c r="N59" s="345"/>
    </row>
    <row r="60" spans="1:14">
      <c r="A60" s="693"/>
      <c r="B60" s="345"/>
      <c r="C60" s="721" t="s">
        <v>925</v>
      </c>
      <c r="D60" s="722"/>
      <c r="E60" s="722"/>
      <c r="F60" s="681"/>
      <c r="G60" s="681"/>
      <c r="H60" s="681"/>
      <c r="I60" s="681"/>
      <c r="J60" s="681"/>
      <c r="K60" s="681"/>
      <c r="L60" s="681"/>
      <c r="M60" s="681"/>
      <c r="N60" s="345"/>
    </row>
    <row r="61" spans="1:14">
      <c r="A61" s="693"/>
      <c r="B61" s="345"/>
      <c r="C61" s="721" t="s">
        <v>926</v>
      </c>
      <c r="D61" s="723"/>
      <c r="E61" s="723"/>
      <c r="F61" s="681"/>
      <c r="G61" s="681"/>
      <c r="H61" s="681"/>
      <c r="I61" s="681"/>
      <c r="J61" s="681"/>
      <c r="K61" s="681"/>
      <c r="L61" s="681"/>
      <c r="M61" s="681"/>
      <c r="N61" s="345"/>
    </row>
    <row r="62" spans="1:14">
      <c r="A62" s="681"/>
      <c r="B62" s="720" t="s">
        <v>927</v>
      </c>
      <c r="C62" s="345"/>
      <c r="D62" s="345"/>
      <c r="E62" s="345"/>
      <c r="F62" s="345"/>
      <c r="G62" s="345"/>
      <c r="H62" s="345"/>
      <c r="I62" s="345"/>
      <c r="J62" s="345"/>
      <c r="K62" s="345"/>
      <c r="L62" s="345"/>
      <c r="M62" s="345"/>
      <c r="N62" s="345"/>
    </row>
    <row r="63" spans="1:14">
      <c r="A63" s="681"/>
      <c r="B63" s="345"/>
      <c r="C63" s="721" t="s">
        <v>925</v>
      </c>
      <c r="D63" s="722">
        <v>1</v>
      </c>
      <c r="E63" s="722"/>
      <c r="F63" s="345"/>
      <c r="G63" s="345"/>
      <c r="H63" s="345"/>
      <c r="I63" s="345"/>
      <c r="J63" s="345"/>
      <c r="K63" s="345"/>
      <c r="L63" s="345"/>
      <c r="M63" s="345"/>
      <c r="N63" s="345"/>
    </row>
    <row r="64" spans="1:14">
      <c r="A64" s="681"/>
      <c r="B64" s="345"/>
      <c r="C64" s="721" t="s">
        <v>926</v>
      </c>
      <c r="D64" s="723">
        <v>2018</v>
      </c>
      <c r="E64" s="723"/>
      <c r="F64" s="345"/>
      <c r="G64" s="345"/>
      <c r="H64" s="345"/>
      <c r="I64" s="345"/>
      <c r="J64" s="345"/>
      <c r="K64" s="345"/>
      <c r="L64" s="345"/>
      <c r="M64" s="345"/>
      <c r="N64" s="345"/>
    </row>
    <row r="65" spans="1:14">
      <c r="A65" s="345"/>
      <c r="B65" s="720" t="s">
        <v>928</v>
      </c>
      <c r="C65" s="345"/>
      <c r="D65" s="345"/>
      <c r="E65" s="345"/>
      <c r="F65" s="345"/>
      <c r="G65" s="345"/>
      <c r="H65" s="345"/>
      <c r="I65" s="345"/>
      <c r="J65" s="345"/>
      <c r="K65" s="345"/>
      <c r="L65" s="345"/>
      <c r="M65" s="345"/>
      <c r="N65" s="345"/>
    </row>
    <row r="66" spans="1:14">
      <c r="A66" s="345"/>
      <c r="B66" s="345"/>
      <c r="C66" s="345"/>
      <c r="D66" s="345"/>
      <c r="E66" s="345"/>
      <c r="F66" s="345"/>
      <c r="G66" s="345"/>
      <c r="H66" s="345"/>
      <c r="I66" s="345"/>
      <c r="J66" s="345"/>
      <c r="K66" s="345"/>
      <c r="L66" s="345"/>
      <c r="M66" s="345"/>
      <c r="N66" s="345"/>
    </row>
    <row r="67" spans="1:14">
      <c r="A67" s="345"/>
      <c r="B67" s="942"/>
      <c r="C67" s="942"/>
      <c r="D67" s="942"/>
      <c r="E67" s="942"/>
      <c r="F67" s="943" t="s">
        <v>2726</v>
      </c>
      <c r="G67" s="942"/>
      <c r="H67" s="345"/>
      <c r="I67" s="345"/>
      <c r="J67" s="345"/>
      <c r="K67" s="345"/>
      <c r="L67" s="345"/>
      <c r="M67" s="345"/>
      <c r="N67" s="345"/>
    </row>
    <row r="68" spans="1:14">
      <c r="A68" s="345"/>
      <c r="B68" s="944" t="s">
        <v>2727</v>
      </c>
      <c r="C68" s="945"/>
      <c r="D68" s="945" t="s">
        <v>2728</v>
      </c>
      <c r="E68" s="945"/>
      <c r="F68" s="985" t="s">
        <v>2922</v>
      </c>
      <c r="G68" s="946"/>
      <c r="H68" s="345"/>
      <c r="I68" s="345"/>
      <c r="J68" s="345"/>
      <c r="K68" s="345"/>
      <c r="L68" s="345" t="s">
        <v>129</v>
      </c>
      <c r="M68" s="345"/>
      <c r="N68" s="345"/>
    </row>
    <row r="69" spans="1:14">
      <c r="B69" s="944" t="s">
        <v>2729</v>
      </c>
      <c r="C69" s="945"/>
      <c r="D69" s="945" t="s">
        <v>2728</v>
      </c>
      <c r="E69" s="945"/>
      <c r="F69" s="985" t="s">
        <v>2923</v>
      </c>
      <c r="G69" s="946"/>
    </row>
    <row r="70" spans="1:14">
      <c r="B70" s="947"/>
      <c r="C70" s="945"/>
      <c r="D70" s="945"/>
      <c r="E70" s="945"/>
      <c r="F70" s="945"/>
      <c r="G70" s="945"/>
    </row>
    <row r="71" spans="1:14">
      <c r="B71" s="944" t="s">
        <v>2730</v>
      </c>
      <c r="C71" s="945"/>
      <c r="D71" s="945" t="s">
        <v>2731</v>
      </c>
      <c r="E71" s="945"/>
      <c r="F71" s="985" t="s">
        <v>2759</v>
      </c>
      <c r="G71" s="946"/>
    </row>
    <row r="72" spans="1:14">
      <c r="B72" s="944" t="s">
        <v>2732</v>
      </c>
      <c r="C72" s="945"/>
      <c r="D72" s="945" t="s">
        <v>2731</v>
      </c>
      <c r="E72" s="945"/>
      <c r="F72" s="985" t="s">
        <v>2760</v>
      </c>
      <c r="G72" s="946"/>
    </row>
    <row r="73" spans="1:14" ht="15">
      <c r="B73" s="235"/>
      <c r="C73" s="235"/>
      <c r="D73" s="235"/>
      <c r="E73" s="948"/>
      <c r="F73" s="949"/>
      <c r="G73" s="949"/>
    </row>
    <row r="74" spans="1:14" ht="15">
      <c r="B74" s="944" t="s">
        <v>2733</v>
      </c>
      <c r="C74" s="235"/>
      <c r="D74" s="235"/>
      <c r="E74" s="948"/>
      <c r="F74" s="949"/>
      <c r="G74" s="949"/>
    </row>
  </sheetData>
  <pageMargins left="0.7" right="0.7" top="0.75" bottom="0.75" header="0.3" footer="0.3"/>
  <pageSetup scale="63" orientation="landscape" r:id="rId1"/>
  <headerFooter>
    <oddHeader>&amp;CSchedule 9-ADIT-2
EDIT&amp;RTO2025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workbookViewId="0"/>
  </sheetViews>
  <sheetFormatPr defaultColWidth="14.5703125" defaultRowHeight="12.75"/>
  <cols>
    <col min="1" max="1" width="5.5703125" customWidth="1"/>
    <col min="2" max="2" width="37.5703125" customWidth="1"/>
    <col min="3" max="3" width="6.5703125" customWidth="1"/>
    <col min="4" max="9" width="15.5703125" customWidth="1"/>
  </cols>
  <sheetData>
    <row r="1" spans="1:10" ht="15">
      <c r="A1" s="713" t="s">
        <v>929</v>
      </c>
      <c r="B1" s="724"/>
      <c r="C1" s="679"/>
      <c r="D1" s="679"/>
      <c r="E1" s="679"/>
      <c r="F1" s="679"/>
      <c r="G1" s="679"/>
      <c r="H1" s="679"/>
      <c r="I1" s="679"/>
      <c r="J1" s="680"/>
    </row>
    <row r="2" spans="1:10" ht="15">
      <c r="A2" s="713"/>
      <c r="B2" s="724"/>
      <c r="C2" s="679"/>
      <c r="D2" s="679"/>
      <c r="E2" s="679"/>
      <c r="F2" s="679"/>
      <c r="G2" s="679"/>
      <c r="H2" s="682" t="s">
        <v>634</v>
      </c>
      <c r="I2" s="683">
        <v>2023</v>
      </c>
      <c r="J2" s="680"/>
    </row>
    <row r="3" spans="1:10" ht="15">
      <c r="A3" s="713"/>
      <c r="B3" s="724"/>
      <c r="C3" s="679"/>
      <c r="D3" s="679"/>
      <c r="E3" s="679"/>
      <c r="F3" s="679"/>
      <c r="G3" s="679"/>
      <c r="H3" s="682" t="s">
        <v>930</v>
      </c>
      <c r="I3" s="725" t="s">
        <v>931</v>
      </c>
      <c r="J3" s="680"/>
    </row>
    <row r="4" spans="1:10">
      <c r="A4" s="681"/>
      <c r="B4" s="681"/>
      <c r="C4" s="681"/>
      <c r="D4" s="681"/>
      <c r="E4" s="681"/>
      <c r="F4" s="681"/>
      <c r="G4" s="681"/>
      <c r="H4" s="726" t="s">
        <v>932</v>
      </c>
      <c r="I4" s="727"/>
      <c r="J4" s="345"/>
    </row>
    <row r="5" spans="1:10">
      <c r="A5" s="681"/>
      <c r="B5" s="681"/>
      <c r="C5" s="681"/>
      <c r="D5" s="681"/>
      <c r="E5" s="681"/>
      <c r="F5" s="681"/>
      <c r="G5" s="681"/>
      <c r="H5" s="726"/>
      <c r="I5" s="726"/>
      <c r="J5" s="345"/>
    </row>
    <row r="6" spans="1:10">
      <c r="A6" s="684"/>
      <c r="B6" s="685" t="s">
        <v>876</v>
      </c>
      <c r="C6" s="685" t="s">
        <v>877</v>
      </c>
      <c r="D6" s="685" t="s">
        <v>878</v>
      </c>
      <c r="E6" s="685" t="s">
        <v>879</v>
      </c>
      <c r="F6" s="685" t="s">
        <v>880</v>
      </c>
      <c r="G6" s="685" t="s">
        <v>881</v>
      </c>
      <c r="H6" s="685" t="s">
        <v>882</v>
      </c>
      <c r="I6" s="685" t="s">
        <v>883</v>
      </c>
      <c r="J6" s="345"/>
    </row>
    <row r="7" spans="1:10" ht="13.5" thickBot="1">
      <c r="A7" s="681"/>
      <c r="B7" s="684"/>
      <c r="C7" s="684"/>
      <c r="D7" s="975" t="s">
        <v>144</v>
      </c>
      <c r="E7" s="975" t="s">
        <v>144</v>
      </c>
      <c r="F7" s="681"/>
      <c r="G7" s="681"/>
      <c r="H7" s="681"/>
      <c r="I7" s="681"/>
      <c r="J7" s="345"/>
    </row>
    <row r="8" spans="1:10" ht="13.5" thickBot="1">
      <c r="A8" s="681"/>
      <c r="B8" s="684"/>
      <c r="C8" s="684"/>
      <c r="D8" s="1106" t="s">
        <v>2741</v>
      </c>
      <c r="E8" s="1107"/>
      <c r="F8" s="1107"/>
      <c r="G8" s="1107"/>
      <c r="H8" s="1107"/>
      <c r="I8" s="1108"/>
      <c r="J8" s="345"/>
    </row>
    <row r="9" spans="1:10" ht="13.5" thickBot="1">
      <c r="A9" s="681"/>
      <c r="B9" s="684"/>
      <c r="C9" s="684"/>
      <c r="D9" s="728" t="s">
        <v>887</v>
      </c>
      <c r="E9" s="729" t="s">
        <v>887</v>
      </c>
      <c r="F9" s="730" t="s">
        <v>933</v>
      </c>
      <c r="G9" s="731" t="s">
        <v>934</v>
      </c>
      <c r="H9" s="730" t="s">
        <v>935</v>
      </c>
      <c r="I9" s="730" t="s">
        <v>936</v>
      </c>
      <c r="J9" s="345"/>
    </row>
    <row r="10" spans="1:10" ht="55.5" customHeight="1" thickBot="1">
      <c r="A10" s="690" t="s">
        <v>266</v>
      </c>
      <c r="B10" s="681"/>
      <c r="C10" s="732" t="s">
        <v>937</v>
      </c>
      <c r="D10" s="954" t="s">
        <v>938</v>
      </c>
      <c r="E10" s="954" t="s">
        <v>2737</v>
      </c>
      <c r="F10" s="954" t="s">
        <v>2738</v>
      </c>
      <c r="G10" s="954" t="s">
        <v>2749</v>
      </c>
      <c r="H10" s="954" t="s">
        <v>2739</v>
      </c>
      <c r="I10" s="954" t="s">
        <v>2740</v>
      </c>
      <c r="J10" s="345"/>
    </row>
    <row r="11" spans="1:10">
      <c r="A11" s="693">
        <v>1</v>
      </c>
      <c r="B11" s="694" t="s">
        <v>939</v>
      </c>
      <c r="C11" s="695"/>
      <c r="D11" s="681"/>
      <c r="E11" s="681"/>
      <c r="F11" s="681"/>
      <c r="G11" s="681"/>
      <c r="H11" s="681"/>
      <c r="I11" s="681"/>
      <c r="J11" s="345"/>
    </row>
    <row r="12" spans="1:10">
      <c r="A12" s="693">
        <f t="shared" ref="A12:A16" si="0">+A11+1</f>
        <v>2</v>
      </c>
      <c r="B12" s="696" t="s">
        <v>894</v>
      </c>
      <c r="C12" s="697">
        <v>282</v>
      </c>
      <c r="D12" s="733"/>
      <c r="E12" s="698"/>
      <c r="F12" s="738">
        <f>+D12*$I$4</f>
        <v>0</v>
      </c>
      <c r="G12" s="738">
        <f>+E12-F12</f>
        <v>0</v>
      </c>
      <c r="H12" s="738">
        <f>IF($I$3="No", 0,'9-ADIT-2'!J9)</f>
        <v>0</v>
      </c>
      <c r="I12" s="738">
        <f>+G12-H12</f>
        <v>0</v>
      </c>
      <c r="J12" s="345"/>
    </row>
    <row r="13" spans="1:10">
      <c r="A13" s="693">
        <f t="shared" si="0"/>
        <v>3</v>
      </c>
      <c r="B13" s="696" t="s">
        <v>895</v>
      </c>
      <c r="C13" s="697">
        <v>282</v>
      </c>
      <c r="D13" s="733"/>
      <c r="E13" s="698"/>
      <c r="F13" s="738">
        <f t="shared" ref="F13:F15" si="1">+D13*$I$4</f>
        <v>0</v>
      </c>
      <c r="G13" s="738">
        <f>+E13-F13</f>
        <v>0</v>
      </c>
      <c r="H13" s="738">
        <f>IF($I$3="No", 0,'9-ADIT-2'!J10)</f>
        <v>0</v>
      </c>
      <c r="I13" s="738">
        <f t="shared" ref="I13:I15" si="2">+G13-H13</f>
        <v>0</v>
      </c>
      <c r="J13" s="345"/>
    </row>
    <row r="14" spans="1:10">
      <c r="A14" s="693">
        <f t="shared" si="0"/>
        <v>4</v>
      </c>
      <c r="B14" s="696" t="s">
        <v>896</v>
      </c>
      <c r="C14" s="697">
        <v>282</v>
      </c>
      <c r="D14" s="733"/>
      <c r="E14" s="698"/>
      <c r="F14" s="738">
        <f t="shared" si="1"/>
        <v>0</v>
      </c>
      <c r="G14" s="738">
        <f>+E14-F14</f>
        <v>0</v>
      </c>
      <c r="H14" s="738">
        <f>IF($I$3="No", 0,'9-ADIT-2'!J11)</f>
        <v>0</v>
      </c>
      <c r="I14" s="738">
        <f t="shared" si="2"/>
        <v>0</v>
      </c>
      <c r="J14" s="345"/>
    </row>
    <row r="15" spans="1:10">
      <c r="A15" s="693">
        <f t="shared" si="0"/>
        <v>5</v>
      </c>
      <c r="B15" s="696" t="s">
        <v>897</v>
      </c>
      <c r="C15" s="697">
        <v>190</v>
      </c>
      <c r="D15" s="733"/>
      <c r="E15" s="698"/>
      <c r="F15" s="738">
        <f t="shared" si="1"/>
        <v>0</v>
      </c>
      <c r="G15" s="738">
        <f>+E15-F15</f>
        <v>0</v>
      </c>
      <c r="H15" s="738">
        <f>IF($I$3="No", 0,'9-ADIT-2'!J12)</f>
        <v>0</v>
      </c>
      <c r="I15" s="738">
        <f t="shared" si="2"/>
        <v>0</v>
      </c>
      <c r="J15" s="345"/>
    </row>
    <row r="16" spans="1:10">
      <c r="A16" s="693">
        <f t="shared" si="0"/>
        <v>6</v>
      </c>
      <c r="B16" s="699" t="s">
        <v>815</v>
      </c>
      <c r="C16" s="700"/>
      <c r="D16" s="698"/>
      <c r="E16" s="698"/>
      <c r="F16" s="696"/>
      <c r="G16" s="681"/>
      <c r="H16" s="696"/>
      <c r="I16" s="696"/>
      <c r="J16" s="345"/>
    </row>
    <row r="17" spans="1:10">
      <c r="A17" s="701" t="s">
        <v>898</v>
      </c>
      <c r="B17" s="696"/>
      <c r="C17" s="703"/>
      <c r="D17" s="739">
        <f t="shared" ref="D17:H17" si="3">SUM(D12:D16)</f>
        <v>0</v>
      </c>
      <c r="E17" s="739">
        <f t="shared" si="3"/>
        <v>0</v>
      </c>
      <c r="F17" s="739">
        <f t="shared" si="3"/>
        <v>0</v>
      </c>
      <c r="G17" s="747">
        <f t="shared" si="3"/>
        <v>0</v>
      </c>
      <c r="H17" s="739">
        <f t="shared" si="3"/>
        <v>0</v>
      </c>
      <c r="I17" s="739">
        <f>SUM(I12:I16)</f>
        <v>0</v>
      </c>
      <c r="J17" s="345"/>
    </row>
    <row r="18" spans="1:10">
      <c r="A18" s="693"/>
      <c r="B18" s="696"/>
      <c r="C18" s="703"/>
      <c r="D18" s="696"/>
      <c r="E18" s="696"/>
      <c r="F18" s="696"/>
      <c r="G18" s="681"/>
      <c r="H18" s="696"/>
      <c r="I18" s="696"/>
      <c r="J18" s="345"/>
    </row>
    <row r="19" spans="1:10">
      <c r="A19" s="693">
        <v>100</v>
      </c>
      <c r="B19" s="734" t="s">
        <v>940</v>
      </c>
      <c r="C19" s="705"/>
      <c r="D19" s="696"/>
      <c r="E19" s="696"/>
      <c r="F19" s="696"/>
      <c r="G19" s="681"/>
      <c r="H19" s="696"/>
      <c r="I19" s="696"/>
      <c r="J19" s="345"/>
    </row>
    <row r="20" spans="1:10">
      <c r="A20" s="693">
        <f t="shared" ref="A20:A48" si="4">+A19+1</f>
        <v>101</v>
      </c>
      <c r="B20" s="696" t="s">
        <v>901</v>
      </c>
      <c r="C20" s="697">
        <v>282</v>
      </c>
      <c r="D20" s="698"/>
      <c r="E20" s="698"/>
      <c r="F20" s="738">
        <f t="shared" ref="F20:F25" si="5">+D20*$I$4</f>
        <v>0</v>
      </c>
      <c r="G20" s="738">
        <f t="shared" ref="G20:G25" si="6">+E20-F20</f>
        <v>0</v>
      </c>
      <c r="H20" s="738">
        <f>IF($I$3="No", 0,'9-ADIT-2'!J17)</f>
        <v>0</v>
      </c>
      <c r="I20" s="738">
        <f t="shared" ref="I20:I25" si="7">+G20-H20</f>
        <v>0</v>
      </c>
      <c r="J20" s="345"/>
    </row>
    <row r="21" spans="1:10">
      <c r="A21" s="693">
        <f t="shared" si="4"/>
        <v>102</v>
      </c>
      <c r="B21" s="696" t="s">
        <v>902</v>
      </c>
      <c r="C21" s="697">
        <v>282</v>
      </c>
      <c r="D21" s="698"/>
      <c r="E21" s="698"/>
      <c r="F21" s="738">
        <f t="shared" si="5"/>
        <v>0</v>
      </c>
      <c r="G21" s="738">
        <f t="shared" si="6"/>
        <v>0</v>
      </c>
      <c r="H21" s="738">
        <f>IF($I$3="No", 0,'9-ADIT-2'!J18)</f>
        <v>0</v>
      </c>
      <c r="I21" s="738">
        <f t="shared" si="7"/>
        <v>0</v>
      </c>
      <c r="J21" s="345"/>
    </row>
    <row r="22" spans="1:10">
      <c r="A22" s="693">
        <f t="shared" si="4"/>
        <v>103</v>
      </c>
      <c r="B22" s="696" t="s">
        <v>903</v>
      </c>
      <c r="C22" s="697">
        <v>282</v>
      </c>
      <c r="D22" s="698"/>
      <c r="E22" s="698"/>
      <c r="F22" s="738">
        <f t="shared" si="5"/>
        <v>0</v>
      </c>
      <c r="G22" s="738">
        <f t="shared" si="6"/>
        <v>0</v>
      </c>
      <c r="H22" s="738">
        <f>IF($I$3="No", 0,'9-ADIT-2'!J19)</f>
        <v>0</v>
      </c>
      <c r="I22" s="738">
        <f t="shared" si="7"/>
        <v>0</v>
      </c>
      <c r="J22" s="345"/>
    </row>
    <row r="23" spans="1:10">
      <c r="A23" s="693">
        <f t="shared" si="4"/>
        <v>104</v>
      </c>
      <c r="B23" s="696" t="s">
        <v>904</v>
      </c>
      <c r="C23" s="697">
        <v>282</v>
      </c>
      <c r="D23" s="698"/>
      <c r="E23" s="698"/>
      <c r="F23" s="738">
        <f t="shared" si="5"/>
        <v>0</v>
      </c>
      <c r="G23" s="738">
        <f t="shared" si="6"/>
        <v>0</v>
      </c>
      <c r="H23" s="738">
        <f>IF($I$3="No", 0,'9-ADIT-2'!J20)</f>
        <v>0</v>
      </c>
      <c r="I23" s="738">
        <f t="shared" si="7"/>
        <v>0</v>
      </c>
      <c r="J23" s="345"/>
    </row>
    <row r="24" spans="1:10">
      <c r="A24" s="693">
        <f t="shared" si="4"/>
        <v>105</v>
      </c>
      <c r="B24" s="696" t="s">
        <v>905</v>
      </c>
      <c r="C24" s="697">
        <v>282</v>
      </c>
      <c r="D24" s="698"/>
      <c r="E24" s="698"/>
      <c r="F24" s="738">
        <f t="shared" si="5"/>
        <v>0</v>
      </c>
      <c r="G24" s="738">
        <f t="shared" si="6"/>
        <v>0</v>
      </c>
      <c r="H24" s="738">
        <f>IF($I$3="No", 0,'9-ADIT-2'!J21)</f>
        <v>0</v>
      </c>
      <c r="I24" s="738">
        <f t="shared" si="7"/>
        <v>0</v>
      </c>
      <c r="J24" s="345"/>
    </row>
    <row r="25" spans="1:10">
      <c r="A25" s="693">
        <f t="shared" si="4"/>
        <v>106</v>
      </c>
      <c r="B25" s="696" t="s">
        <v>906</v>
      </c>
      <c r="C25" s="697">
        <v>190</v>
      </c>
      <c r="D25" s="698"/>
      <c r="E25" s="698"/>
      <c r="F25" s="738">
        <f t="shared" si="5"/>
        <v>0</v>
      </c>
      <c r="G25" s="738">
        <f t="shared" si="6"/>
        <v>0</v>
      </c>
      <c r="H25" s="738">
        <f>IF($I$3="No", 0,'9-ADIT-2'!J22)</f>
        <v>0</v>
      </c>
      <c r="I25" s="738">
        <f t="shared" si="7"/>
        <v>0</v>
      </c>
      <c r="J25" s="345"/>
    </row>
    <row r="26" spans="1:10">
      <c r="A26" s="693">
        <f t="shared" si="4"/>
        <v>107</v>
      </c>
      <c r="B26" s="699" t="s">
        <v>815</v>
      </c>
      <c r="C26" s="700"/>
      <c r="D26" s="698"/>
      <c r="E26" s="698"/>
      <c r="F26" s="696"/>
      <c r="G26" s="696"/>
      <c r="H26" s="696"/>
      <c r="I26" s="696"/>
      <c r="J26" s="345"/>
    </row>
    <row r="27" spans="1:10">
      <c r="A27" s="693">
        <v>150</v>
      </c>
      <c r="B27" s="696"/>
      <c r="C27" s="703"/>
      <c r="D27" s="740">
        <f t="shared" ref="D27:I27" si="8">SUM(D20:D26)</f>
        <v>0</v>
      </c>
      <c r="E27" s="740">
        <f t="shared" si="8"/>
        <v>0</v>
      </c>
      <c r="F27" s="740">
        <f t="shared" si="8"/>
        <v>0</v>
      </c>
      <c r="G27" s="740">
        <f t="shared" si="8"/>
        <v>0</v>
      </c>
      <c r="H27" s="740">
        <f t="shared" si="8"/>
        <v>0</v>
      </c>
      <c r="I27" s="740">
        <f t="shared" si="8"/>
        <v>0</v>
      </c>
      <c r="J27" s="345"/>
    </row>
    <row r="28" spans="1:10">
      <c r="A28" s="693"/>
      <c r="B28" s="696"/>
      <c r="C28" s="703"/>
      <c r="D28" s="113"/>
      <c r="E28" s="706"/>
      <c r="F28" s="113"/>
      <c r="G28" s="113"/>
      <c r="H28" s="113"/>
      <c r="I28" s="113"/>
      <c r="J28" s="345"/>
    </row>
    <row r="29" spans="1:10">
      <c r="A29" s="693">
        <v>200</v>
      </c>
      <c r="B29" s="709" t="s">
        <v>941</v>
      </c>
      <c r="C29" s="697">
        <v>282</v>
      </c>
      <c r="D29" s="708"/>
      <c r="E29" s="708"/>
      <c r="F29" s="748">
        <f t="shared" ref="F29" si="9">+D29*$I$4</f>
        <v>0</v>
      </c>
      <c r="G29" s="749">
        <f>+E29-F29</f>
        <v>0</v>
      </c>
      <c r="H29" s="748">
        <f>IF($I$3="No", 0,'9-ADIT-2'!J26)</f>
        <v>0</v>
      </c>
      <c r="I29" s="748">
        <f>+G29-H29</f>
        <v>0</v>
      </c>
      <c r="J29" s="345"/>
    </row>
    <row r="30" spans="1:10">
      <c r="A30" s="693"/>
      <c r="B30" s="696"/>
      <c r="C30" s="703"/>
      <c r="D30" s="113"/>
      <c r="E30" s="113"/>
      <c r="F30" s="113"/>
      <c r="G30" s="113"/>
      <c r="H30" s="113"/>
      <c r="I30" s="113"/>
      <c r="J30" s="345"/>
    </row>
    <row r="31" spans="1:10" ht="13.5" thickBot="1">
      <c r="A31" s="693">
        <v>250</v>
      </c>
      <c r="B31" s="709" t="s">
        <v>942</v>
      </c>
      <c r="C31" s="710"/>
      <c r="D31" s="742">
        <f t="shared" ref="D31:I31" si="10">+D29+D27+D17</f>
        <v>0</v>
      </c>
      <c r="E31" s="742">
        <f t="shared" si="10"/>
        <v>0</v>
      </c>
      <c r="F31" s="742">
        <f t="shared" si="10"/>
        <v>0</v>
      </c>
      <c r="G31" s="742">
        <f t="shared" si="10"/>
        <v>0</v>
      </c>
      <c r="H31" s="742">
        <f t="shared" si="10"/>
        <v>0</v>
      </c>
      <c r="I31" s="742">
        <f t="shared" si="10"/>
        <v>0</v>
      </c>
      <c r="J31" s="345"/>
    </row>
    <row r="32" spans="1:10" ht="13.5" thickTop="1">
      <c r="A32" s="693"/>
      <c r="B32" s="711"/>
      <c r="C32" s="712"/>
      <c r="D32" s="696"/>
      <c r="E32" s="696"/>
      <c r="F32" s="696"/>
      <c r="G32" s="696"/>
      <c r="H32" s="696"/>
      <c r="I32" s="696"/>
      <c r="J32" s="345"/>
    </row>
    <row r="33" spans="1:10">
      <c r="A33" s="693">
        <v>300</v>
      </c>
      <c r="B33" s="734" t="s">
        <v>943</v>
      </c>
      <c r="C33" s="705"/>
      <c r="D33" s="696"/>
      <c r="E33" s="696"/>
      <c r="F33" s="696"/>
      <c r="G33" s="696"/>
      <c r="H33" s="696"/>
      <c r="I33" s="696"/>
      <c r="J33" s="345"/>
    </row>
    <row r="34" spans="1:10">
      <c r="A34" s="693">
        <f t="shared" si="4"/>
        <v>301</v>
      </c>
      <c r="B34" s="696" t="s">
        <v>808</v>
      </c>
      <c r="C34" s="697">
        <v>190</v>
      </c>
      <c r="D34" s="733"/>
      <c r="E34" s="698"/>
      <c r="F34" s="738">
        <f t="shared" ref="F34:F47" si="11">+D34*$I$4</f>
        <v>0</v>
      </c>
      <c r="G34" s="738">
        <f t="shared" ref="G34:G47" si="12">+E34-F34</f>
        <v>0</v>
      </c>
      <c r="H34" s="738">
        <f>IF($I$3="No", 0,'9-ADIT-2'!J31)</f>
        <v>0</v>
      </c>
      <c r="I34" s="738">
        <f t="shared" ref="I34:I47" si="13">+G34-H34</f>
        <v>0</v>
      </c>
      <c r="J34" s="345"/>
    </row>
    <row r="35" spans="1:10">
      <c r="A35" s="693">
        <f t="shared" si="4"/>
        <v>302</v>
      </c>
      <c r="B35" s="696" t="s">
        <v>809</v>
      </c>
      <c r="C35" s="697">
        <v>190</v>
      </c>
      <c r="D35" s="733"/>
      <c r="E35" s="698"/>
      <c r="F35" s="738">
        <f t="shared" si="11"/>
        <v>0</v>
      </c>
      <c r="G35" s="738">
        <f t="shared" si="12"/>
        <v>0</v>
      </c>
      <c r="H35" s="738">
        <f>IF($I$3="No", 0,'9-ADIT-2'!J32)</f>
        <v>0</v>
      </c>
      <c r="I35" s="738">
        <f t="shared" si="13"/>
        <v>0</v>
      </c>
      <c r="J35" s="345"/>
    </row>
    <row r="36" spans="1:10">
      <c r="A36" s="693">
        <f t="shared" si="4"/>
        <v>303</v>
      </c>
      <c r="B36" s="696" t="s">
        <v>810</v>
      </c>
      <c r="C36" s="697">
        <v>190</v>
      </c>
      <c r="D36" s="733"/>
      <c r="E36" s="698"/>
      <c r="F36" s="738">
        <f t="shared" si="11"/>
        <v>0</v>
      </c>
      <c r="G36" s="738">
        <f t="shared" si="12"/>
        <v>0</v>
      </c>
      <c r="H36" s="738">
        <f>IF($I$3="No", 0,'9-ADIT-2'!J33)</f>
        <v>0</v>
      </c>
      <c r="I36" s="738">
        <f t="shared" si="13"/>
        <v>0</v>
      </c>
      <c r="J36" s="345"/>
    </row>
    <row r="37" spans="1:10">
      <c r="A37" s="693">
        <f t="shared" si="4"/>
        <v>304</v>
      </c>
      <c r="B37" s="696" t="s">
        <v>915</v>
      </c>
      <c r="C37" s="697">
        <v>190</v>
      </c>
      <c r="D37" s="733"/>
      <c r="E37" s="698"/>
      <c r="F37" s="738">
        <f t="shared" si="11"/>
        <v>0</v>
      </c>
      <c r="G37" s="738">
        <f t="shared" si="12"/>
        <v>0</v>
      </c>
      <c r="H37" s="738">
        <f>IF($I$3="No", 0,'9-ADIT-2'!J34)</f>
        <v>0</v>
      </c>
      <c r="I37" s="738">
        <f t="shared" si="13"/>
        <v>0</v>
      </c>
      <c r="J37" s="345"/>
    </row>
    <row r="38" spans="1:10">
      <c r="A38" s="693">
        <f t="shared" si="4"/>
        <v>305</v>
      </c>
      <c r="B38" s="696" t="s">
        <v>916</v>
      </c>
      <c r="C38" s="697">
        <v>190</v>
      </c>
      <c r="D38" s="733"/>
      <c r="E38" s="698"/>
      <c r="F38" s="738">
        <f t="shared" si="11"/>
        <v>0</v>
      </c>
      <c r="G38" s="738">
        <f t="shared" si="12"/>
        <v>0</v>
      </c>
      <c r="H38" s="738">
        <f>IF($I$3="No", 0,'9-ADIT-2'!J35)</f>
        <v>0</v>
      </c>
      <c r="I38" s="738">
        <f t="shared" si="13"/>
        <v>0</v>
      </c>
      <c r="J38" s="345"/>
    </row>
    <row r="39" spans="1:10">
      <c r="A39" s="693">
        <f t="shared" si="4"/>
        <v>306</v>
      </c>
      <c r="B39" s="696" t="s">
        <v>811</v>
      </c>
      <c r="C39" s="697">
        <v>190</v>
      </c>
      <c r="D39" s="733"/>
      <c r="E39" s="698"/>
      <c r="F39" s="738">
        <f t="shared" si="11"/>
        <v>0</v>
      </c>
      <c r="G39" s="738">
        <f t="shared" si="12"/>
        <v>0</v>
      </c>
      <c r="H39" s="738">
        <f>IF($I$3="No", 0,'9-ADIT-2'!J36)</f>
        <v>0</v>
      </c>
      <c r="I39" s="738">
        <f t="shared" si="13"/>
        <v>0</v>
      </c>
      <c r="J39" s="345"/>
    </row>
    <row r="40" spans="1:10">
      <c r="A40" s="693">
        <f t="shared" si="4"/>
        <v>307</v>
      </c>
      <c r="B40" s="696" t="s">
        <v>812</v>
      </c>
      <c r="C40" s="697">
        <v>190</v>
      </c>
      <c r="D40" s="733"/>
      <c r="E40" s="698"/>
      <c r="F40" s="738">
        <f t="shared" si="11"/>
        <v>0</v>
      </c>
      <c r="G40" s="738">
        <f t="shared" si="12"/>
        <v>0</v>
      </c>
      <c r="H40" s="738">
        <f>IF($I$3="No", 0,'9-ADIT-2'!J37)</f>
        <v>0</v>
      </c>
      <c r="I40" s="738">
        <f t="shared" si="13"/>
        <v>0</v>
      </c>
      <c r="J40" s="345"/>
    </row>
    <row r="41" spans="1:10">
      <c r="A41" s="693">
        <f t="shared" si="4"/>
        <v>308</v>
      </c>
      <c r="B41" s="696" t="s">
        <v>917</v>
      </c>
      <c r="C41" s="697">
        <v>190</v>
      </c>
      <c r="D41" s="733"/>
      <c r="E41" s="698"/>
      <c r="F41" s="738">
        <f t="shared" si="11"/>
        <v>0</v>
      </c>
      <c r="G41" s="738">
        <f t="shared" si="12"/>
        <v>0</v>
      </c>
      <c r="H41" s="738">
        <f>IF($I$3="No", 0,'9-ADIT-2'!J38)</f>
        <v>0</v>
      </c>
      <c r="I41" s="738">
        <f t="shared" si="13"/>
        <v>0</v>
      </c>
      <c r="J41" s="345"/>
    </row>
    <row r="42" spans="1:10">
      <c r="A42" s="693">
        <f t="shared" si="4"/>
        <v>309</v>
      </c>
      <c r="B42" s="696" t="s">
        <v>820</v>
      </c>
      <c r="C42" s="697">
        <v>190</v>
      </c>
      <c r="D42" s="733"/>
      <c r="E42" s="698"/>
      <c r="F42" s="738">
        <f t="shared" si="11"/>
        <v>0</v>
      </c>
      <c r="G42" s="738">
        <f t="shared" si="12"/>
        <v>0</v>
      </c>
      <c r="H42" s="738">
        <f>IF($I$3="No", 0,'9-ADIT-2'!J39)</f>
        <v>0</v>
      </c>
      <c r="I42" s="738">
        <f t="shared" si="13"/>
        <v>0</v>
      </c>
      <c r="J42" s="345"/>
    </row>
    <row r="43" spans="1:10">
      <c r="A43" s="693">
        <f t="shared" si="4"/>
        <v>310</v>
      </c>
      <c r="B43" s="696" t="s">
        <v>813</v>
      </c>
      <c r="C43" s="697">
        <v>190</v>
      </c>
      <c r="D43" s="733"/>
      <c r="E43" s="698"/>
      <c r="F43" s="738">
        <f t="shared" si="11"/>
        <v>0</v>
      </c>
      <c r="G43" s="738">
        <f t="shared" si="12"/>
        <v>0</v>
      </c>
      <c r="H43" s="738">
        <f>IF($I$3="No", 0,'9-ADIT-2'!J40)</f>
        <v>0</v>
      </c>
      <c r="I43" s="738">
        <f t="shared" si="13"/>
        <v>0</v>
      </c>
      <c r="J43" s="345"/>
    </row>
    <row r="44" spans="1:10">
      <c r="A44" s="693">
        <f t="shared" si="4"/>
        <v>311</v>
      </c>
      <c r="B44" s="696" t="s">
        <v>814</v>
      </c>
      <c r="C44" s="697">
        <v>190</v>
      </c>
      <c r="D44" s="733"/>
      <c r="E44" s="698"/>
      <c r="F44" s="738">
        <f t="shared" si="11"/>
        <v>0</v>
      </c>
      <c r="G44" s="738">
        <f t="shared" si="12"/>
        <v>0</v>
      </c>
      <c r="H44" s="738">
        <f>IF($I$3="No", 0,'9-ADIT-2'!J41)</f>
        <v>0</v>
      </c>
      <c r="I44" s="738">
        <f t="shared" si="13"/>
        <v>0</v>
      </c>
      <c r="J44" s="345"/>
    </row>
    <row r="45" spans="1:10">
      <c r="A45" s="693">
        <f t="shared" si="4"/>
        <v>312</v>
      </c>
      <c r="B45" s="696" t="s">
        <v>918</v>
      </c>
      <c r="C45" s="697">
        <v>283</v>
      </c>
      <c r="D45" s="733"/>
      <c r="E45" s="698"/>
      <c r="F45" s="738">
        <f t="shared" si="11"/>
        <v>0</v>
      </c>
      <c r="G45" s="738">
        <f t="shared" si="12"/>
        <v>0</v>
      </c>
      <c r="H45" s="738">
        <f>IF($I$3="No", 0,'9-ADIT-2'!J42)</f>
        <v>0</v>
      </c>
      <c r="I45" s="738">
        <f t="shared" si="13"/>
        <v>0</v>
      </c>
      <c r="J45" s="345"/>
    </row>
    <row r="46" spans="1:10">
      <c r="A46" s="693">
        <f t="shared" si="4"/>
        <v>313</v>
      </c>
      <c r="B46" s="696" t="s">
        <v>836</v>
      </c>
      <c r="C46" s="697">
        <v>283</v>
      </c>
      <c r="D46" s="733"/>
      <c r="E46" s="698"/>
      <c r="F46" s="738">
        <f t="shared" si="11"/>
        <v>0</v>
      </c>
      <c r="G46" s="738">
        <f t="shared" si="12"/>
        <v>0</v>
      </c>
      <c r="H46" s="738">
        <f>IF($I$3="No", 0,'9-ADIT-2'!J43)</f>
        <v>0</v>
      </c>
      <c r="I46" s="738">
        <f t="shared" si="13"/>
        <v>0</v>
      </c>
      <c r="J46" s="345"/>
    </row>
    <row r="47" spans="1:10">
      <c r="A47" s="693">
        <f t="shared" si="4"/>
        <v>314</v>
      </c>
      <c r="B47" s="696" t="s">
        <v>837</v>
      </c>
      <c r="C47" s="697">
        <v>283</v>
      </c>
      <c r="D47" s="733"/>
      <c r="E47" s="698"/>
      <c r="F47" s="738">
        <f t="shared" si="11"/>
        <v>0</v>
      </c>
      <c r="G47" s="738">
        <f t="shared" si="12"/>
        <v>0</v>
      </c>
      <c r="H47" s="738">
        <f>IF($I$3="No", 0,'9-ADIT-2'!J44)</f>
        <v>0</v>
      </c>
      <c r="I47" s="738">
        <f t="shared" si="13"/>
        <v>0</v>
      </c>
      <c r="J47" s="345"/>
    </row>
    <row r="48" spans="1:10">
      <c r="A48" s="693">
        <f t="shared" si="4"/>
        <v>315</v>
      </c>
      <c r="B48" s="699" t="s">
        <v>815</v>
      </c>
      <c r="C48" s="698"/>
      <c r="D48" s="698"/>
      <c r="E48" s="698"/>
      <c r="F48" s="696"/>
      <c r="G48" s="696"/>
      <c r="H48" s="681"/>
      <c r="I48" s="681"/>
      <c r="J48" s="345"/>
    </row>
    <row r="49" spans="1:10" ht="13.5" thickBot="1">
      <c r="A49" s="693">
        <v>350</v>
      </c>
      <c r="B49" s="713" t="s">
        <v>944</v>
      </c>
      <c r="C49" s="713"/>
      <c r="D49" s="744">
        <f t="shared" ref="D49:I49" si="14">SUM(D34:D48)</f>
        <v>0</v>
      </c>
      <c r="E49" s="744">
        <f t="shared" si="14"/>
        <v>0</v>
      </c>
      <c r="F49" s="744">
        <f t="shared" si="14"/>
        <v>0</v>
      </c>
      <c r="G49" s="744">
        <f t="shared" si="14"/>
        <v>0</v>
      </c>
      <c r="H49" s="744">
        <f t="shared" si="14"/>
        <v>0</v>
      </c>
      <c r="I49" s="744">
        <f t="shared" si="14"/>
        <v>0</v>
      </c>
      <c r="J49" s="345"/>
    </row>
    <row r="50" spans="1:10" ht="13.5" thickTop="1">
      <c r="A50" s="693"/>
      <c r="B50" s="681"/>
      <c r="C50" s="681"/>
      <c r="D50" s="714"/>
      <c r="E50" s="714"/>
      <c r="F50" s="714"/>
      <c r="G50" s="714"/>
      <c r="H50" s="714"/>
      <c r="I50" s="714"/>
      <c r="J50" s="345"/>
    </row>
    <row r="51" spans="1:10" ht="13.5" thickBot="1">
      <c r="A51" s="693">
        <v>400</v>
      </c>
      <c r="B51" s="713" t="s">
        <v>921</v>
      </c>
      <c r="C51" s="713"/>
      <c r="D51" s="745">
        <f t="shared" ref="D51:I51" si="15">D31+D49</f>
        <v>0</v>
      </c>
      <c r="E51" s="745">
        <f t="shared" si="15"/>
        <v>0</v>
      </c>
      <c r="F51" s="745">
        <f t="shared" si="15"/>
        <v>0</v>
      </c>
      <c r="G51" s="745">
        <f t="shared" si="15"/>
        <v>0</v>
      </c>
      <c r="H51" s="745">
        <f t="shared" si="15"/>
        <v>0</v>
      </c>
      <c r="I51" s="745">
        <f t="shared" si="15"/>
        <v>0</v>
      </c>
      <c r="J51" s="345"/>
    </row>
    <row r="52" spans="1:10" ht="13.5" thickTop="1">
      <c r="A52" s="693"/>
      <c r="B52" s="715"/>
      <c r="C52" s="715"/>
      <c r="D52" s="681"/>
      <c r="E52" s="681"/>
      <c r="F52" s="681"/>
      <c r="G52" s="681"/>
      <c r="H52" s="681"/>
      <c r="I52" s="681"/>
      <c r="J52" s="345"/>
    </row>
    <row r="53" spans="1:10">
      <c r="A53" s="693"/>
      <c r="B53" s="717" t="s">
        <v>426</v>
      </c>
      <c r="C53" s="715"/>
      <c r="D53" s="681"/>
      <c r="E53" s="681"/>
      <c r="F53" s="681"/>
      <c r="G53" s="681"/>
      <c r="H53" s="681"/>
      <c r="I53" s="681"/>
      <c r="J53" s="345"/>
    </row>
    <row r="54" spans="1:10" ht="15">
      <c r="A54" s="693"/>
      <c r="B54" s="735" t="s">
        <v>945</v>
      </c>
      <c r="C54" s="715"/>
      <c r="D54" s="681"/>
      <c r="E54" s="681"/>
      <c r="F54" s="681"/>
      <c r="G54" s="681"/>
      <c r="H54" s="681"/>
      <c r="I54" s="681"/>
      <c r="J54" s="345"/>
    </row>
    <row r="55" spans="1:10">
      <c r="A55" s="693"/>
      <c r="B55" s="720" t="s">
        <v>946</v>
      </c>
      <c r="C55" s="715"/>
      <c r="D55" s="681"/>
      <c r="E55" s="681"/>
      <c r="F55" s="681"/>
      <c r="G55" s="681"/>
      <c r="H55" s="681"/>
      <c r="I55" s="681"/>
      <c r="J55" s="345"/>
    </row>
    <row r="56" spans="1:10">
      <c r="A56" s="693"/>
      <c r="B56" s="717"/>
      <c r="C56" s="718"/>
      <c r="D56" s="681"/>
      <c r="E56" s="681"/>
      <c r="F56" s="681"/>
      <c r="G56" s="681"/>
      <c r="H56" s="681"/>
      <c r="I56" s="681"/>
      <c r="J56" s="345"/>
    </row>
    <row r="57" spans="1:10">
      <c r="A57" s="693"/>
      <c r="B57" s="955" t="s">
        <v>226</v>
      </c>
      <c r="C57" s="681"/>
      <c r="D57" s="681"/>
      <c r="E57" s="681"/>
      <c r="F57" s="681"/>
      <c r="G57" s="681"/>
      <c r="H57" s="681"/>
      <c r="I57" s="681"/>
      <c r="J57" s="345"/>
    </row>
    <row r="58" spans="1:10">
      <c r="A58" s="693"/>
      <c r="B58" s="956" t="s">
        <v>2742</v>
      </c>
      <c r="C58" s="681"/>
      <c r="D58" s="681"/>
      <c r="E58" s="681"/>
      <c r="F58" s="681"/>
      <c r="G58" s="681"/>
      <c r="H58" s="681"/>
      <c r="I58" s="681"/>
      <c r="J58" s="345"/>
    </row>
    <row r="59" spans="1:10">
      <c r="A59" s="693"/>
      <c r="B59" s="957" t="s">
        <v>2744</v>
      </c>
      <c r="C59" s="721"/>
      <c r="D59" s="681"/>
      <c r="E59" s="681"/>
      <c r="F59" s="681"/>
      <c r="G59" s="681"/>
      <c r="H59" s="681"/>
      <c r="I59" s="681"/>
      <c r="J59" s="345"/>
    </row>
    <row r="60" spans="1:10">
      <c r="A60" s="693"/>
      <c r="B60" s="957" t="s">
        <v>2743</v>
      </c>
      <c r="C60" s="721"/>
      <c r="D60" s="681"/>
      <c r="E60" s="681"/>
      <c r="F60" s="681"/>
      <c r="G60" s="681"/>
      <c r="H60" s="681"/>
      <c r="I60" s="681"/>
      <c r="J60" s="345"/>
    </row>
    <row r="61" spans="1:10">
      <c r="A61" s="693"/>
      <c r="B61" s="957" t="s">
        <v>2748</v>
      </c>
      <c r="C61" s="681"/>
      <c r="D61" s="681"/>
      <c r="E61" s="681"/>
      <c r="F61" s="681"/>
      <c r="G61" s="681"/>
      <c r="H61" s="681"/>
      <c r="I61" s="681"/>
      <c r="J61" s="345"/>
    </row>
    <row r="62" spans="1:10">
      <c r="A62" s="693"/>
      <c r="B62" s="345"/>
      <c r="C62" s="721"/>
      <c r="D62" s="681"/>
      <c r="E62" s="681"/>
      <c r="F62" s="681"/>
      <c r="G62" s="681"/>
      <c r="H62" s="681"/>
      <c r="I62" s="681"/>
      <c r="J62" s="345"/>
    </row>
    <row r="63" spans="1:10">
      <c r="A63" s="693"/>
      <c r="B63" s="345"/>
      <c r="C63" s="721"/>
      <c r="D63" s="681"/>
      <c r="E63" s="681"/>
      <c r="F63" s="681"/>
      <c r="G63" s="681"/>
      <c r="H63" s="681"/>
      <c r="I63" s="681"/>
      <c r="J63" s="345"/>
    </row>
    <row r="64" spans="1:10">
      <c r="A64" s="693"/>
      <c r="B64" s="720"/>
      <c r="C64" s="345"/>
      <c r="D64" s="681"/>
      <c r="E64" s="345"/>
      <c r="F64" s="345"/>
      <c r="G64" s="345"/>
      <c r="H64" s="681"/>
      <c r="I64" s="681"/>
      <c r="J64" s="345"/>
    </row>
    <row r="65" spans="1:10">
      <c r="A65" s="345"/>
      <c r="B65" s="345"/>
      <c r="C65" s="721"/>
      <c r="D65" s="681"/>
      <c r="E65" s="345"/>
      <c r="F65" s="345"/>
      <c r="G65" s="345"/>
      <c r="H65" s="345"/>
      <c r="I65" s="345"/>
      <c r="J65" s="345"/>
    </row>
    <row r="66" spans="1:10">
      <c r="A66" s="345"/>
      <c r="B66" s="345"/>
      <c r="C66" s="721"/>
      <c r="D66" s="681"/>
      <c r="E66" s="345"/>
      <c r="F66" s="345"/>
      <c r="G66" s="345"/>
      <c r="H66" s="345"/>
      <c r="I66" s="345"/>
      <c r="J66" s="345"/>
    </row>
    <row r="67" spans="1:10">
      <c r="A67" s="345"/>
      <c r="B67" s="720"/>
      <c r="C67" s="345"/>
      <c r="D67" s="681"/>
      <c r="E67" s="345"/>
      <c r="F67" s="345"/>
      <c r="G67" s="345"/>
      <c r="H67" s="345"/>
      <c r="I67" s="345"/>
      <c r="J67" s="345"/>
    </row>
    <row r="68" spans="1:10">
      <c r="A68" s="345"/>
      <c r="B68" s="345"/>
      <c r="C68" s="345"/>
      <c r="D68" s="345"/>
      <c r="E68" s="345"/>
      <c r="F68" s="345"/>
      <c r="G68" s="345"/>
      <c r="H68" s="345"/>
      <c r="I68" s="345"/>
      <c r="J68" s="345"/>
    </row>
    <row r="69" spans="1:10">
      <c r="A69" s="345"/>
      <c r="B69" s="345"/>
      <c r="C69" s="345"/>
      <c r="D69" s="345"/>
      <c r="E69" s="345"/>
      <c r="F69" s="345"/>
      <c r="G69" s="345"/>
      <c r="H69" s="345"/>
      <c r="I69" s="345"/>
      <c r="J69" s="345"/>
    </row>
    <row r="70" spans="1:10">
      <c r="A70" s="345"/>
      <c r="B70" s="345"/>
      <c r="C70" s="345"/>
      <c r="D70" s="345"/>
      <c r="E70" s="345"/>
      <c r="F70" s="345"/>
      <c r="G70" s="345"/>
      <c r="H70" s="345"/>
      <c r="I70" s="345"/>
      <c r="J70" s="345"/>
    </row>
    <row r="71" spans="1:10">
      <c r="A71" s="345"/>
      <c r="B71" s="345"/>
      <c r="C71" s="345"/>
      <c r="D71" s="345"/>
      <c r="E71" s="345"/>
      <c r="F71" s="345"/>
      <c r="G71" s="345"/>
      <c r="H71" s="345"/>
      <c r="I71" s="345"/>
      <c r="J71" s="345"/>
    </row>
  </sheetData>
  <mergeCells count="1">
    <mergeCell ref="D8:I8"/>
  </mergeCells>
  <pageMargins left="0.7" right="0.7" top="0.75" bottom="0.75" header="0.3" footer="0.3"/>
  <pageSetup scale="59" orientation="landscape" r:id="rId1"/>
  <headerFooter>
    <oddHeader>&amp;CSchedule 9-ADIT-3
EDIT - Tax Rate Change&amp;RTO2025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51"/>
  <sheetViews>
    <sheetView zoomScaleNormal="100" zoomScalePageLayoutView="90" workbookViewId="0"/>
  </sheetViews>
  <sheetFormatPr defaultRowHeight="12.75"/>
  <cols>
    <col min="1" max="1" width="4.5703125" customWidth="1"/>
    <col min="2" max="2" width="12.5703125" customWidth="1"/>
    <col min="3" max="3" width="8.5703125" customWidth="1"/>
    <col min="4" max="4" width="15.42578125" bestFit="1" customWidth="1"/>
    <col min="5" max="5" width="18.5703125" customWidth="1"/>
    <col min="6" max="6" width="16.42578125" customWidth="1"/>
    <col min="7" max="7" width="13.42578125" customWidth="1"/>
    <col min="8" max="8" width="13.5703125" bestFit="1" customWidth="1"/>
    <col min="9" max="9" width="16.85546875" bestFit="1" customWidth="1"/>
    <col min="10" max="10" width="15.42578125" customWidth="1"/>
    <col min="11" max="11" width="17.42578125" customWidth="1"/>
    <col min="12" max="12" width="14.5703125" bestFit="1" customWidth="1"/>
    <col min="13" max="13" width="13.42578125" bestFit="1" customWidth="1"/>
  </cols>
  <sheetData>
    <row r="1" spans="1:12">
      <c r="A1" s="1" t="s">
        <v>947</v>
      </c>
      <c r="K1" s="1"/>
    </row>
    <row r="2" spans="1:12">
      <c r="A2" s="1"/>
      <c r="K2" s="1"/>
    </row>
    <row r="3" spans="1:12">
      <c r="A3" s="1"/>
      <c r="B3" s="235" t="s">
        <v>948</v>
      </c>
      <c r="K3" s="1"/>
    </row>
    <row r="4" spans="1:12">
      <c r="B4" s="235" t="s">
        <v>949</v>
      </c>
      <c r="K4" s="1"/>
      <c r="L4" s="235"/>
    </row>
    <row r="5" spans="1:12">
      <c r="B5" s="235"/>
      <c r="K5" s="1"/>
    </row>
    <row r="6" spans="1:12">
      <c r="A6" s="235"/>
      <c r="B6" s="1" t="s">
        <v>950</v>
      </c>
      <c r="E6" s="39" t="s">
        <v>193</v>
      </c>
      <c r="F6" s="242" t="s">
        <v>951</v>
      </c>
      <c r="G6" s="54"/>
      <c r="K6" s="1"/>
    </row>
    <row r="7" spans="1:12">
      <c r="A7" s="235"/>
      <c r="B7" s="666"/>
      <c r="D7" s="48" t="s">
        <v>329</v>
      </c>
      <c r="E7" s="48" t="s">
        <v>330</v>
      </c>
      <c r="F7" s="48" t="s">
        <v>331</v>
      </c>
      <c r="G7" s="48" t="s">
        <v>332</v>
      </c>
      <c r="H7" s="48" t="s">
        <v>333</v>
      </c>
      <c r="I7" s="48" t="s">
        <v>334</v>
      </c>
      <c r="J7" s="48"/>
      <c r="K7" s="1"/>
      <c r="L7" s="48"/>
    </row>
    <row r="8" spans="1:12">
      <c r="D8" s="236" t="s">
        <v>952</v>
      </c>
    </row>
    <row r="9" spans="1:12">
      <c r="D9" s="37" t="s">
        <v>953</v>
      </c>
    </row>
    <row r="10" spans="1:12">
      <c r="B10" s="2"/>
    </row>
    <row r="11" spans="1:12">
      <c r="B11" s="2"/>
      <c r="D11" s="2" t="s">
        <v>353</v>
      </c>
      <c r="F11" s="2" t="s">
        <v>954</v>
      </c>
      <c r="G11" s="183" t="s">
        <v>955</v>
      </c>
      <c r="H11" s="183" t="s">
        <v>956</v>
      </c>
      <c r="I11" s="2"/>
      <c r="J11" s="2"/>
      <c r="K11" s="235"/>
    </row>
    <row r="12" spans="1:12">
      <c r="A12" s="30" t="s">
        <v>266</v>
      </c>
      <c r="B12" s="330" t="s">
        <v>364</v>
      </c>
      <c r="C12" s="330" t="s">
        <v>365</v>
      </c>
      <c r="D12" s="3" t="s">
        <v>957</v>
      </c>
      <c r="E12" s="3" t="s">
        <v>958</v>
      </c>
      <c r="F12" s="3" t="s">
        <v>959</v>
      </c>
      <c r="G12" s="184" t="s">
        <v>960</v>
      </c>
      <c r="H12" s="184" t="s">
        <v>961</v>
      </c>
      <c r="I12" s="3" t="s">
        <v>962</v>
      </c>
      <c r="J12" s="3"/>
      <c r="K12" s="235"/>
    </row>
    <row r="13" spans="1:12">
      <c r="A13" s="2">
        <v>1</v>
      </c>
      <c r="B13" s="331" t="s">
        <v>372</v>
      </c>
      <c r="C13" s="332">
        <v>2022</v>
      </c>
      <c r="D13" s="6">
        <f t="shared" ref="D13:D25" si="0">SUM(E13:I13)+SUM(D33:K33)</f>
        <v>285206915.12</v>
      </c>
      <c r="E13" s="265">
        <v>569300.1</v>
      </c>
      <c r="F13" s="59">
        <v>0</v>
      </c>
      <c r="G13" s="59">
        <v>6391146.5599999996</v>
      </c>
      <c r="H13" s="59">
        <v>974727.83</v>
      </c>
      <c r="I13" s="59">
        <v>0</v>
      </c>
      <c r="J13" s="333"/>
    </row>
    <row r="14" spans="1:12">
      <c r="A14" s="2">
        <f>A13+1</f>
        <v>2</v>
      </c>
      <c r="B14" s="331" t="s">
        <v>374</v>
      </c>
      <c r="C14" s="332">
        <v>2023</v>
      </c>
      <c r="D14" s="6">
        <f t="shared" si="0"/>
        <v>287136074.47999996</v>
      </c>
      <c r="E14" s="265">
        <v>569300.1</v>
      </c>
      <c r="F14" s="59">
        <v>0</v>
      </c>
      <c r="G14" s="59">
        <v>6358050.5099999998</v>
      </c>
      <c r="H14" s="59">
        <v>975031.1</v>
      </c>
      <c r="I14" s="59">
        <v>0</v>
      </c>
      <c r="J14" s="333"/>
    </row>
    <row r="15" spans="1:12">
      <c r="A15" s="2">
        <f t="shared" ref="A15:A26" si="1">A14+1</f>
        <v>3</v>
      </c>
      <c r="B15" s="331" t="s">
        <v>375</v>
      </c>
      <c r="C15" s="332">
        <v>2023</v>
      </c>
      <c r="D15" s="6">
        <f t="shared" si="0"/>
        <v>293450478.28999996</v>
      </c>
      <c r="E15" s="265">
        <v>569300.1</v>
      </c>
      <c r="F15" s="59">
        <v>0</v>
      </c>
      <c r="G15" s="59">
        <v>6357756.79</v>
      </c>
      <c r="H15" s="59">
        <v>975049.07</v>
      </c>
      <c r="I15" s="59">
        <v>0</v>
      </c>
      <c r="J15" s="333"/>
    </row>
    <row r="16" spans="1:12">
      <c r="A16" s="2">
        <f t="shared" si="1"/>
        <v>4</v>
      </c>
      <c r="B16" s="331" t="s">
        <v>376</v>
      </c>
      <c r="C16" s="332">
        <v>2023</v>
      </c>
      <c r="D16" s="6">
        <f t="shared" si="0"/>
        <v>294913795.69</v>
      </c>
      <c r="E16" s="265">
        <v>569300.1</v>
      </c>
      <c r="F16" s="59">
        <v>0</v>
      </c>
      <c r="G16" s="59">
        <v>6358453.46</v>
      </c>
      <c r="H16" s="59">
        <v>977163.87</v>
      </c>
      <c r="I16" s="59">
        <v>0</v>
      </c>
      <c r="J16" s="333"/>
    </row>
    <row r="17" spans="1:12">
      <c r="A17" s="2">
        <f t="shared" si="1"/>
        <v>5</v>
      </c>
      <c r="B17" s="331" t="s">
        <v>377</v>
      </c>
      <c r="C17" s="332">
        <v>2023</v>
      </c>
      <c r="D17" s="6">
        <f t="shared" si="0"/>
        <v>291484450.38</v>
      </c>
      <c r="E17" s="265">
        <v>571029.32999999996</v>
      </c>
      <c r="F17" s="59">
        <v>0</v>
      </c>
      <c r="G17" s="59">
        <v>6377321.9100000001</v>
      </c>
      <c r="H17" s="59">
        <v>1027204.38</v>
      </c>
      <c r="I17" s="59">
        <v>0</v>
      </c>
      <c r="J17" s="333"/>
    </row>
    <row r="18" spans="1:12">
      <c r="A18" s="2">
        <f t="shared" si="1"/>
        <v>6</v>
      </c>
      <c r="B18" s="331" t="s">
        <v>378</v>
      </c>
      <c r="C18" s="332">
        <v>2023</v>
      </c>
      <c r="D18" s="6">
        <f t="shared" si="0"/>
        <v>293117393.00999999</v>
      </c>
      <c r="E18" s="265">
        <v>573531.44999999995</v>
      </c>
      <c r="F18" s="59">
        <v>0</v>
      </c>
      <c r="G18" s="59">
        <v>6381563.54</v>
      </c>
      <c r="H18" s="59">
        <v>1098258.75</v>
      </c>
      <c r="I18" s="59">
        <v>0</v>
      </c>
      <c r="J18" s="333"/>
    </row>
    <row r="19" spans="1:12">
      <c r="A19" s="2">
        <f t="shared" si="1"/>
        <v>7</v>
      </c>
      <c r="B19" s="331" t="s">
        <v>379</v>
      </c>
      <c r="C19" s="332">
        <v>2023</v>
      </c>
      <c r="D19" s="6">
        <f t="shared" si="0"/>
        <v>295149708.02000004</v>
      </c>
      <c r="E19" s="265">
        <v>573681.01</v>
      </c>
      <c r="F19" s="59">
        <v>0</v>
      </c>
      <c r="G19" s="59">
        <v>6389190.2000000002</v>
      </c>
      <c r="H19" s="59">
        <v>1071677.76</v>
      </c>
      <c r="I19" s="59">
        <v>0</v>
      </c>
      <c r="J19" s="333"/>
    </row>
    <row r="20" spans="1:12">
      <c r="A20" s="2">
        <f t="shared" si="1"/>
        <v>8</v>
      </c>
      <c r="B20" s="331" t="s">
        <v>380</v>
      </c>
      <c r="C20" s="332">
        <v>2023</v>
      </c>
      <c r="D20" s="6">
        <f t="shared" si="0"/>
        <v>297186830.12</v>
      </c>
      <c r="E20" s="265">
        <v>574040.1</v>
      </c>
      <c r="F20" s="59">
        <v>0</v>
      </c>
      <c r="G20" s="59">
        <v>6397174.0800000001</v>
      </c>
      <c r="H20" s="59">
        <v>1183529.32</v>
      </c>
      <c r="I20" s="59">
        <v>0</v>
      </c>
      <c r="J20" s="333"/>
    </row>
    <row r="21" spans="1:12">
      <c r="A21" s="2">
        <f t="shared" si="1"/>
        <v>9</v>
      </c>
      <c r="B21" s="331" t="s">
        <v>381</v>
      </c>
      <c r="C21" s="332">
        <v>2023</v>
      </c>
      <c r="D21" s="6">
        <f t="shared" si="0"/>
        <v>300522756.29000008</v>
      </c>
      <c r="E21" s="265">
        <v>574335.65</v>
      </c>
      <c r="F21" s="59">
        <v>0</v>
      </c>
      <c r="G21" s="59">
        <v>6414090.1699999999</v>
      </c>
      <c r="H21" s="59">
        <v>1234337.1499999999</v>
      </c>
      <c r="I21" s="59">
        <v>0</v>
      </c>
      <c r="J21" s="333"/>
    </row>
    <row r="22" spans="1:12">
      <c r="A22" s="2">
        <f t="shared" si="1"/>
        <v>10</v>
      </c>
      <c r="B22" s="331" t="s">
        <v>382</v>
      </c>
      <c r="C22" s="332">
        <v>2023</v>
      </c>
      <c r="D22" s="6">
        <f t="shared" si="0"/>
        <v>300287029.26999998</v>
      </c>
      <c r="E22" s="265">
        <v>574313.77</v>
      </c>
      <c r="F22" s="59">
        <v>0</v>
      </c>
      <c r="G22" s="59">
        <v>6446900.5800000001</v>
      </c>
      <c r="H22" s="59">
        <v>1253115.18</v>
      </c>
      <c r="I22" s="59">
        <v>0</v>
      </c>
      <c r="J22" s="333"/>
    </row>
    <row r="23" spans="1:12">
      <c r="A23" s="2">
        <f t="shared" si="1"/>
        <v>11</v>
      </c>
      <c r="B23" s="331" t="s">
        <v>963</v>
      </c>
      <c r="C23" s="332">
        <v>2023</v>
      </c>
      <c r="D23" s="6">
        <f t="shared" si="0"/>
        <v>301152118.40999997</v>
      </c>
      <c r="E23" s="265">
        <v>574615.41</v>
      </c>
      <c r="F23" s="59">
        <v>0</v>
      </c>
      <c r="G23" s="59">
        <v>6503696.8399999999</v>
      </c>
      <c r="H23" s="59">
        <v>1319919.6299999999</v>
      </c>
      <c r="I23" s="59">
        <v>0</v>
      </c>
      <c r="J23" s="333"/>
    </row>
    <row r="24" spans="1:12">
      <c r="A24" s="2">
        <f t="shared" si="1"/>
        <v>12</v>
      </c>
      <c r="B24" s="331" t="s">
        <v>384</v>
      </c>
      <c r="C24" s="332">
        <v>2023</v>
      </c>
      <c r="D24" s="6">
        <f t="shared" si="0"/>
        <v>301892526.95999998</v>
      </c>
      <c r="E24" s="265">
        <v>574563.74</v>
      </c>
      <c r="F24" s="59">
        <v>0</v>
      </c>
      <c r="G24" s="59">
        <v>6515016.4400000004</v>
      </c>
      <c r="H24" s="59">
        <v>1322585.07</v>
      </c>
      <c r="I24" s="59">
        <v>0</v>
      </c>
      <c r="J24" s="333"/>
    </row>
    <row r="25" spans="1:12">
      <c r="A25" s="2">
        <f t="shared" si="1"/>
        <v>13</v>
      </c>
      <c r="B25" s="331" t="s">
        <v>372</v>
      </c>
      <c r="C25" s="332">
        <v>2023</v>
      </c>
      <c r="D25" s="53">
        <f t="shared" si="0"/>
        <v>310658936.53000003</v>
      </c>
      <c r="E25" s="208">
        <v>614003.74</v>
      </c>
      <c r="F25" s="61">
        <v>0</v>
      </c>
      <c r="G25" s="61">
        <v>6574677.9400000004</v>
      </c>
      <c r="H25" s="61">
        <v>6858895.8200000003</v>
      </c>
      <c r="I25" s="61">
        <v>0</v>
      </c>
      <c r="J25" s="333"/>
    </row>
    <row r="26" spans="1:12">
      <c r="A26" s="2">
        <f t="shared" si="1"/>
        <v>14</v>
      </c>
      <c r="B26" s="331"/>
      <c r="C26" s="334" t="s">
        <v>964</v>
      </c>
      <c r="D26" s="263">
        <f t="shared" ref="D26:I26" si="2">SUM(D13:D25)/13</f>
        <v>296319924.04384619</v>
      </c>
      <c r="E26" s="263">
        <f t="shared" si="2"/>
        <v>575485.73846153845</v>
      </c>
      <c r="F26" s="263">
        <f t="shared" si="2"/>
        <v>0</v>
      </c>
      <c r="G26" s="263">
        <f t="shared" si="2"/>
        <v>6420387.616923077</v>
      </c>
      <c r="H26" s="263">
        <f t="shared" si="2"/>
        <v>1559345.7638461539</v>
      </c>
      <c r="I26" s="263">
        <f t="shared" si="2"/>
        <v>0</v>
      </c>
      <c r="J26" s="333"/>
      <c r="K26" s="333"/>
    </row>
    <row r="27" spans="1:12">
      <c r="A27" s="2"/>
      <c r="B27" s="331"/>
      <c r="C27" s="334"/>
      <c r="D27" s="263"/>
      <c r="E27" s="263"/>
      <c r="F27" s="263"/>
      <c r="G27" s="263"/>
      <c r="H27" s="263"/>
      <c r="I27" s="333"/>
      <c r="J27" s="234"/>
      <c r="K27" s="333"/>
    </row>
    <row r="28" spans="1:12">
      <c r="A28" s="2"/>
      <c r="B28" s="331"/>
      <c r="C28" s="334"/>
      <c r="D28" s="48" t="s">
        <v>335</v>
      </c>
      <c r="E28" s="48" t="s">
        <v>336</v>
      </c>
      <c r="F28" s="48" t="s">
        <v>337</v>
      </c>
      <c r="G28" s="48" t="s">
        <v>582</v>
      </c>
      <c r="H28" s="48" t="s">
        <v>583</v>
      </c>
      <c r="I28" s="48" t="s">
        <v>584</v>
      </c>
      <c r="J28" s="800" t="s">
        <v>585</v>
      </c>
      <c r="K28" s="800" t="s">
        <v>586</v>
      </c>
      <c r="L28" s="800" t="s">
        <v>2951</v>
      </c>
    </row>
    <row r="29" spans="1:12">
      <c r="A29" s="2"/>
      <c r="B29" s="331"/>
      <c r="C29" s="334"/>
      <c r="E29" s="183" t="s">
        <v>965</v>
      </c>
      <c r="F29" s="183"/>
      <c r="G29" s="183"/>
      <c r="H29" s="263"/>
      <c r="I29" s="333"/>
      <c r="J29" s="597"/>
      <c r="K29" s="1080"/>
      <c r="L29" s="1080"/>
    </row>
    <row r="30" spans="1:12">
      <c r="B30" s="2"/>
      <c r="D30" s="2" t="s">
        <v>966</v>
      </c>
      <c r="E30" s="2" t="s">
        <v>967</v>
      </c>
      <c r="F30" s="754"/>
      <c r="G30" s="754"/>
      <c r="H30" s="754"/>
      <c r="I30" s="183"/>
      <c r="J30" s="597"/>
      <c r="K30" s="1080"/>
      <c r="L30" s="1080"/>
    </row>
    <row r="31" spans="1:12">
      <c r="B31" s="2"/>
      <c r="D31" s="2" t="s">
        <v>702</v>
      </c>
      <c r="E31" s="2" t="s">
        <v>702</v>
      </c>
      <c r="F31" s="757"/>
      <c r="G31" s="757"/>
      <c r="H31" s="758" t="s">
        <v>968</v>
      </c>
      <c r="I31" s="183"/>
      <c r="J31" s="795"/>
      <c r="K31" s="1081"/>
      <c r="L31" s="1081"/>
    </row>
    <row r="32" spans="1:12" ht="25.5">
      <c r="A32" s="30" t="s">
        <v>266</v>
      </c>
      <c r="B32" s="330" t="s">
        <v>364</v>
      </c>
      <c r="C32" s="330" t="s">
        <v>365</v>
      </c>
      <c r="D32" s="3" t="s">
        <v>969</v>
      </c>
      <c r="E32" s="3" t="s">
        <v>969</v>
      </c>
      <c r="F32" s="757" t="s">
        <v>970</v>
      </c>
      <c r="G32" s="757" t="s">
        <v>971</v>
      </c>
      <c r="H32" s="757" t="s">
        <v>972</v>
      </c>
      <c r="I32" s="184" t="s">
        <v>973</v>
      </c>
      <c r="J32" s="1090" t="s">
        <v>2957</v>
      </c>
      <c r="K32" s="1090" t="s">
        <v>2952</v>
      </c>
      <c r="L32" s="1091"/>
    </row>
    <row r="33" spans="1:12">
      <c r="A33" s="2">
        <f>+A26+1</f>
        <v>15</v>
      </c>
      <c r="B33" s="331" t="s">
        <v>372</v>
      </c>
      <c r="C33" s="332">
        <v>2022</v>
      </c>
      <c r="D33" s="59">
        <v>0</v>
      </c>
      <c r="E33" s="59">
        <v>0</v>
      </c>
      <c r="F33" s="59">
        <v>0</v>
      </c>
      <c r="G33" s="59">
        <v>26660116.48</v>
      </c>
      <c r="H33" s="59">
        <v>212122946.66999999</v>
      </c>
      <c r="I33" s="577">
        <v>38488677.479999997</v>
      </c>
      <c r="J33" s="577"/>
      <c r="K33" s="577"/>
      <c r="L33" s="577"/>
    </row>
    <row r="34" spans="1:12">
      <c r="A34" s="2">
        <f>A33+1</f>
        <v>16</v>
      </c>
      <c r="B34" s="331" t="s">
        <v>374</v>
      </c>
      <c r="C34" s="332">
        <v>2023</v>
      </c>
      <c r="D34" s="59">
        <v>0</v>
      </c>
      <c r="E34" s="59">
        <v>0</v>
      </c>
      <c r="F34" s="59">
        <v>0</v>
      </c>
      <c r="G34" s="59">
        <v>26560805.629999999</v>
      </c>
      <c r="H34" s="59">
        <v>214059879</v>
      </c>
      <c r="I34" s="577">
        <v>38613008.140000001</v>
      </c>
      <c r="J34" s="577"/>
      <c r="K34" s="577"/>
      <c r="L34" s="577"/>
    </row>
    <row r="35" spans="1:12">
      <c r="A35" s="2">
        <f t="shared" ref="A35:A46" si="3">A34+1</f>
        <v>17</v>
      </c>
      <c r="B35" s="331" t="s">
        <v>375</v>
      </c>
      <c r="C35" s="332">
        <v>2023</v>
      </c>
      <c r="D35" s="59">
        <v>0</v>
      </c>
      <c r="E35" s="59">
        <v>0</v>
      </c>
      <c r="F35" s="59">
        <v>0</v>
      </c>
      <c r="G35" s="59">
        <v>26689040.370000001</v>
      </c>
      <c r="H35" s="59">
        <v>220112777.63999999</v>
      </c>
      <c r="I35" s="577">
        <v>38746554.32</v>
      </c>
      <c r="J35" s="577"/>
      <c r="K35" s="577"/>
      <c r="L35" s="577"/>
    </row>
    <row r="36" spans="1:12">
      <c r="A36" s="2">
        <f t="shared" si="3"/>
        <v>18</v>
      </c>
      <c r="B36" s="331" t="s">
        <v>376</v>
      </c>
      <c r="C36" s="332">
        <v>2023</v>
      </c>
      <c r="D36" s="59">
        <v>0</v>
      </c>
      <c r="E36" s="59">
        <v>0</v>
      </c>
      <c r="F36" s="59">
        <v>0</v>
      </c>
      <c r="G36" s="59">
        <v>26802133.649999999</v>
      </c>
      <c r="H36" s="59">
        <v>221432856.87</v>
      </c>
      <c r="I36" s="577">
        <v>38773887.740000002</v>
      </c>
      <c r="J36" s="577"/>
      <c r="K36" s="577"/>
      <c r="L36" s="577"/>
    </row>
    <row r="37" spans="1:12">
      <c r="A37" s="2">
        <f t="shared" si="3"/>
        <v>19</v>
      </c>
      <c r="B37" s="331" t="s">
        <v>377</v>
      </c>
      <c r="C37" s="332">
        <v>2023</v>
      </c>
      <c r="D37" s="59">
        <v>0</v>
      </c>
      <c r="E37" s="59">
        <v>15.32</v>
      </c>
      <c r="F37" s="59">
        <v>15508.85</v>
      </c>
      <c r="G37" s="59">
        <v>27002810.07</v>
      </c>
      <c r="H37" s="59">
        <v>223142193.47</v>
      </c>
      <c r="I37" s="577">
        <v>33348367.050000001</v>
      </c>
      <c r="J37" s="577"/>
      <c r="K37" s="577"/>
      <c r="L37" s="577"/>
    </row>
    <row r="38" spans="1:12">
      <c r="A38" s="2">
        <f t="shared" si="3"/>
        <v>20</v>
      </c>
      <c r="B38" s="331" t="s">
        <v>378</v>
      </c>
      <c r="C38" s="332">
        <v>2023</v>
      </c>
      <c r="D38" s="59">
        <v>0</v>
      </c>
      <c r="E38" s="59">
        <v>0</v>
      </c>
      <c r="F38" s="59">
        <v>0</v>
      </c>
      <c r="G38" s="59">
        <v>27157637.100000001</v>
      </c>
      <c r="H38" s="59">
        <v>224515374.19999999</v>
      </c>
      <c r="I38" s="577">
        <v>33391027.969999999</v>
      </c>
      <c r="J38" s="577"/>
      <c r="K38" s="577"/>
      <c r="L38" s="577"/>
    </row>
    <row r="39" spans="1:12">
      <c r="A39" s="2">
        <f t="shared" si="3"/>
        <v>21</v>
      </c>
      <c r="B39" s="331" t="s">
        <v>379</v>
      </c>
      <c r="C39" s="332">
        <v>2023</v>
      </c>
      <c r="D39" s="59">
        <v>0</v>
      </c>
      <c r="E39" s="59">
        <v>0</v>
      </c>
      <c r="F39" s="59">
        <v>0</v>
      </c>
      <c r="G39" s="59">
        <v>27482535.190000001</v>
      </c>
      <c r="H39" s="59">
        <v>226047039.09</v>
      </c>
      <c r="I39" s="577">
        <v>33585584.770000003</v>
      </c>
      <c r="J39" s="577"/>
      <c r="K39" s="577"/>
      <c r="L39" s="577"/>
    </row>
    <row r="40" spans="1:12">
      <c r="A40" s="2">
        <f t="shared" si="3"/>
        <v>22</v>
      </c>
      <c r="B40" s="331" t="s">
        <v>380</v>
      </c>
      <c r="C40" s="332">
        <v>2023</v>
      </c>
      <c r="D40" s="59">
        <v>0</v>
      </c>
      <c r="E40" s="59">
        <v>0</v>
      </c>
      <c r="F40" s="59">
        <v>0</v>
      </c>
      <c r="G40" s="59">
        <v>27596276.75</v>
      </c>
      <c r="H40" s="59">
        <v>227833878.30000001</v>
      </c>
      <c r="I40" s="577">
        <v>33601931.57</v>
      </c>
      <c r="J40" s="577"/>
      <c r="K40" s="577"/>
      <c r="L40" s="577"/>
    </row>
    <row r="41" spans="1:12">
      <c r="A41" s="2">
        <f>A40+1</f>
        <v>23</v>
      </c>
      <c r="B41" s="331" t="s">
        <v>381</v>
      </c>
      <c r="C41" s="332">
        <v>2023</v>
      </c>
      <c r="D41" s="59">
        <v>0</v>
      </c>
      <c r="E41" s="59">
        <v>0</v>
      </c>
      <c r="F41" s="59">
        <v>0</v>
      </c>
      <c r="G41" s="59">
        <v>27783159.579999998</v>
      </c>
      <c r="H41" s="59">
        <v>230905393.27000001</v>
      </c>
      <c r="I41" s="577">
        <v>33611440.469999999</v>
      </c>
      <c r="J41" s="577"/>
      <c r="K41" s="577"/>
      <c r="L41" s="577"/>
    </row>
    <row r="42" spans="1:12">
      <c r="A42" s="2">
        <f t="shared" si="3"/>
        <v>24</v>
      </c>
      <c r="B42" s="331" t="s">
        <v>382</v>
      </c>
      <c r="C42" s="332">
        <v>2023</v>
      </c>
      <c r="D42" s="59">
        <v>0</v>
      </c>
      <c r="E42" s="59">
        <v>0</v>
      </c>
      <c r="F42" s="59">
        <v>0</v>
      </c>
      <c r="G42" s="59">
        <v>26331392.100000001</v>
      </c>
      <c r="H42" s="59">
        <v>232056773.91999999</v>
      </c>
      <c r="I42" s="577">
        <v>33624533.719999999</v>
      </c>
      <c r="J42" s="577"/>
      <c r="K42" s="577"/>
      <c r="L42" s="577"/>
    </row>
    <row r="43" spans="1:12">
      <c r="A43" s="2">
        <f t="shared" si="3"/>
        <v>25</v>
      </c>
      <c r="B43" s="331" t="s">
        <v>963</v>
      </c>
      <c r="C43" s="332">
        <v>2023</v>
      </c>
      <c r="D43" s="59">
        <v>0</v>
      </c>
      <c r="E43" s="59">
        <v>0</v>
      </c>
      <c r="F43" s="59">
        <v>0</v>
      </c>
      <c r="G43" s="59">
        <v>26435530.890000001</v>
      </c>
      <c r="H43" s="59">
        <v>232667408.72999999</v>
      </c>
      <c r="I43" s="577">
        <v>33650946.909999996</v>
      </c>
      <c r="J43" s="577"/>
      <c r="K43" s="577"/>
      <c r="L43" s="577"/>
    </row>
    <row r="44" spans="1:12">
      <c r="A44" s="2">
        <f t="shared" si="3"/>
        <v>26</v>
      </c>
      <c r="B44" s="331" t="s">
        <v>384</v>
      </c>
      <c r="C44" s="332">
        <v>2023</v>
      </c>
      <c r="D44" s="59">
        <v>0</v>
      </c>
      <c r="E44" s="59">
        <v>0</v>
      </c>
      <c r="F44" s="577">
        <v>0</v>
      </c>
      <c r="G44" s="577">
        <v>26560799.66</v>
      </c>
      <c r="H44" s="265">
        <v>233254665.37</v>
      </c>
      <c r="I44" s="577">
        <v>33664896.68</v>
      </c>
      <c r="J44" s="577"/>
      <c r="K44" s="577"/>
      <c r="L44" s="577"/>
    </row>
    <row r="45" spans="1:12">
      <c r="A45" s="2">
        <f t="shared" si="3"/>
        <v>27</v>
      </c>
      <c r="B45" s="331" t="s">
        <v>372</v>
      </c>
      <c r="C45" s="332">
        <v>2023</v>
      </c>
      <c r="D45" s="61">
        <v>0</v>
      </c>
      <c r="E45" s="61">
        <v>0</v>
      </c>
      <c r="F45" s="796">
        <v>0</v>
      </c>
      <c r="G45" s="796">
        <v>27427584.16</v>
      </c>
      <c r="H45" s="208">
        <v>235446401.27000001</v>
      </c>
      <c r="I45" s="796">
        <v>33737373.600000001</v>
      </c>
      <c r="J45" s="796"/>
      <c r="K45" s="796"/>
      <c r="L45" s="1082"/>
    </row>
    <row r="46" spans="1:12">
      <c r="A46" s="2">
        <f t="shared" si="3"/>
        <v>28</v>
      </c>
      <c r="B46" s="331"/>
      <c r="C46" s="334" t="s">
        <v>964</v>
      </c>
      <c r="D46" s="263">
        <f t="shared" ref="D46:H46" si="4">SUM(D33:D45)/13</f>
        <v>0</v>
      </c>
      <c r="E46" s="263">
        <f t="shared" si="4"/>
        <v>1.1784615384615384</v>
      </c>
      <c r="F46" s="263">
        <f t="shared" si="4"/>
        <v>1192.9884615384615</v>
      </c>
      <c r="G46" s="263">
        <f t="shared" si="4"/>
        <v>26960755.510000005</v>
      </c>
      <c r="H46" s="263">
        <f t="shared" si="4"/>
        <v>225661352.90769228</v>
      </c>
      <c r="I46" s="263">
        <f>SUM(I33:I45)/13</f>
        <v>35141402.340000004</v>
      </c>
      <c r="J46" s="6">
        <f>SUM(J33:J45)/13</f>
        <v>0</v>
      </c>
      <c r="K46" s="6">
        <f>SUM(K33:K45)/13</f>
        <v>0</v>
      </c>
      <c r="L46" s="6">
        <f>SUM(L33:L45)/13</f>
        <v>0</v>
      </c>
    </row>
    <row r="48" spans="1:12">
      <c r="B48" s="336" t="s">
        <v>974</v>
      </c>
    </row>
    <row r="49" spans="1:13">
      <c r="B49" s="336"/>
      <c r="D49" s="3" t="s">
        <v>329</v>
      </c>
      <c r="E49" s="3" t="s">
        <v>330</v>
      </c>
      <c r="F49" s="3" t="s">
        <v>331</v>
      </c>
      <c r="G49" s="3" t="s">
        <v>332</v>
      </c>
      <c r="H49" s="3" t="s">
        <v>333</v>
      </c>
      <c r="I49" s="3" t="s">
        <v>334</v>
      </c>
      <c r="J49" s="3" t="s">
        <v>335</v>
      </c>
      <c r="K49" s="3" t="s">
        <v>336</v>
      </c>
    </row>
    <row r="50" spans="1:13" s="351" customFormat="1">
      <c r="D50" s="236" t="s">
        <v>339</v>
      </c>
      <c r="E50" s="236" t="s">
        <v>339</v>
      </c>
      <c r="F50" s="236" t="s">
        <v>339</v>
      </c>
      <c r="G50" s="236" t="s">
        <v>339</v>
      </c>
      <c r="H50" s="236" t="s">
        <v>339</v>
      </c>
      <c r="I50" s="236" t="s">
        <v>339</v>
      </c>
      <c r="J50" s="236" t="s">
        <v>339</v>
      </c>
      <c r="K50" s="236" t="s">
        <v>339</v>
      </c>
    </row>
    <row r="51" spans="1:13">
      <c r="G51" s="2" t="s">
        <v>975</v>
      </c>
      <c r="K51" s="2"/>
    </row>
    <row r="52" spans="1:13">
      <c r="A52" s="2"/>
      <c r="B52" s="2"/>
      <c r="C52" s="2"/>
      <c r="D52" s="2" t="s">
        <v>976</v>
      </c>
      <c r="E52" s="2" t="s">
        <v>977</v>
      </c>
      <c r="F52" s="2" t="s">
        <v>978</v>
      </c>
      <c r="G52" s="2" t="s">
        <v>244</v>
      </c>
      <c r="H52" s="2" t="s">
        <v>979</v>
      </c>
      <c r="I52" s="352" t="s">
        <v>980</v>
      </c>
      <c r="J52" s="2" t="s">
        <v>976</v>
      </c>
      <c r="K52" s="2" t="s">
        <v>981</v>
      </c>
    </row>
    <row r="53" spans="1:13">
      <c r="A53" s="30" t="s">
        <v>266</v>
      </c>
      <c r="B53" s="330" t="s">
        <v>364</v>
      </c>
      <c r="C53" s="330" t="s">
        <v>365</v>
      </c>
      <c r="D53" s="3" t="s">
        <v>982</v>
      </c>
      <c r="E53" s="3" t="s">
        <v>983</v>
      </c>
      <c r="F53" s="3" t="s">
        <v>984</v>
      </c>
      <c r="G53" s="3" t="s">
        <v>985</v>
      </c>
      <c r="H53" s="3" t="s">
        <v>986</v>
      </c>
      <c r="I53" s="3" t="s">
        <v>987</v>
      </c>
      <c r="J53" s="3" t="s">
        <v>988</v>
      </c>
      <c r="K53" s="3" t="s">
        <v>989</v>
      </c>
    </row>
    <row r="54" spans="1:13">
      <c r="A54" s="2">
        <f>A46+1</f>
        <v>29</v>
      </c>
      <c r="B54" s="331" t="s">
        <v>372</v>
      </c>
      <c r="C54" s="332">
        <v>2023</v>
      </c>
      <c r="D54" s="241" t="s">
        <v>373</v>
      </c>
      <c r="E54" s="241" t="s">
        <v>373</v>
      </c>
      <c r="F54" s="241" t="s">
        <v>373</v>
      </c>
      <c r="G54" s="241" t="s">
        <v>373</v>
      </c>
      <c r="H54" s="241" t="s">
        <v>373</v>
      </c>
      <c r="I54" s="241" t="s">
        <v>373</v>
      </c>
      <c r="J54" s="6">
        <f>D25</f>
        <v>310658936.53000003</v>
      </c>
      <c r="K54" s="241" t="s">
        <v>373</v>
      </c>
    </row>
    <row r="55" spans="1:13">
      <c r="A55" s="2">
        <f>A54+1</f>
        <v>30</v>
      </c>
      <c r="B55" s="331" t="s">
        <v>374</v>
      </c>
      <c r="C55" s="332">
        <v>2024</v>
      </c>
      <c r="D55" s="6">
        <f>D89+D122+D155+D188+D221+D254+D287+D320+D353+D386+D419+D452+D485</f>
        <v>1359991.9226000002</v>
      </c>
      <c r="E55" s="6">
        <f t="shared" ref="E55:K55" si="5">E89+E122+E155+E188+E221+E254+E287+E320+E353+E386+E419+E452+E485</f>
        <v>101999.39419500002</v>
      </c>
      <c r="F55" s="6">
        <f t="shared" si="5"/>
        <v>1461991.3167950001</v>
      </c>
      <c r="G55" s="6">
        <f t="shared" si="5"/>
        <v>774648.04260000004</v>
      </c>
      <c r="H55" s="6">
        <f t="shared" si="5"/>
        <v>0</v>
      </c>
      <c r="I55" s="6">
        <f t="shared" si="5"/>
        <v>58098.603195000003</v>
      </c>
      <c r="J55" s="6">
        <f t="shared" si="5"/>
        <v>311288181.20100003</v>
      </c>
      <c r="K55" s="6">
        <f t="shared" si="5"/>
        <v>629244.67100001313</v>
      </c>
      <c r="L55" s="441"/>
      <c r="M55" s="6"/>
    </row>
    <row r="56" spans="1:13">
      <c r="A56" s="2">
        <f t="shared" ref="A56:A79" si="6">A55+1</f>
        <v>31</v>
      </c>
      <c r="B56" s="331" t="s">
        <v>375</v>
      </c>
      <c r="C56" s="332">
        <v>2024</v>
      </c>
      <c r="D56" s="6">
        <f t="shared" ref="D56:K56" si="7">D90+D123+D156+D189+D222+D255+D288+D321+D354+D387+D420+D453+D486</f>
        <v>1358427</v>
      </c>
      <c r="E56" s="6">
        <f t="shared" si="7"/>
        <v>101882.02500000001</v>
      </c>
      <c r="F56" s="6">
        <f t="shared" si="7"/>
        <v>1460309.0250000001</v>
      </c>
      <c r="G56" s="6">
        <f t="shared" si="7"/>
        <v>619400</v>
      </c>
      <c r="H56" s="6">
        <f t="shared" si="7"/>
        <v>0</v>
      </c>
      <c r="I56" s="6">
        <f t="shared" si="7"/>
        <v>46455</v>
      </c>
      <c r="J56" s="6">
        <f t="shared" si="7"/>
        <v>312082635.22600001</v>
      </c>
      <c r="K56" s="6">
        <f t="shared" si="7"/>
        <v>1423698.6960000098</v>
      </c>
      <c r="L56" s="441"/>
      <c r="M56" s="6"/>
    </row>
    <row r="57" spans="1:13">
      <c r="A57" s="2">
        <f t="shared" si="6"/>
        <v>32</v>
      </c>
      <c r="B57" s="331" t="s">
        <v>376</v>
      </c>
      <c r="C57" s="332">
        <v>2024</v>
      </c>
      <c r="D57" s="6">
        <f t="shared" ref="D57:K57" si="8">D91+D124+D157+D190+D223+D256+D289+D322+D355+D388+D421+D454+D487</f>
        <v>1414004</v>
      </c>
      <c r="E57" s="6">
        <f t="shared" si="8"/>
        <v>106050.3</v>
      </c>
      <c r="F57" s="6">
        <f t="shared" si="8"/>
        <v>1520054.3</v>
      </c>
      <c r="G57" s="6">
        <f t="shared" si="8"/>
        <v>619400</v>
      </c>
      <c r="H57" s="6">
        <f t="shared" si="8"/>
        <v>0</v>
      </c>
      <c r="I57" s="6">
        <f t="shared" si="8"/>
        <v>46455</v>
      </c>
      <c r="J57" s="6">
        <f t="shared" si="8"/>
        <v>312936834.52600002</v>
      </c>
      <c r="K57" s="6">
        <f t="shared" si="8"/>
        <v>2277897.9960000068</v>
      </c>
      <c r="L57" s="441"/>
      <c r="M57" s="6"/>
    </row>
    <row r="58" spans="1:13">
      <c r="A58" s="2">
        <f t="shared" si="6"/>
        <v>33</v>
      </c>
      <c r="B58" s="331" t="s">
        <v>377</v>
      </c>
      <c r="C58" s="332">
        <v>2024</v>
      </c>
      <c r="D58" s="6">
        <f t="shared" ref="D58:K58" si="9">D92+D125+D158+D191+D224+D257+D290+D323+D356+D389+D422+D455+D488</f>
        <v>2352204</v>
      </c>
      <c r="E58" s="6">
        <f t="shared" si="9"/>
        <v>176415.3</v>
      </c>
      <c r="F58" s="6">
        <f t="shared" si="9"/>
        <v>2528619.2999999998</v>
      </c>
      <c r="G58" s="6">
        <f t="shared" si="9"/>
        <v>34592755.620000005</v>
      </c>
      <c r="H58" s="6">
        <f t="shared" si="9"/>
        <v>33332539.620000005</v>
      </c>
      <c r="I58" s="6">
        <f t="shared" si="9"/>
        <v>94516.2</v>
      </c>
      <c r="J58" s="6">
        <f t="shared" si="9"/>
        <v>280778182.00600004</v>
      </c>
      <c r="K58" s="6">
        <f t="shared" si="9"/>
        <v>-29880754.523999989</v>
      </c>
      <c r="L58" s="441"/>
      <c r="M58" s="6"/>
    </row>
    <row r="59" spans="1:13">
      <c r="A59" s="2">
        <f t="shared" si="6"/>
        <v>34</v>
      </c>
      <c r="B59" s="331" t="s">
        <v>378</v>
      </c>
      <c r="C59" s="332">
        <v>2024</v>
      </c>
      <c r="D59" s="6">
        <f t="shared" ref="D59:K59" si="10">D93+D126+D159+D192+D225+D258+D291+D324+D357+D390+D423+D456+D489</f>
        <v>2353504</v>
      </c>
      <c r="E59" s="6">
        <f t="shared" si="10"/>
        <v>176512.8</v>
      </c>
      <c r="F59" s="6">
        <f t="shared" si="10"/>
        <v>2530016.7999999998</v>
      </c>
      <c r="G59" s="6">
        <f t="shared" si="10"/>
        <v>79995402.479999989</v>
      </c>
      <c r="H59" s="6">
        <f t="shared" si="10"/>
        <v>77501603.479999989</v>
      </c>
      <c r="I59" s="6">
        <f t="shared" si="10"/>
        <v>187034.92499999999</v>
      </c>
      <c r="J59" s="6">
        <f t="shared" si="10"/>
        <v>203125761.40100002</v>
      </c>
      <c r="K59" s="6">
        <f t="shared" si="10"/>
        <v>-107533175.12899998</v>
      </c>
      <c r="L59" s="441"/>
      <c r="M59" s="6"/>
    </row>
    <row r="60" spans="1:13">
      <c r="A60" s="2">
        <f t="shared" si="6"/>
        <v>35</v>
      </c>
      <c r="B60" s="331" t="s">
        <v>587</v>
      </c>
      <c r="C60" s="332">
        <v>2024</v>
      </c>
      <c r="D60" s="6">
        <f t="shared" ref="D60:K60" si="11">D94+D127+D160+D193+D226+D259+D292+D325+D358+D391+D424+D457+D490</f>
        <v>2385504</v>
      </c>
      <c r="E60" s="6">
        <f t="shared" si="11"/>
        <v>178912.8</v>
      </c>
      <c r="F60" s="6">
        <f t="shared" si="11"/>
        <v>2564416.7999999998</v>
      </c>
      <c r="G60" s="6">
        <f t="shared" si="11"/>
        <v>16868222.390000001</v>
      </c>
      <c r="H60" s="6">
        <f t="shared" si="11"/>
        <v>15317327.390000001</v>
      </c>
      <c r="I60" s="6">
        <f t="shared" si="11"/>
        <v>116317.125</v>
      </c>
      <c r="J60" s="6">
        <f t="shared" si="11"/>
        <v>188705638.68600002</v>
      </c>
      <c r="K60" s="6">
        <f t="shared" si="11"/>
        <v>-121953297.84399998</v>
      </c>
      <c r="L60" s="441"/>
      <c r="M60" s="6"/>
    </row>
    <row r="61" spans="1:13">
      <c r="A61" s="2">
        <f t="shared" si="6"/>
        <v>36</v>
      </c>
      <c r="B61" s="331" t="s">
        <v>380</v>
      </c>
      <c r="C61" s="332">
        <v>2024</v>
      </c>
      <c r="D61" s="6">
        <f t="shared" ref="D61:K61" si="12">D95+D128+D161+D194+D227+D260+D293+D326+D359+D392+D425+D458+D491</f>
        <v>2184974.12</v>
      </c>
      <c r="E61" s="6">
        <f t="shared" si="12"/>
        <v>163873.05899999998</v>
      </c>
      <c r="F61" s="6">
        <f t="shared" si="12"/>
        <v>2348847.1789999995</v>
      </c>
      <c r="G61" s="6">
        <f t="shared" si="12"/>
        <v>38093059.869999997</v>
      </c>
      <c r="H61" s="6">
        <f t="shared" si="12"/>
        <v>35518621.869999997</v>
      </c>
      <c r="I61" s="6">
        <f>I95+I128+I161+I194+I227+I260+I293+I326+I359+I392+I425+I458+I491</f>
        <v>193082.85</v>
      </c>
      <c r="J61" s="6">
        <f t="shared" si="12"/>
        <v>152768343.14500004</v>
      </c>
      <c r="K61" s="6">
        <f t="shared" si="12"/>
        <v>-157890593.38499999</v>
      </c>
      <c r="L61" s="441"/>
      <c r="M61" s="6"/>
    </row>
    <row r="62" spans="1:13">
      <c r="A62" s="2">
        <f t="shared" si="6"/>
        <v>37</v>
      </c>
      <c r="B62" s="331" t="s">
        <v>381</v>
      </c>
      <c r="C62" s="332">
        <v>2024</v>
      </c>
      <c r="D62" s="6">
        <f t="shared" ref="D62:K62" si="13">D96+D129+D162+D195+D228+D261+D294+D327+D360+D393+D426+D459+D492</f>
        <v>2081334</v>
      </c>
      <c r="E62" s="6">
        <f t="shared" si="13"/>
        <v>156100.04999999999</v>
      </c>
      <c r="F62" s="6">
        <f t="shared" si="13"/>
        <v>2237434.0499999998</v>
      </c>
      <c r="G62" s="6">
        <f t="shared" si="13"/>
        <v>1408650</v>
      </c>
      <c r="H62" s="6">
        <f t="shared" si="13"/>
        <v>0</v>
      </c>
      <c r="I62" s="6">
        <f t="shared" si="13"/>
        <v>105648.75</v>
      </c>
      <c r="J62" s="6">
        <f t="shared" si="13"/>
        <v>153491478.44500002</v>
      </c>
      <c r="K62" s="6">
        <f t="shared" si="13"/>
        <v>-157167458.08499998</v>
      </c>
      <c r="L62" s="441"/>
      <c r="M62" s="6"/>
    </row>
    <row r="63" spans="1:13">
      <c r="A63" s="2">
        <f t="shared" si="6"/>
        <v>38</v>
      </c>
      <c r="B63" s="331" t="s">
        <v>382</v>
      </c>
      <c r="C63" s="332">
        <v>2024</v>
      </c>
      <c r="D63" s="6">
        <f t="shared" ref="D63:K63" si="14">D97+D130+D163+D196+D229+D262+D295+D328+D361+D394+D427+D460+D493</f>
        <v>2804367</v>
      </c>
      <c r="E63" s="6">
        <f t="shared" si="14"/>
        <v>210327.52499999999</v>
      </c>
      <c r="F63" s="6">
        <f t="shared" si="14"/>
        <v>3014694.5249999999</v>
      </c>
      <c r="G63" s="6">
        <f t="shared" si="14"/>
        <v>1378683</v>
      </c>
      <c r="H63" s="6">
        <f t="shared" si="14"/>
        <v>0</v>
      </c>
      <c r="I63" s="6">
        <f t="shared" si="14"/>
        <v>103401.22500000001</v>
      </c>
      <c r="J63" s="6">
        <f t="shared" si="14"/>
        <v>155024088.745</v>
      </c>
      <c r="K63" s="6">
        <f t="shared" si="14"/>
        <v>-155634847.785</v>
      </c>
      <c r="L63" s="441"/>
      <c r="M63" s="6"/>
    </row>
    <row r="64" spans="1:13">
      <c r="A64" s="2">
        <f t="shared" si="6"/>
        <v>39</v>
      </c>
      <c r="B64" s="331" t="s">
        <v>383</v>
      </c>
      <c r="C64" s="332">
        <v>2024</v>
      </c>
      <c r="D64" s="6">
        <f t="shared" ref="D64:K64" si="15">D98+D131+D164+D197+D230+D263+D296+D329+D362+D395+D428+D461+D494</f>
        <v>4658894</v>
      </c>
      <c r="E64" s="6">
        <f t="shared" si="15"/>
        <v>349417.05</v>
      </c>
      <c r="F64" s="6">
        <f t="shared" si="15"/>
        <v>5008311.05</v>
      </c>
      <c r="G64" s="6">
        <f t="shared" si="15"/>
        <v>845650</v>
      </c>
      <c r="H64" s="6">
        <f t="shared" si="15"/>
        <v>0</v>
      </c>
      <c r="I64" s="6">
        <f t="shared" si="15"/>
        <v>63423.75</v>
      </c>
      <c r="J64" s="6">
        <f t="shared" si="15"/>
        <v>159123326.04500002</v>
      </c>
      <c r="K64" s="6">
        <f t="shared" si="15"/>
        <v>-151535610.48499998</v>
      </c>
      <c r="L64" s="441"/>
      <c r="M64" s="6"/>
    </row>
    <row r="65" spans="1:13">
      <c r="A65" s="2">
        <f t="shared" si="6"/>
        <v>40</v>
      </c>
      <c r="B65" s="331" t="s">
        <v>384</v>
      </c>
      <c r="C65" s="332">
        <v>2024</v>
      </c>
      <c r="D65" s="6">
        <f t="shared" ref="D65:K65" si="16">D99+D132+D165+D198+D231+D264+D297+D330+D363+D396+D429+D462+D495</f>
        <v>13482334</v>
      </c>
      <c r="E65" s="6">
        <f t="shared" si="16"/>
        <v>1011175.05</v>
      </c>
      <c r="F65" s="6">
        <f t="shared" si="16"/>
        <v>14493509.050000001</v>
      </c>
      <c r="G65" s="6">
        <f t="shared" si="16"/>
        <v>1056650</v>
      </c>
      <c r="H65" s="6">
        <f t="shared" si="16"/>
        <v>0</v>
      </c>
      <c r="I65" s="6">
        <f t="shared" si="16"/>
        <v>79248.75</v>
      </c>
      <c r="J65" s="6">
        <f t="shared" si="16"/>
        <v>172480936.34500003</v>
      </c>
      <c r="K65" s="6">
        <f t="shared" si="16"/>
        <v>-138178000.185</v>
      </c>
      <c r="L65" s="441"/>
      <c r="M65" s="6"/>
    </row>
    <row r="66" spans="1:13">
      <c r="A66" s="2">
        <f t="shared" si="6"/>
        <v>41</v>
      </c>
      <c r="B66" s="331" t="s">
        <v>372</v>
      </c>
      <c r="C66" s="332">
        <v>2024</v>
      </c>
      <c r="D66" s="6">
        <f t="shared" ref="D66:K66" si="17">D100+D133+D166+D199+D232+D265+D298+D331+D364+D397+D430+D463+D496</f>
        <v>14761625</v>
      </c>
      <c r="E66" s="6">
        <f t="shared" si="17"/>
        <v>1107121.8749999998</v>
      </c>
      <c r="F66" s="6">
        <f t="shared" si="17"/>
        <v>15868746.875</v>
      </c>
      <c r="G66" s="6">
        <f t="shared" si="17"/>
        <v>47705419.979999982</v>
      </c>
      <c r="H66" s="6">
        <f t="shared" si="17"/>
        <v>44574310.979999997</v>
      </c>
      <c r="I66" s="6">
        <f t="shared" si="17"/>
        <v>234833.17499999888</v>
      </c>
      <c r="J66" s="6">
        <f t="shared" si="17"/>
        <v>140409430.06500003</v>
      </c>
      <c r="K66" s="6">
        <f t="shared" si="17"/>
        <v>-170249506.46499997</v>
      </c>
      <c r="L66" s="441"/>
      <c r="M66" s="6"/>
    </row>
    <row r="67" spans="1:13">
      <c r="A67" s="2">
        <f t="shared" si="6"/>
        <v>42</v>
      </c>
      <c r="B67" s="331" t="s">
        <v>374</v>
      </c>
      <c r="C67" s="332">
        <v>2025</v>
      </c>
      <c r="D67" s="6">
        <f t="shared" ref="D67:K67" si="18">D101+D134+D167+D200+D233+D266+D299+D332+D365+D398+D431+D464+D497</f>
        <v>6903567.3900000006</v>
      </c>
      <c r="E67" s="6">
        <f t="shared" si="18"/>
        <v>517767.55425000004</v>
      </c>
      <c r="F67" s="6">
        <f t="shared" si="18"/>
        <v>7421334.9442500006</v>
      </c>
      <c r="G67" s="6">
        <f t="shared" si="18"/>
        <v>448071</v>
      </c>
      <c r="H67" s="6">
        <f t="shared" si="18"/>
        <v>0</v>
      </c>
      <c r="I67" s="6">
        <f t="shared" si="18"/>
        <v>33605.324999999997</v>
      </c>
      <c r="J67" s="6">
        <f t="shared" si="18"/>
        <v>147349088.68425003</v>
      </c>
      <c r="K67" s="6">
        <f t="shared" si="18"/>
        <v>-163309847.84574997</v>
      </c>
      <c r="L67" s="441"/>
      <c r="M67" s="6"/>
    </row>
    <row r="68" spans="1:13">
      <c r="A68" s="2">
        <f t="shared" si="6"/>
        <v>43</v>
      </c>
      <c r="B68" s="331" t="s">
        <v>375</v>
      </c>
      <c r="C68" s="332">
        <v>2025</v>
      </c>
      <c r="D68" s="6">
        <f t="shared" ref="D68:K68" si="19">D102+D135+D168+D201+D234+D267+D300+D333+D366+D399+D432+D465+D498</f>
        <v>7938541.3900000006</v>
      </c>
      <c r="E68" s="6">
        <f t="shared" si="19"/>
        <v>595390.60425000009</v>
      </c>
      <c r="F68" s="6">
        <f t="shared" si="19"/>
        <v>8533931.9942499995</v>
      </c>
      <c r="G68" s="6">
        <f t="shared" si="19"/>
        <v>64894938.750000007</v>
      </c>
      <c r="H68" s="6">
        <f t="shared" si="19"/>
        <v>36060893.75</v>
      </c>
      <c r="I68" s="6">
        <f t="shared" si="19"/>
        <v>2162553.3750000005</v>
      </c>
      <c r="J68" s="6">
        <f t="shared" si="19"/>
        <v>88825528.553500026</v>
      </c>
      <c r="K68" s="6">
        <f t="shared" si="19"/>
        <v>-221833407.97649997</v>
      </c>
      <c r="L68" s="441"/>
      <c r="M68" s="6"/>
    </row>
    <row r="69" spans="1:13">
      <c r="A69" s="2">
        <f t="shared" si="6"/>
        <v>44</v>
      </c>
      <c r="B69" s="331" t="s">
        <v>376</v>
      </c>
      <c r="C69" s="332">
        <v>2025</v>
      </c>
      <c r="D69" s="6">
        <f t="shared" ref="D69:K69" si="20">D103+D136+D169+D202+D235+D268+D301+D334+D367+D400+D433+D466+D499</f>
        <v>7941541.3900000006</v>
      </c>
      <c r="E69" s="6">
        <f t="shared" si="20"/>
        <v>595615.60425000009</v>
      </c>
      <c r="F69" s="6">
        <f t="shared" si="20"/>
        <v>8537156.9942499995</v>
      </c>
      <c r="G69" s="6">
        <f t="shared" si="20"/>
        <v>1545045</v>
      </c>
      <c r="H69" s="6">
        <f t="shared" si="20"/>
        <v>0</v>
      </c>
      <c r="I69" s="6">
        <f t="shared" si="20"/>
        <v>115878.375</v>
      </c>
      <c r="J69" s="6">
        <f t="shared" si="20"/>
        <v>95701762.172750026</v>
      </c>
      <c r="K69" s="6">
        <f t="shared" si="20"/>
        <v>-214957174.35724998</v>
      </c>
      <c r="L69" s="441"/>
      <c r="M69" s="6"/>
    </row>
    <row r="70" spans="1:13">
      <c r="A70" s="2">
        <f t="shared" si="6"/>
        <v>45</v>
      </c>
      <c r="B70" s="331" t="s">
        <v>377</v>
      </c>
      <c r="C70" s="332">
        <v>2025</v>
      </c>
      <c r="D70" s="6">
        <f t="shared" ref="D70:K70" si="21">D104+D137+D170+D203+D236+D269+D302+D335+D368+D401+D434+D467+D500</f>
        <v>7851956.3900000006</v>
      </c>
      <c r="E70" s="6">
        <f t="shared" si="21"/>
        <v>588896.72925000009</v>
      </c>
      <c r="F70" s="6">
        <f t="shared" si="21"/>
        <v>8440853.1192500014</v>
      </c>
      <c r="G70" s="6">
        <f t="shared" si="21"/>
        <v>1969463.7400000002</v>
      </c>
      <c r="H70" s="6">
        <f t="shared" si="21"/>
        <v>614003.74</v>
      </c>
      <c r="I70" s="6">
        <f t="shared" si="21"/>
        <v>101659.50000000001</v>
      </c>
      <c r="J70" s="6">
        <f t="shared" si="21"/>
        <v>102071492.05200002</v>
      </c>
      <c r="K70" s="6">
        <f t="shared" si="21"/>
        <v>-208587444.47799999</v>
      </c>
      <c r="L70" s="441"/>
      <c r="M70" s="6"/>
    </row>
    <row r="71" spans="1:13">
      <c r="A71" s="2">
        <f t="shared" si="6"/>
        <v>46</v>
      </c>
      <c r="B71" s="331" t="s">
        <v>378</v>
      </c>
      <c r="C71" s="332">
        <v>2025</v>
      </c>
      <c r="D71" s="6">
        <f t="shared" ref="D71:K71" si="22">D105+D138+D171+D204+D237+D270+D303+D336+D369+D402+D435+D468+D501</f>
        <v>7851956.3900000006</v>
      </c>
      <c r="E71" s="6">
        <f t="shared" si="22"/>
        <v>588896.72925000009</v>
      </c>
      <c r="F71" s="6">
        <f t="shared" si="22"/>
        <v>8440853.1192500014</v>
      </c>
      <c r="G71" s="6">
        <f t="shared" si="22"/>
        <v>1355460.0000000002</v>
      </c>
      <c r="H71" s="6">
        <f t="shared" si="22"/>
        <v>0</v>
      </c>
      <c r="I71" s="6">
        <f t="shared" si="22"/>
        <v>101659.50000000001</v>
      </c>
      <c r="J71" s="6">
        <f t="shared" si="22"/>
        <v>109055225.67125003</v>
      </c>
      <c r="K71" s="6">
        <f t="shared" si="22"/>
        <v>-201603710.85874999</v>
      </c>
      <c r="L71" s="441"/>
      <c r="M71" s="6"/>
    </row>
    <row r="72" spans="1:13">
      <c r="A72" s="2">
        <f t="shared" si="6"/>
        <v>47</v>
      </c>
      <c r="B72" s="331" t="s">
        <v>587</v>
      </c>
      <c r="C72" s="332">
        <v>2025</v>
      </c>
      <c r="D72" s="6">
        <f t="shared" ref="D72:K72" si="23">D106+D139+D172+D205+D238+D271+D304+D337+D370+D403+D436+D469+D502</f>
        <v>7852956.3900000006</v>
      </c>
      <c r="E72" s="6">
        <f t="shared" si="23"/>
        <v>588971.72925000009</v>
      </c>
      <c r="F72" s="6">
        <f t="shared" si="23"/>
        <v>8441928.1192500014</v>
      </c>
      <c r="G72" s="6">
        <f t="shared" si="23"/>
        <v>1356460.0000000002</v>
      </c>
      <c r="H72" s="6">
        <f t="shared" si="23"/>
        <v>0</v>
      </c>
      <c r="I72" s="6">
        <f t="shared" si="23"/>
        <v>101734.50000000001</v>
      </c>
      <c r="J72" s="6">
        <f t="shared" si="23"/>
        <v>116038959.29050003</v>
      </c>
      <c r="K72" s="6">
        <f t="shared" si="23"/>
        <v>-194619977.23949999</v>
      </c>
      <c r="L72" s="441"/>
      <c r="M72" s="6"/>
    </row>
    <row r="73" spans="1:13">
      <c r="A73" s="2">
        <f t="shared" si="6"/>
        <v>48</v>
      </c>
      <c r="B73" s="331" t="s">
        <v>380</v>
      </c>
      <c r="C73" s="332">
        <v>2025</v>
      </c>
      <c r="D73" s="6">
        <f t="shared" ref="D73:K73" si="24">D107+D140+D173+D206+D239+D272+D305+D338+D371+D404+D437+D470+D503</f>
        <v>11536608.390000001</v>
      </c>
      <c r="E73" s="6">
        <f t="shared" si="24"/>
        <v>865245.62925</v>
      </c>
      <c r="F73" s="6">
        <f t="shared" si="24"/>
        <v>12401854.019250002</v>
      </c>
      <c r="G73" s="6">
        <f t="shared" si="24"/>
        <v>4840112</v>
      </c>
      <c r="H73" s="6">
        <f t="shared" si="24"/>
        <v>0</v>
      </c>
      <c r="I73" s="6">
        <f t="shared" si="24"/>
        <v>363008.4</v>
      </c>
      <c r="J73" s="6">
        <f t="shared" si="24"/>
        <v>123237692.90975003</v>
      </c>
      <c r="K73" s="6">
        <f t="shared" si="24"/>
        <v>-187421243.62024999</v>
      </c>
      <c r="L73" s="441"/>
      <c r="M73" s="6"/>
    </row>
    <row r="74" spans="1:13">
      <c r="A74" s="2">
        <f t="shared" si="6"/>
        <v>49</v>
      </c>
      <c r="B74" s="331" t="s">
        <v>381</v>
      </c>
      <c r="C74" s="332">
        <v>2025</v>
      </c>
      <c r="D74" s="6">
        <f t="shared" ref="D74:K74" si="25">D108+D141+D174+D207+D240+D273+D306+D339+D372+D405+D438+D471+D504</f>
        <v>7144567.3900000006</v>
      </c>
      <c r="E74" s="6">
        <f t="shared" si="25"/>
        <v>535842.55425000004</v>
      </c>
      <c r="F74" s="6">
        <f t="shared" si="25"/>
        <v>7680409.9442500006</v>
      </c>
      <c r="G74" s="6">
        <f t="shared" si="25"/>
        <v>448071</v>
      </c>
      <c r="H74" s="6">
        <f t="shared" si="25"/>
        <v>0</v>
      </c>
      <c r="I74" s="6">
        <f t="shared" si="25"/>
        <v>33605.324999999997</v>
      </c>
      <c r="J74" s="6">
        <f t="shared" si="25"/>
        <v>130436426.52900003</v>
      </c>
      <c r="K74" s="6">
        <f t="shared" si="25"/>
        <v>-180222510.00099999</v>
      </c>
      <c r="L74" s="441"/>
      <c r="M74" s="6"/>
    </row>
    <row r="75" spans="1:13">
      <c r="A75" s="2">
        <f t="shared" si="6"/>
        <v>50</v>
      </c>
      <c r="B75" s="331" t="s">
        <v>382</v>
      </c>
      <c r="C75" s="332">
        <v>2025</v>
      </c>
      <c r="D75" s="6">
        <f t="shared" ref="D75:K75" si="26">D109+D142+D175+D208+D241+D274+D307+D340+D373+D406+D439+D472+D505</f>
        <v>7115567.3900000006</v>
      </c>
      <c r="E75" s="6">
        <f t="shared" si="26"/>
        <v>533667.55425000004</v>
      </c>
      <c r="F75" s="6">
        <f t="shared" si="26"/>
        <v>7649234.9442500006</v>
      </c>
      <c r="G75" s="6">
        <f t="shared" si="26"/>
        <v>419071</v>
      </c>
      <c r="H75" s="6">
        <f t="shared" si="26"/>
        <v>0</v>
      </c>
      <c r="I75" s="6">
        <f t="shared" si="26"/>
        <v>31430.325000000001</v>
      </c>
      <c r="J75" s="6">
        <f t="shared" si="26"/>
        <v>137635160.14825004</v>
      </c>
      <c r="K75" s="6">
        <f t="shared" si="26"/>
        <v>-173023776.38174999</v>
      </c>
      <c r="L75" s="441"/>
      <c r="M75" s="6"/>
    </row>
    <row r="76" spans="1:13">
      <c r="A76" s="2">
        <f t="shared" si="6"/>
        <v>51</v>
      </c>
      <c r="B76" s="331" t="s">
        <v>383</v>
      </c>
      <c r="C76" s="332">
        <v>2025</v>
      </c>
      <c r="D76" s="6">
        <f t="shared" ref="D76:K76" si="27">D110+D143+D176+D209+D242+D275+D308+D341+D374+D407+D440+D473+D506</f>
        <v>7215567.3900000006</v>
      </c>
      <c r="E76" s="6">
        <f t="shared" si="27"/>
        <v>541167.55425000004</v>
      </c>
      <c r="F76" s="6">
        <f t="shared" si="27"/>
        <v>7756734.9442500006</v>
      </c>
      <c r="G76" s="6">
        <f t="shared" si="27"/>
        <v>419071</v>
      </c>
      <c r="H76" s="6">
        <f t="shared" si="27"/>
        <v>0</v>
      </c>
      <c r="I76" s="6">
        <f t="shared" si="27"/>
        <v>31430.325000000001</v>
      </c>
      <c r="J76" s="6">
        <f t="shared" si="27"/>
        <v>144941393.76750004</v>
      </c>
      <c r="K76" s="6">
        <f t="shared" si="27"/>
        <v>-165717542.76249999</v>
      </c>
      <c r="L76" s="441"/>
      <c r="M76" s="6"/>
    </row>
    <row r="77" spans="1:13">
      <c r="A77" s="2">
        <f t="shared" si="6"/>
        <v>52</v>
      </c>
      <c r="B77" s="331" t="s">
        <v>384</v>
      </c>
      <c r="C77" s="332">
        <v>2025</v>
      </c>
      <c r="D77" s="6">
        <f t="shared" ref="D77:K77" si="28">D111+D144+D177+D210+D243+D276+D309+D342+D375+D408+D441+D474+D507</f>
        <v>9185567.3900000006</v>
      </c>
      <c r="E77" s="6">
        <f t="shared" si="28"/>
        <v>688917.55425000004</v>
      </c>
      <c r="F77" s="6">
        <f t="shared" si="28"/>
        <v>9874484.9442500006</v>
      </c>
      <c r="G77" s="6">
        <f t="shared" si="28"/>
        <v>2419071</v>
      </c>
      <c r="H77" s="6">
        <f t="shared" si="28"/>
        <v>0</v>
      </c>
      <c r="I77" s="6">
        <f t="shared" si="28"/>
        <v>181430.32500000001</v>
      </c>
      <c r="J77" s="6">
        <f t="shared" si="28"/>
        <v>152215377.38675004</v>
      </c>
      <c r="K77" s="6">
        <f t="shared" si="28"/>
        <v>-158443559.14324999</v>
      </c>
      <c r="L77" s="441"/>
      <c r="M77" s="6"/>
    </row>
    <row r="78" spans="1:13">
      <c r="A78" s="2">
        <f t="shared" si="6"/>
        <v>53</v>
      </c>
      <c r="B78" s="331" t="s">
        <v>372</v>
      </c>
      <c r="C78" s="332">
        <v>2025</v>
      </c>
      <c r="D78" s="6">
        <f t="shared" ref="D78:K78" si="29">D112+D145+D178+D211+D244+D277+D310+D343+D376+D409+D442+D475+D508</f>
        <v>12771410.390000001</v>
      </c>
      <c r="E78" s="6">
        <f t="shared" si="29"/>
        <v>957855.77924999991</v>
      </c>
      <c r="F78" s="6">
        <f t="shared" si="29"/>
        <v>13729266.16925</v>
      </c>
      <c r="G78" s="6">
        <f t="shared" si="29"/>
        <v>7808915</v>
      </c>
      <c r="H78" s="6">
        <f t="shared" si="29"/>
        <v>0</v>
      </c>
      <c r="I78" s="6">
        <f t="shared" si="29"/>
        <v>585668.625</v>
      </c>
      <c r="J78" s="6">
        <f t="shared" si="29"/>
        <v>157550059.93100002</v>
      </c>
      <c r="K78" s="53">
        <f t="shared" si="29"/>
        <v>-153108876.59899998</v>
      </c>
      <c r="L78" s="442"/>
      <c r="M78" s="6"/>
    </row>
    <row r="79" spans="1:13">
      <c r="A79" s="2">
        <f t="shared" si="6"/>
        <v>54</v>
      </c>
      <c r="C79" s="353" t="s">
        <v>990</v>
      </c>
      <c r="K79" s="42">
        <f>AVERAGE(K66:K78)</f>
        <v>-184084505.97911534</v>
      </c>
      <c r="L79" s="443"/>
    </row>
    <row r="81" spans="1:11">
      <c r="B81" s="336" t="s">
        <v>991</v>
      </c>
      <c r="F81" s="39" t="s">
        <v>193</v>
      </c>
      <c r="G81" s="242" t="s">
        <v>992</v>
      </c>
      <c r="H81" s="54"/>
    </row>
    <row r="82" spans="1:11">
      <c r="B82" s="34" t="s">
        <v>993</v>
      </c>
      <c r="D82" s="1109" t="s">
        <v>958</v>
      </c>
      <c r="E82" s="1109"/>
    </row>
    <row r="83" spans="1:11" s="3" customFormat="1">
      <c r="D83" s="3" t="s">
        <v>329</v>
      </c>
      <c r="E83" s="3" t="s">
        <v>330</v>
      </c>
      <c r="F83" s="3" t="s">
        <v>331</v>
      </c>
      <c r="G83" s="3" t="s">
        <v>332</v>
      </c>
      <c r="H83" s="3" t="s">
        <v>333</v>
      </c>
      <c r="I83" s="3" t="s">
        <v>334</v>
      </c>
      <c r="J83" s="3" t="s">
        <v>335</v>
      </c>
      <c r="K83" s="3" t="s">
        <v>336</v>
      </c>
    </row>
    <row r="84" spans="1:11" ht="26.25" customHeight="1">
      <c r="D84" s="48"/>
      <c r="E84" s="354" t="s">
        <v>994</v>
      </c>
      <c r="F84" s="241" t="s">
        <v>995</v>
      </c>
      <c r="G84" s="241"/>
      <c r="H84" s="48"/>
      <c r="I84" s="354" t="s">
        <v>996</v>
      </c>
      <c r="J84" s="354" t="s">
        <v>997</v>
      </c>
      <c r="K84" s="354" t="s">
        <v>998</v>
      </c>
    </row>
    <row r="85" spans="1:11">
      <c r="D85" s="48"/>
      <c r="E85" s="355"/>
      <c r="F85" s="355"/>
      <c r="G85" s="2" t="str">
        <f>G51</f>
        <v>Unloaded</v>
      </c>
      <c r="H85" s="48"/>
      <c r="I85" s="355"/>
      <c r="J85" s="355"/>
      <c r="K85" s="2"/>
    </row>
    <row r="86" spans="1:11" s="2" customFormat="1">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c r="A87" s="30" t="s">
        <v>266</v>
      </c>
      <c r="B87" s="330" t="s">
        <v>364</v>
      </c>
      <c r="C87" s="330" t="s">
        <v>365</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c r="A88" s="2">
        <f>A79+1</f>
        <v>55</v>
      </c>
      <c r="B88" s="331" t="s">
        <v>372</v>
      </c>
      <c r="C88" s="332">
        <v>2023</v>
      </c>
      <c r="D88" s="241" t="s">
        <v>373</v>
      </c>
      <c r="E88" s="241" t="s">
        <v>373</v>
      </c>
      <c r="F88" s="241" t="s">
        <v>373</v>
      </c>
      <c r="G88" s="241" t="s">
        <v>373</v>
      </c>
      <c r="H88" s="241" t="s">
        <v>373</v>
      </c>
      <c r="I88" s="241" t="s">
        <v>373</v>
      </c>
      <c r="J88" s="6">
        <f>E25</f>
        <v>614003.74</v>
      </c>
      <c r="K88" s="241" t="s">
        <v>373</v>
      </c>
    </row>
    <row r="89" spans="1:11">
      <c r="A89" s="2">
        <f>A88+1</f>
        <v>56</v>
      </c>
      <c r="B89" s="331" t="s">
        <v>374</v>
      </c>
      <c r="C89" s="332">
        <v>2024</v>
      </c>
      <c r="D89" s="59">
        <v>0</v>
      </c>
      <c r="E89" s="6">
        <f>D89*'16-PlantAdditions'!$E$103</f>
        <v>0</v>
      </c>
      <c r="F89" s="6">
        <f>E89+D89</f>
        <v>0</v>
      </c>
      <c r="G89" s="59">
        <v>0</v>
      </c>
      <c r="H89" s="59">
        <v>0</v>
      </c>
      <c r="I89" s="6">
        <f>(G89-H89)*'16-PlantAdditions'!$E$103</f>
        <v>0</v>
      </c>
      <c r="J89" s="6">
        <f>J88+F89-G89-I89</f>
        <v>614003.74</v>
      </c>
      <c r="K89" s="6">
        <f>J89-$J$88</f>
        <v>0</v>
      </c>
    </row>
    <row r="90" spans="1:11">
      <c r="A90" s="2">
        <f t="shared" ref="A90:A108" si="32">A89+1</f>
        <v>57</v>
      </c>
      <c r="B90" s="331" t="s">
        <v>375</v>
      </c>
      <c r="C90" s="332">
        <v>2024</v>
      </c>
      <c r="D90" s="59">
        <v>0</v>
      </c>
      <c r="E90" s="6">
        <f>D90*'16-PlantAdditions'!$E$103</f>
        <v>0</v>
      </c>
      <c r="F90" s="6">
        <f t="shared" ref="F90:F112" si="33">E90+D90</f>
        <v>0</v>
      </c>
      <c r="G90" s="59">
        <v>0</v>
      </c>
      <c r="H90" s="59">
        <v>0</v>
      </c>
      <c r="I90" s="6">
        <f>(G90-H90)*'16-PlantAdditions'!$E$103</f>
        <v>0</v>
      </c>
      <c r="J90" s="6">
        <f t="shared" ref="J90:J108" si="34">J89+F90-G90-I90</f>
        <v>614003.74</v>
      </c>
      <c r="K90" s="6">
        <f t="shared" ref="K90:K112" si="35">J90-$J$88</f>
        <v>0</v>
      </c>
    </row>
    <row r="91" spans="1:11">
      <c r="A91" s="2">
        <f t="shared" si="32"/>
        <v>58</v>
      </c>
      <c r="B91" s="331" t="s">
        <v>376</v>
      </c>
      <c r="C91" s="332">
        <v>2024</v>
      </c>
      <c r="D91" s="59">
        <v>0</v>
      </c>
      <c r="E91" s="6">
        <f>D91*'16-PlantAdditions'!$E$103</f>
        <v>0</v>
      </c>
      <c r="F91" s="6">
        <f t="shared" si="33"/>
        <v>0</v>
      </c>
      <c r="G91" s="59">
        <v>0</v>
      </c>
      <c r="H91" s="59">
        <v>0</v>
      </c>
      <c r="I91" s="6">
        <f>(G91-H91)*'16-PlantAdditions'!$E$103</f>
        <v>0</v>
      </c>
      <c r="J91" s="6">
        <f t="shared" si="34"/>
        <v>614003.74</v>
      </c>
      <c r="K91" s="6">
        <f>J91-$J$88</f>
        <v>0</v>
      </c>
    </row>
    <row r="92" spans="1:11">
      <c r="A92" s="2">
        <f t="shared" si="32"/>
        <v>59</v>
      </c>
      <c r="B92" s="331" t="s">
        <v>377</v>
      </c>
      <c r="C92" s="332">
        <v>2024</v>
      </c>
      <c r="D92" s="59">
        <v>0</v>
      </c>
      <c r="E92" s="6">
        <f>D92*'16-PlantAdditions'!$E$103</f>
        <v>0</v>
      </c>
      <c r="F92" s="6">
        <f t="shared" si="33"/>
        <v>0</v>
      </c>
      <c r="G92" s="59">
        <v>0</v>
      </c>
      <c r="H92" s="59">
        <v>0</v>
      </c>
      <c r="I92" s="6">
        <f>(G92-H92)*'16-PlantAdditions'!$E$103</f>
        <v>0</v>
      </c>
      <c r="J92" s="6">
        <f>J91+F92-G92-I92</f>
        <v>614003.74</v>
      </c>
      <c r="K92" s="6">
        <f>J92-$J$88</f>
        <v>0</v>
      </c>
    </row>
    <row r="93" spans="1:11">
      <c r="A93" s="2">
        <f t="shared" si="32"/>
        <v>60</v>
      </c>
      <c r="B93" s="331" t="s">
        <v>378</v>
      </c>
      <c r="C93" s="332">
        <v>2024</v>
      </c>
      <c r="D93" s="59">
        <v>0</v>
      </c>
      <c r="E93" s="6">
        <f>D93*'16-PlantAdditions'!$E$103</f>
        <v>0</v>
      </c>
      <c r="F93" s="6">
        <f t="shared" si="33"/>
        <v>0</v>
      </c>
      <c r="G93" s="59">
        <v>0</v>
      </c>
      <c r="H93" s="59">
        <v>0</v>
      </c>
      <c r="I93" s="6">
        <f>(G93-H93)*'16-PlantAdditions'!$E$103</f>
        <v>0</v>
      </c>
      <c r="J93" s="6">
        <f t="shared" si="34"/>
        <v>614003.74</v>
      </c>
      <c r="K93" s="6">
        <f t="shared" si="35"/>
        <v>0</v>
      </c>
    </row>
    <row r="94" spans="1:11">
      <c r="A94" s="2">
        <f t="shared" si="32"/>
        <v>61</v>
      </c>
      <c r="B94" s="331" t="s">
        <v>587</v>
      </c>
      <c r="C94" s="332">
        <v>2024</v>
      </c>
      <c r="D94" s="59">
        <v>0</v>
      </c>
      <c r="E94" s="6">
        <f>D94*'16-PlantAdditions'!$E$103</f>
        <v>0</v>
      </c>
      <c r="F94" s="6">
        <f t="shared" si="33"/>
        <v>0</v>
      </c>
      <c r="G94" s="59">
        <v>0</v>
      </c>
      <c r="H94" s="59">
        <v>0</v>
      </c>
      <c r="I94" s="6">
        <f>(G94-H94)*'16-PlantAdditions'!$E$103</f>
        <v>0</v>
      </c>
      <c r="J94" s="6">
        <f t="shared" si="34"/>
        <v>614003.74</v>
      </c>
      <c r="K94" s="6">
        <f t="shared" si="35"/>
        <v>0</v>
      </c>
    </row>
    <row r="95" spans="1:11">
      <c r="A95" s="2">
        <f t="shared" si="32"/>
        <v>62</v>
      </c>
      <c r="B95" s="331" t="s">
        <v>380</v>
      </c>
      <c r="C95" s="332">
        <v>2024</v>
      </c>
      <c r="D95" s="59">
        <v>0</v>
      </c>
      <c r="E95" s="6">
        <f>D95*'16-PlantAdditions'!$E$103</f>
        <v>0</v>
      </c>
      <c r="F95" s="6">
        <f t="shared" si="33"/>
        <v>0</v>
      </c>
      <c r="G95" s="59">
        <v>0</v>
      </c>
      <c r="H95" s="59">
        <v>0</v>
      </c>
      <c r="I95" s="6">
        <f>(G95-H95)*'16-PlantAdditions'!$E$103</f>
        <v>0</v>
      </c>
      <c r="J95" s="6">
        <f t="shared" si="34"/>
        <v>614003.74</v>
      </c>
      <c r="K95" s="6">
        <f t="shared" si="35"/>
        <v>0</v>
      </c>
    </row>
    <row r="96" spans="1:11">
      <c r="A96" s="2">
        <f t="shared" si="32"/>
        <v>63</v>
      </c>
      <c r="B96" s="331" t="s">
        <v>381</v>
      </c>
      <c r="C96" s="332">
        <v>2024</v>
      </c>
      <c r="D96" s="59">
        <v>0</v>
      </c>
      <c r="E96" s="6">
        <f>D96*'16-PlantAdditions'!$E$103</f>
        <v>0</v>
      </c>
      <c r="F96" s="6">
        <f t="shared" si="33"/>
        <v>0</v>
      </c>
      <c r="G96" s="59">
        <v>0</v>
      </c>
      <c r="H96" s="59">
        <v>0</v>
      </c>
      <c r="I96" s="6">
        <f>(G96-H96)*'16-PlantAdditions'!$E$103</f>
        <v>0</v>
      </c>
      <c r="J96" s="6">
        <f t="shared" si="34"/>
        <v>614003.74</v>
      </c>
      <c r="K96" s="6">
        <f t="shared" si="35"/>
        <v>0</v>
      </c>
    </row>
    <row r="97" spans="1:11">
      <c r="A97" s="2">
        <f t="shared" si="32"/>
        <v>64</v>
      </c>
      <c r="B97" s="331" t="s">
        <v>382</v>
      </c>
      <c r="C97" s="332">
        <v>2024</v>
      </c>
      <c r="D97" s="59">
        <v>0</v>
      </c>
      <c r="E97" s="6">
        <f>D97*'16-PlantAdditions'!$E$103</f>
        <v>0</v>
      </c>
      <c r="F97" s="6">
        <f t="shared" si="33"/>
        <v>0</v>
      </c>
      <c r="G97" s="59">
        <v>0</v>
      </c>
      <c r="H97" s="59">
        <v>0</v>
      </c>
      <c r="I97" s="6">
        <f>(G97-H97)*'16-PlantAdditions'!$E$103</f>
        <v>0</v>
      </c>
      <c r="J97" s="6">
        <f t="shared" si="34"/>
        <v>614003.74</v>
      </c>
      <c r="K97" s="6">
        <f t="shared" si="35"/>
        <v>0</v>
      </c>
    </row>
    <row r="98" spans="1:11">
      <c r="A98" s="2">
        <f t="shared" si="32"/>
        <v>65</v>
      </c>
      <c r="B98" s="331" t="s">
        <v>383</v>
      </c>
      <c r="C98" s="332">
        <v>2024</v>
      </c>
      <c r="D98" s="59">
        <v>0</v>
      </c>
      <c r="E98" s="6">
        <f>D98*'16-PlantAdditions'!$E$103</f>
        <v>0</v>
      </c>
      <c r="F98" s="6">
        <f t="shared" si="33"/>
        <v>0</v>
      </c>
      <c r="G98" s="59">
        <v>0</v>
      </c>
      <c r="H98" s="59">
        <v>0</v>
      </c>
      <c r="I98" s="6">
        <f>(G98-H98)*'16-PlantAdditions'!$E$103</f>
        <v>0</v>
      </c>
      <c r="J98" s="6">
        <f t="shared" si="34"/>
        <v>614003.74</v>
      </c>
      <c r="K98" s="6">
        <f t="shared" si="35"/>
        <v>0</v>
      </c>
    </row>
    <row r="99" spans="1:11">
      <c r="A99" s="2">
        <f t="shared" si="32"/>
        <v>66</v>
      </c>
      <c r="B99" s="331" t="s">
        <v>384</v>
      </c>
      <c r="C99" s="332">
        <v>2024</v>
      </c>
      <c r="D99" s="59">
        <v>0</v>
      </c>
      <c r="E99" s="6">
        <f>D99*'16-PlantAdditions'!$E$103</f>
        <v>0</v>
      </c>
      <c r="F99" s="6">
        <f t="shared" si="33"/>
        <v>0</v>
      </c>
      <c r="G99" s="59">
        <v>0</v>
      </c>
      <c r="H99" s="59">
        <v>0</v>
      </c>
      <c r="I99" s="6">
        <f>(G99-H99)*'16-PlantAdditions'!$E$103</f>
        <v>0</v>
      </c>
      <c r="J99" s="6">
        <f t="shared" si="34"/>
        <v>614003.74</v>
      </c>
      <c r="K99" s="6">
        <f t="shared" si="35"/>
        <v>0</v>
      </c>
    </row>
    <row r="100" spans="1:11">
      <c r="A100" s="2">
        <f t="shared" si="32"/>
        <v>67</v>
      </c>
      <c r="B100" s="331" t="s">
        <v>372</v>
      </c>
      <c r="C100" s="332">
        <v>2024</v>
      </c>
      <c r="D100" s="59">
        <v>0</v>
      </c>
      <c r="E100" s="6">
        <f>D100*'16-PlantAdditions'!$E$103</f>
        <v>0</v>
      </c>
      <c r="F100" s="6">
        <f t="shared" si="33"/>
        <v>0</v>
      </c>
      <c r="G100" s="59">
        <v>0</v>
      </c>
      <c r="H100" s="59">
        <v>0</v>
      </c>
      <c r="I100" s="6">
        <f>(G100-H100)*'16-PlantAdditions'!$E$103</f>
        <v>0</v>
      </c>
      <c r="J100" s="6">
        <f t="shared" si="34"/>
        <v>614003.74</v>
      </c>
      <c r="K100" s="6">
        <f t="shared" si="35"/>
        <v>0</v>
      </c>
    </row>
    <row r="101" spans="1:11">
      <c r="A101" s="2">
        <f t="shared" si="32"/>
        <v>68</v>
      </c>
      <c r="B101" s="331" t="s">
        <v>374</v>
      </c>
      <c r="C101" s="332">
        <v>2025</v>
      </c>
      <c r="D101" s="59">
        <v>0</v>
      </c>
      <c r="E101" s="6">
        <f>D101*'16-PlantAdditions'!$E$103</f>
        <v>0</v>
      </c>
      <c r="F101" s="6">
        <f t="shared" si="33"/>
        <v>0</v>
      </c>
      <c r="G101" s="59">
        <v>0</v>
      </c>
      <c r="H101" s="59">
        <v>0</v>
      </c>
      <c r="I101" s="6">
        <f>(G101-H101)*'16-PlantAdditions'!$E$103</f>
        <v>0</v>
      </c>
      <c r="J101" s="6">
        <f t="shared" si="34"/>
        <v>614003.74</v>
      </c>
      <c r="K101" s="6">
        <f t="shared" si="35"/>
        <v>0</v>
      </c>
    </row>
    <row r="102" spans="1:11">
      <c r="A102" s="2">
        <f t="shared" si="32"/>
        <v>69</v>
      </c>
      <c r="B102" s="331" t="s">
        <v>375</v>
      </c>
      <c r="C102" s="332">
        <v>2025</v>
      </c>
      <c r="D102" s="59">
        <v>0</v>
      </c>
      <c r="E102" s="6">
        <f>D102*'16-PlantAdditions'!$E$103</f>
        <v>0</v>
      </c>
      <c r="F102" s="6">
        <f t="shared" si="33"/>
        <v>0</v>
      </c>
      <c r="G102" s="59">
        <v>0</v>
      </c>
      <c r="H102" s="59">
        <v>0</v>
      </c>
      <c r="I102" s="6">
        <f>(G102-H102)*'16-PlantAdditions'!$E$103</f>
        <v>0</v>
      </c>
      <c r="J102" s="6">
        <f t="shared" si="34"/>
        <v>614003.74</v>
      </c>
      <c r="K102" s="6">
        <f t="shared" si="35"/>
        <v>0</v>
      </c>
    </row>
    <row r="103" spans="1:11">
      <c r="A103" s="2">
        <f t="shared" si="32"/>
        <v>70</v>
      </c>
      <c r="B103" s="331" t="s">
        <v>376</v>
      </c>
      <c r="C103" s="332">
        <v>2025</v>
      </c>
      <c r="D103" s="59">
        <v>0</v>
      </c>
      <c r="E103" s="6">
        <f>D103*'16-PlantAdditions'!$E$103</f>
        <v>0</v>
      </c>
      <c r="F103" s="6">
        <f t="shared" si="33"/>
        <v>0</v>
      </c>
      <c r="G103" s="59">
        <v>0</v>
      </c>
      <c r="H103" s="59">
        <v>0</v>
      </c>
      <c r="I103" s="6">
        <f>(G103-H103)*'16-PlantAdditions'!$E$103</f>
        <v>0</v>
      </c>
      <c r="J103" s="6">
        <f t="shared" si="34"/>
        <v>614003.74</v>
      </c>
      <c r="K103" s="6">
        <f t="shared" si="35"/>
        <v>0</v>
      </c>
    </row>
    <row r="104" spans="1:11">
      <c r="A104" s="2">
        <f t="shared" si="32"/>
        <v>71</v>
      </c>
      <c r="B104" s="331" t="s">
        <v>377</v>
      </c>
      <c r="C104" s="332">
        <v>2025</v>
      </c>
      <c r="D104" s="59">
        <v>0</v>
      </c>
      <c r="E104" s="6">
        <f>D104*'16-PlantAdditions'!$E$103</f>
        <v>0</v>
      </c>
      <c r="F104" s="6">
        <f t="shared" si="33"/>
        <v>0</v>
      </c>
      <c r="G104" s="59">
        <v>614003.74</v>
      </c>
      <c r="H104" s="59">
        <v>614003.74</v>
      </c>
      <c r="I104" s="6">
        <f>(G104-H104)*'16-PlantAdditions'!$E$103</f>
        <v>0</v>
      </c>
      <c r="J104" s="6">
        <f t="shared" si="34"/>
        <v>0</v>
      </c>
      <c r="K104" s="6">
        <f t="shared" si="35"/>
        <v>-614003.74</v>
      </c>
    </row>
    <row r="105" spans="1:11">
      <c r="A105" s="2">
        <f t="shared" si="32"/>
        <v>72</v>
      </c>
      <c r="B105" s="331" t="s">
        <v>378</v>
      </c>
      <c r="C105" s="332">
        <v>2025</v>
      </c>
      <c r="D105" s="59">
        <v>0</v>
      </c>
      <c r="E105" s="6">
        <f>D105*'16-PlantAdditions'!$E$103</f>
        <v>0</v>
      </c>
      <c r="F105" s="6">
        <f t="shared" si="33"/>
        <v>0</v>
      </c>
      <c r="G105" s="59">
        <v>0</v>
      </c>
      <c r="H105" s="59">
        <v>0</v>
      </c>
      <c r="I105" s="6">
        <f>(G105-H105)*'16-PlantAdditions'!$E$103</f>
        <v>0</v>
      </c>
      <c r="J105" s="6">
        <f t="shared" si="34"/>
        <v>0</v>
      </c>
      <c r="K105" s="6">
        <f t="shared" si="35"/>
        <v>-614003.74</v>
      </c>
    </row>
    <row r="106" spans="1:11">
      <c r="A106" s="2">
        <f t="shared" si="32"/>
        <v>73</v>
      </c>
      <c r="B106" s="331" t="s">
        <v>587</v>
      </c>
      <c r="C106" s="332">
        <v>2025</v>
      </c>
      <c r="D106" s="59">
        <v>0</v>
      </c>
      <c r="E106" s="6">
        <f>D106*'16-PlantAdditions'!$E$103</f>
        <v>0</v>
      </c>
      <c r="F106" s="6">
        <f t="shared" si="33"/>
        <v>0</v>
      </c>
      <c r="G106" s="59">
        <v>0</v>
      </c>
      <c r="H106" s="59">
        <v>0</v>
      </c>
      <c r="I106" s="6">
        <f>(G106-H106)*'16-PlantAdditions'!$E$103</f>
        <v>0</v>
      </c>
      <c r="J106" s="6">
        <f t="shared" si="34"/>
        <v>0</v>
      </c>
      <c r="K106" s="6">
        <f t="shared" si="35"/>
        <v>-614003.74</v>
      </c>
    </row>
    <row r="107" spans="1:11">
      <c r="A107" s="2">
        <f t="shared" si="32"/>
        <v>74</v>
      </c>
      <c r="B107" s="331" t="s">
        <v>380</v>
      </c>
      <c r="C107" s="332">
        <v>2025</v>
      </c>
      <c r="D107" s="59">
        <v>0</v>
      </c>
      <c r="E107" s="6">
        <f>D107*'16-PlantAdditions'!$E$103</f>
        <v>0</v>
      </c>
      <c r="F107" s="6">
        <f t="shared" si="33"/>
        <v>0</v>
      </c>
      <c r="G107" s="59">
        <v>0</v>
      </c>
      <c r="H107" s="59">
        <v>0</v>
      </c>
      <c r="I107" s="6">
        <f>(G107-H107)*'16-PlantAdditions'!$E$103</f>
        <v>0</v>
      </c>
      <c r="J107" s="6">
        <f t="shared" si="34"/>
        <v>0</v>
      </c>
      <c r="K107" s="6">
        <f t="shared" si="35"/>
        <v>-614003.74</v>
      </c>
    </row>
    <row r="108" spans="1:11">
      <c r="A108" s="2">
        <f t="shared" si="32"/>
        <v>75</v>
      </c>
      <c r="B108" s="331" t="s">
        <v>381</v>
      </c>
      <c r="C108" s="332">
        <v>2025</v>
      </c>
      <c r="D108" s="59">
        <v>0</v>
      </c>
      <c r="E108" s="6">
        <f>D108*'16-PlantAdditions'!$E$103</f>
        <v>0</v>
      </c>
      <c r="F108" s="6">
        <f t="shared" si="33"/>
        <v>0</v>
      </c>
      <c r="G108" s="59">
        <v>0</v>
      </c>
      <c r="H108" s="59">
        <v>0</v>
      </c>
      <c r="I108" s="6">
        <f>(G108-H108)*'16-PlantAdditions'!$E$103</f>
        <v>0</v>
      </c>
      <c r="J108" s="6">
        <f t="shared" si="34"/>
        <v>0</v>
      </c>
      <c r="K108" s="6">
        <f t="shared" si="35"/>
        <v>-614003.74</v>
      </c>
    </row>
    <row r="109" spans="1:11">
      <c r="A109" s="2">
        <f>A108+1</f>
        <v>76</v>
      </c>
      <c r="B109" s="331" t="s">
        <v>382</v>
      </c>
      <c r="C109" s="332">
        <v>2025</v>
      </c>
      <c r="D109" s="59">
        <v>0</v>
      </c>
      <c r="E109" s="6">
        <f>D109*'16-PlantAdditions'!$E$103</f>
        <v>0</v>
      </c>
      <c r="F109" s="6">
        <f t="shared" si="33"/>
        <v>0</v>
      </c>
      <c r="G109" s="59">
        <v>0</v>
      </c>
      <c r="H109" s="59">
        <v>0</v>
      </c>
      <c r="I109" s="6">
        <f>(G109-H109)*'16-PlantAdditions'!$E$103</f>
        <v>0</v>
      </c>
      <c r="J109" s="6">
        <f>J108+F109-G109-I109</f>
        <v>0</v>
      </c>
      <c r="K109" s="6">
        <f t="shared" si="35"/>
        <v>-614003.74</v>
      </c>
    </row>
    <row r="110" spans="1:11">
      <c r="A110" s="2">
        <f t="shared" ref="A110:A113" si="36">A109+1</f>
        <v>77</v>
      </c>
      <c r="B110" s="331" t="s">
        <v>383</v>
      </c>
      <c r="C110" s="332">
        <v>2025</v>
      </c>
      <c r="D110" s="59">
        <v>0</v>
      </c>
      <c r="E110" s="6">
        <f>D110*'16-PlantAdditions'!$E$103</f>
        <v>0</v>
      </c>
      <c r="F110" s="6">
        <f t="shared" si="33"/>
        <v>0</v>
      </c>
      <c r="G110" s="59">
        <v>0</v>
      </c>
      <c r="H110" s="59">
        <v>0</v>
      </c>
      <c r="I110" s="6">
        <f>(G110-H110)*'16-PlantAdditions'!$E$103</f>
        <v>0</v>
      </c>
      <c r="J110" s="6">
        <f t="shared" ref="J110:J112" si="37">J109+F110-G110-I110</f>
        <v>0</v>
      </c>
      <c r="K110" s="6">
        <f t="shared" si="35"/>
        <v>-614003.74</v>
      </c>
    </row>
    <row r="111" spans="1:11">
      <c r="A111" s="2">
        <f t="shared" si="36"/>
        <v>78</v>
      </c>
      <c r="B111" s="331" t="s">
        <v>384</v>
      </c>
      <c r="C111" s="332">
        <v>2025</v>
      </c>
      <c r="D111" s="59">
        <v>0</v>
      </c>
      <c r="E111" s="6">
        <f>D111*'16-PlantAdditions'!$E$103</f>
        <v>0</v>
      </c>
      <c r="F111" s="6">
        <f t="shared" si="33"/>
        <v>0</v>
      </c>
      <c r="G111" s="59">
        <v>0</v>
      </c>
      <c r="H111" s="59">
        <v>0</v>
      </c>
      <c r="I111" s="6">
        <f>(G111-H111)*'16-PlantAdditions'!$E$103</f>
        <v>0</v>
      </c>
      <c r="J111" s="6">
        <f t="shared" si="37"/>
        <v>0</v>
      </c>
      <c r="K111" s="6">
        <f t="shared" si="35"/>
        <v>-614003.74</v>
      </c>
    </row>
    <row r="112" spans="1:11">
      <c r="A112" s="2">
        <f t="shared" si="36"/>
        <v>79</v>
      </c>
      <c r="B112" s="331" t="s">
        <v>372</v>
      </c>
      <c r="C112" s="332">
        <v>2025</v>
      </c>
      <c r="D112" s="59">
        <v>0</v>
      </c>
      <c r="E112" s="6">
        <f>D112*'16-PlantAdditions'!$E$103</f>
        <v>0</v>
      </c>
      <c r="F112" s="6">
        <f t="shared" si="33"/>
        <v>0</v>
      </c>
      <c r="G112" s="59">
        <v>0</v>
      </c>
      <c r="H112" s="59">
        <v>0</v>
      </c>
      <c r="I112" s="6">
        <f>(G112-H112)*'16-PlantAdditions'!$E$103</f>
        <v>0</v>
      </c>
      <c r="J112" s="6">
        <f t="shared" si="37"/>
        <v>0</v>
      </c>
      <c r="K112" s="53">
        <f t="shared" si="35"/>
        <v>-614003.74</v>
      </c>
    </row>
    <row r="113" spans="1:11">
      <c r="A113" s="2">
        <f t="shared" si="36"/>
        <v>80</v>
      </c>
      <c r="C113" s="353" t="s">
        <v>990</v>
      </c>
      <c r="K113" s="42">
        <f>AVERAGE(K100:K112)</f>
        <v>-425079.51230769238</v>
      </c>
    </row>
    <row r="114" spans="1:11">
      <c r="A114" s="2"/>
      <c r="C114" s="353"/>
      <c r="K114" s="42"/>
    </row>
    <row r="115" spans="1:11">
      <c r="B115" s="34" t="s">
        <v>999</v>
      </c>
      <c r="D115" s="1109" t="s">
        <v>1000</v>
      </c>
      <c r="E115" s="1109"/>
    </row>
    <row r="116" spans="1:11">
      <c r="A116" s="3"/>
      <c r="B116" s="3"/>
      <c r="C116" s="3"/>
      <c r="D116" s="3" t="s">
        <v>329</v>
      </c>
      <c r="E116" s="3" t="s">
        <v>330</v>
      </c>
      <c r="F116" s="3" t="s">
        <v>331</v>
      </c>
      <c r="G116" s="3" t="s">
        <v>332</v>
      </c>
      <c r="H116" s="3" t="s">
        <v>333</v>
      </c>
      <c r="I116" s="3" t="s">
        <v>334</v>
      </c>
      <c r="J116" s="3" t="s">
        <v>335</v>
      </c>
      <c r="K116" s="3" t="s">
        <v>336</v>
      </c>
    </row>
    <row r="117" spans="1:11" ht="38.25">
      <c r="D117" s="48"/>
      <c r="E117" s="354" t="s">
        <v>994</v>
      </c>
      <c r="F117" s="241" t="s">
        <v>995</v>
      </c>
      <c r="G117" s="241"/>
      <c r="H117" s="48"/>
      <c r="I117" s="354" t="s">
        <v>996</v>
      </c>
      <c r="J117" s="354" t="s">
        <v>997</v>
      </c>
      <c r="K117" s="354" t="s">
        <v>998</v>
      </c>
    </row>
    <row r="118" spans="1:11">
      <c r="D118" s="48"/>
      <c r="E118" s="48"/>
      <c r="F118" s="48"/>
      <c r="G118" s="2" t="str">
        <f>G51</f>
        <v>Unloaded</v>
      </c>
      <c r="H118" s="48"/>
      <c r="I118" s="48"/>
    </row>
    <row r="119" spans="1:11">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c r="A120" s="30" t="s">
        <v>266</v>
      </c>
      <c r="B120" s="330" t="s">
        <v>364</v>
      </c>
      <c r="C120" s="330" t="s">
        <v>365</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c r="A121" s="2">
        <f>A113+1</f>
        <v>81</v>
      </c>
      <c r="B121" s="331" t="s">
        <v>372</v>
      </c>
      <c r="C121" s="332">
        <v>2023</v>
      </c>
      <c r="D121" s="241" t="s">
        <v>373</v>
      </c>
      <c r="E121" s="241" t="s">
        <v>373</v>
      </c>
      <c r="F121" s="241" t="s">
        <v>373</v>
      </c>
      <c r="G121" s="241" t="s">
        <v>373</v>
      </c>
      <c r="H121" s="241" t="s">
        <v>373</v>
      </c>
      <c r="I121" s="241" t="s">
        <v>373</v>
      </c>
      <c r="J121" s="6">
        <f>F25</f>
        <v>0</v>
      </c>
      <c r="K121" s="241" t="s">
        <v>373</v>
      </c>
    </row>
    <row r="122" spans="1:11">
      <c r="A122" s="2">
        <f>A121+1</f>
        <v>82</v>
      </c>
      <c r="B122" s="331" t="s">
        <v>374</v>
      </c>
      <c r="C122" s="332">
        <v>2024</v>
      </c>
      <c r="D122" s="59">
        <v>0</v>
      </c>
      <c r="E122" s="6">
        <f>D122*'16-PlantAdditions'!$E$103</f>
        <v>0</v>
      </c>
      <c r="F122" s="6">
        <f>E122+D122</f>
        <v>0</v>
      </c>
      <c r="G122" s="59">
        <v>0</v>
      </c>
      <c r="H122" s="59">
        <v>0</v>
      </c>
      <c r="I122" s="6">
        <f>(G122-H122)*'16-PlantAdditions'!$E$103</f>
        <v>0</v>
      </c>
      <c r="J122" s="6">
        <f>J121+F122-G122-I122</f>
        <v>0</v>
      </c>
      <c r="K122" s="237">
        <f>J122-$J$121</f>
        <v>0</v>
      </c>
    </row>
    <row r="123" spans="1:11">
      <c r="A123" s="2">
        <f t="shared" ref="A123:A146" si="40">A122+1</f>
        <v>83</v>
      </c>
      <c r="B123" s="331" t="s">
        <v>375</v>
      </c>
      <c r="C123" s="332">
        <v>2024</v>
      </c>
      <c r="D123" s="59">
        <v>0</v>
      </c>
      <c r="E123" s="6">
        <f>D123*'16-PlantAdditions'!$E$103</f>
        <v>0</v>
      </c>
      <c r="F123" s="6">
        <f t="shared" ref="F123:F145" si="41">E123+D123</f>
        <v>0</v>
      </c>
      <c r="G123" s="59">
        <v>0</v>
      </c>
      <c r="H123" s="59">
        <v>0</v>
      </c>
      <c r="I123" s="6">
        <f>(G123-H123)*'16-PlantAdditions'!$E$103</f>
        <v>0</v>
      </c>
      <c r="J123" s="6">
        <f t="shared" ref="J123:J145" si="42">J122+F123-G123-I123</f>
        <v>0</v>
      </c>
      <c r="K123" s="237">
        <f t="shared" ref="K123:K145" si="43">J123-$J$121</f>
        <v>0</v>
      </c>
    </row>
    <row r="124" spans="1:11">
      <c r="A124" s="2">
        <f t="shared" si="40"/>
        <v>84</v>
      </c>
      <c r="B124" s="331" t="s">
        <v>376</v>
      </c>
      <c r="C124" s="332">
        <v>2024</v>
      </c>
      <c r="D124" s="59">
        <v>0</v>
      </c>
      <c r="E124" s="6">
        <f>D124*'16-PlantAdditions'!$E$103</f>
        <v>0</v>
      </c>
      <c r="F124" s="6">
        <f t="shared" si="41"/>
        <v>0</v>
      </c>
      <c r="G124" s="59">
        <v>0</v>
      </c>
      <c r="H124" s="59">
        <v>0</v>
      </c>
      <c r="I124" s="6">
        <f>(G124-H124)*'16-PlantAdditions'!$E$103</f>
        <v>0</v>
      </c>
      <c r="J124" s="6">
        <f t="shared" si="42"/>
        <v>0</v>
      </c>
      <c r="K124" s="237">
        <f t="shared" si="43"/>
        <v>0</v>
      </c>
    </row>
    <row r="125" spans="1:11">
      <c r="A125" s="2">
        <f t="shared" si="40"/>
        <v>85</v>
      </c>
      <c r="B125" s="331" t="s">
        <v>377</v>
      </c>
      <c r="C125" s="332">
        <v>2024</v>
      </c>
      <c r="D125" s="59">
        <v>0</v>
      </c>
      <c r="E125" s="6">
        <f>D125*'16-PlantAdditions'!$E$103</f>
        <v>0</v>
      </c>
      <c r="F125" s="6">
        <f t="shared" si="41"/>
        <v>0</v>
      </c>
      <c r="G125" s="59">
        <v>0</v>
      </c>
      <c r="H125" s="59">
        <v>0</v>
      </c>
      <c r="I125" s="6">
        <f>(G125-H125)*'16-PlantAdditions'!$E$103</f>
        <v>0</v>
      </c>
      <c r="J125" s="6">
        <f t="shared" si="42"/>
        <v>0</v>
      </c>
      <c r="K125" s="237">
        <f t="shared" si="43"/>
        <v>0</v>
      </c>
    </row>
    <row r="126" spans="1:11">
      <c r="A126" s="2">
        <f t="shared" si="40"/>
        <v>86</v>
      </c>
      <c r="B126" s="331" t="s">
        <v>378</v>
      </c>
      <c r="C126" s="332">
        <v>2024</v>
      </c>
      <c r="D126" s="59">
        <v>0</v>
      </c>
      <c r="E126" s="6">
        <f>D126*'16-PlantAdditions'!$E$103</f>
        <v>0</v>
      </c>
      <c r="F126" s="6">
        <f t="shared" si="41"/>
        <v>0</v>
      </c>
      <c r="G126" s="59">
        <v>0</v>
      </c>
      <c r="H126" s="59">
        <v>0</v>
      </c>
      <c r="I126" s="6">
        <f>(G126-H126)*'16-PlantAdditions'!$E$103</f>
        <v>0</v>
      </c>
      <c r="J126" s="6">
        <f t="shared" si="42"/>
        <v>0</v>
      </c>
      <c r="K126" s="237">
        <f t="shared" si="43"/>
        <v>0</v>
      </c>
    </row>
    <row r="127" spans="1:11">
      <c r="A127" s="2">
        <f t="shared" si="40"/>
        <v>87</v>
      </c>
      <c r="B127" s="331" t="s">
        <v>587</v>
      </c>
      <c r="C127" s="332">
        <v>2024</v>
      </c>
      <c r="D127" s="59">
        <v>0</v>
      </c>
      <c r="E127" s="6">
        <f>D127*'16-PlantAdditions'!$E$103</f>
        <v>0</v>
      </c>
      <c r="F127" s="6">
        <f t="shared" si="41"/>
        <v>0</v>
      </c>
      <c r="G127" s="59">
        <v>0</v>
      </c>
      <c r="H127" s="59">
        <v>0</v>
      </c>
      <c r="I127" s="6">
        <f>(G127-H127)*'16-PlantAdditions'!$E$103</f>
        <v>0</v>
      </c>
      <c r="J127" s="6">
        <f t="shared" si="42"/>
        <v>0</v>
      </c>
      <c r="K127" s="237">
        <f t="shared" si="43"/>
        <v>0</v>
      </c>
    </row>
    <row r="128" spans="1:11">
      <c r="A128" s="2">
        <f t="shared" si="40"/>
        <v>88</v>
      </c>
      <c r="B128" s="331" t="s">
        <v>380</v>
      </c>
      <c r="C128" s="332">
        <v>2024</v>
      </c>
      <c r="D128" s="59">
        <v>0</v>
      </c>
      <c r="E128" s="6">
        <f>D128*'16-PlantAdditions'!$E$103</f>
        <v>0</v>
      </c>
      <c r="F128" s="6">
        <f t="shared" si="41"/>
        <v>0</v>
      </c>
      <c r="G128" s="59">
        <v>0</v>
      </c>
      <c r="H128" s="59">
        <v>0</v>
      </c>
      <c r="I128" s="6">
        <f>(G128-H128)*'16-PlantAdditions'!$E$103</f>
        <v>0</v>
      </c>
      <c r="J128" s="6">
        <f t="shared" si="42"/>
        <v>0</v>
      </c>
      <c r="K128" s="237">
        <f t="shared" si="43"/>
        <v>0</v>
      </c>
    </row>
    <row r="129" spans="1:11">
      <c r="A129" s="2">
        <f t="shared" si="40"/>
        <v>89</v>
      </c>
      <c r="B129" s="331" t="s">
        <v>381</v>
      </c>
      <c r="C129" s="332">
        <v>2024</v>
      </c>
      <c r="D129" s="59">
        <v>0</v>
      </c>
      <c r="E129" s="6">
        <f>D129*'16-PlantAdditions'!$E$103</f>
        <v>0</v>
      </c>
      <c r="F129" s="6">
        <f t="shared" si="41"/>
        <v>0</v>
      </c>
      <c r="G129" s="59">
        <v>0</v>
      </c>
      <c r="H129" s="59">
        <v>0</v>
      </c>
      <c r="I129" s="6">
        <f>(G129-H129)*'16-PlantAdditions'!$E$103</f>
        <v>0</v>
      </c>
      <c r="J129" s="6">
        <f t="shared" si="42"/>
        <v>0</v>
      </c>
      <c r="K129" s="237">
        <f t="shared" si="43"/>
        <v>0</v>
      </c>
    </row>
    <row r="130" spans="1:11">
      <c r="A130" s="2">
        <f t="shared" si="40"/>
        <v>90</v>
      </c>
      <c r="B130" s="331" t="s">
        <v>382</v>
      </c>
      <c r="C130" s="332">
        <v>2024</v>
      </c>
      <c r="D130" s="59">
        <v>0</v>
      </c>
      <c r="E130" s="6">
        <f>D130*'16-PlantAdditions'!$E$103</f>
        <v>0</v>
      </c>
      <c r="F130" s="6">
        <f t="shared" si="41"/>
        <v>0</v>
      </c>
      <c r="G130" s="59">
        <v>0</v>
      </c>
      <c r="H130" s="59">
        <v>0</v>
      </c>
      <c r="I130" s="6">
        <f>(G130-H130)*'16-PlantAdditions'!$E$103</f>
        <v>0</v>
      </c>
      <c r="J130" s="6">
        <f t="shared" si="42"/>
        <v>0</v>
      </c>
      <c r="K130" s="237">
        <f t="shared" si="43"/>
        <v>0</v>
      </c>
    </row>
    <row r="131" spans="1:11">
      <c r="A131" s="2">
        <f t="shared" si="40"/>
        <v>91</v>
      </c>
      <c r="B131" s="331" t="s">
        <v>383</v>
      </c>
      <c r="C131" s="332">
        <v>2024</v>
      </c>
      <c r="D131" s="59">
        <v>0</v>
      </c>
      <c r="E131" s="6">
        <f>D131*'16-PlantAdditions'!$E$103</f>
        <v>0</v>
      </c>
      <c r="F131" s="6">
        <f t="shared" si="41"/>
        <v>0</v>
      </c>
      <c r="G131" s="59">
        <v>0</v>
      </c>
      <c r="H131" s="59">
        <v>0</v>
      </c>
      <c r="I131" s="6">
        <f>(G131-H131)*'16-PlantAdditions'!$E$103</f>
        <v>0</v>
      </c>
      <c r="J131" s="6">
        <f t="shared" si="42"/>
        <v>0</v>
      </c>
      <c r="K131" s="237">
        <f t="shared" si="43"/>
        <v>0</v>
      </c>
    </row>
    <row r="132" spans="1:11">
      <c r="A132" s="2">
        <f t="shared" si="40"/>
        <v>92</v>
      </c>
      <c r="B132" s="331" t="s">
        <v>384</v>
      </c>
      <c r="C132" s="332">
        <v>2024</v>
      </c>
      <c r="D132" s="59">
        <v>0</v>
      </c>
      <c r="E132" s="6">
        <f>D132*'16-PlantAdditions'!$E$103</f>
        <v>0</v>
      </c>
      <c r="F132" s="6">
        <f t="shared" si="41"/>
        <v>0</v>
      </c>
      <c r="G132" s="59">
        <v>0</v>
      </c>
      <c r="H132" s="59">
        <v>0</v>
      </c>
      <c r="I132" s="6">
        <f>(G132-H132)*'16-PlantAdditions'!$E$103</f>
        <v>0</v>
      </c>
      <c r="J132" s="6">
        <f t="shared" si="42"/>
        <v>0</v>
      </c>
      <c r="K132" s="237">
        <f t="shared" si="43"/>
        <v>0</v>
      </c>
    </row>
    <row r="133" spans="1:11">
      <c r="A133" s="2">
        <f t="shared" si="40"/>
        <v>93</v>
      </c>
      <c r="B133" s="331" t="s">
        <v>372</v>
      </c>
      <c r="C133" s="332">
        <v>2024</v>
      </c>
      <c r="D133" s="59">
        <v>0</v>
      </c>
      <c r="E133" s="6">
        <f>D133*'16-PlantAdditions'!$E$103</f>
        <v>0</v>
      </c>
      <c r="F133" s="6">
        <f t="shared" si="41"/>
        <v>0</v>
      </c>
      <c r="G133" s="59">
        <v>0</v>
      </c>
      <c r="H133" s="59">
        <v>0</v>
      </c>
      <c r="I133" s="6">
        <f>(G133-H133)*'16-PlantAdditions'!$E$103</f>
        <v>0</v>
      </c>
      <c r="J133" s="6">
        <f t="shared" si="42"/>
        <v>0</v>
      </c>
      <c r="K133" s="237">
        <f t="shared" si="43"/>
        <v>0</v>
      </c>
    </row>
    <row r="134" spans="1:11">
      <c r="A134" s="2">
        <f t="shared" si="40"/>
        <v>94</v>
      </c>
      <c r="B134" s="331" t="s">
        <v>374</v>
      </c>
      <c r="C134" s="332">
        <v>2025</v>
      </c>
      <c r="D134" s="59">
        <v>0</v>
      </c>
      <c r="E134" s="6">
        <f>D134*'16-PlantAdditions'!$E$103</f>
        <v>0</v>
      </c>
      <c r="F134" s="6">
        <f t="shared" si="41"/>
        <v>0</v>
      </c>
      <c r="G134" s="59">
        <v>0</v>
      </c>
      <c r="H134" s="59">
        <v>0</v>
      </c>
      <c r="I134" s="6">
        <f>(G134-H134)*'16-PlantAdditions'!$E$103</f>
        <v>0</v>
      </c>
      <c r="J134" s="6">
        <f t="shared" si="42"/>
        <v>0</v>
      </c>
      <c r="K134" s="237">
        <f t="shared" si="43"/>
        <v>0</v>
      </c>
    </row>
    <row r="135" spans="1:11">
      <c r="A135" s="2">
        <f t="shared" si="40"/>
        <v>95</v>
      </c>
      <c r="B135" s="331" t="s">
        <v>375</v>
      </c>
      <c r="C135" s="332">
        <v>2025</v>
      </c>
      <c r="D135" s="59">
        <v>0</v>
      </c>
      <c r="E135" s="6">
        <f>D135*'16-PlantAdditions'!$E$103</f>
        <v>0</v>
      </c>
      <c r="F135" s="6">
        <f t="shared" si="41"/>
        <v>0</v>
      </c>
      <c r="G135" s="59">
        <v>0</v>
      </c>
      <c r="H135" s="59">
        <v>0</v>
      </c>
      <c r="I135" s="6">
        <f>(G135-H135)*'16-PlantAdditions'!$E$103</f>
        <v>0</v>
      </c>
      <c r="J135" s="6">
        <f t="shared" si="42"/>
        <v>0</v>
      </c>
      <c r="K135" s="237">
        <f t="shared" si="43"/>
        <v>0</v>
      </c>
    </row>
    <row r="136" spans="1:11">
      <c r="A136" s="2">
        <f t="shared" si="40"/>
        <v>96</v>
      </c>
      <c r="B136" s="331" t="s">
        <v>376</v>
      </c>
      <c r="C136" s="332">
        <v>2025</v>
      </c>
      <c r="D136" s="59">
        <v>0</v>
      </c>
      <c r="E136" s="6">
        <f>D136*'16-PlantAdditions'!$E$103</f>
        <v>0</v>
      </c>
      <c r="F136" s="6">
        <f t="shared" si="41"/>
        <v>0</v>
      </c>
      <c r="G136" s="59">
        <v>0</v>
      </c>
      <c r="H136" s="59">
        <v>0</v>
      </c>
      <c r="I136" s="6">
        <f>(G136-H136)*'16-PlantAdditions'!$E$103</f>
        <v>0</v>
      </c>
      <c r="J136" s="6">
        <f t="shared" si="42"/>
        <v>0</v>
      </c>
      <c r="K136" s="237">
        <f t="shared" si="43"/>
        <v>0</v>
      </c>
    </row>
    <row r="137" spans="1:11">
      <c r="A137" s="2">
        <f t="shared" si="40"/>
        <v>97</v>
      </c>
      <c r="B137" s="331" t="s">
        <v>377</v>
      </c>
      <c r="C137" s="332">
        <v>2025</v>
      </c>
      <c r="D137" s="59">
        <v>0</v>
      </c>
      <c r="E137" s="6">
        <f>D137*'16-PlantAdditions'!$E$103</f>
        <v>0</v>
      </c>
      <c r="F137" s="6">
        <f t="shared" si="41"/>
        <v>0</v>
      </c>
      <c r="G137" s="59">
        <v>0</v>
      </c>
      <c r="H137" s="59">
        <v>0</v>
      </c>
      <c r="I137" s="6">
        <f>(G137-H137)*'16-PlantAdditions'!$E$103</f>
        <v>0</v>
      </c>
      <c r="J137" s="6">
        <f t="shared" si="42"/>
        <v>0</v>
      </c>
      <c r="K137" s="237">
        <f t="shared" si="43"/>
        <v>0</v>
      </c>
    </row>
    <row r="138" spans="1:11">
      <c r="A138" s="2">
        <f t="shared" si="40"/>
        <v>98</v>
      </c>
      <c r="B138" s="331" t="s">
        <v>378</v>
      </c>
      <c r="C138" s="332">
        <v>2025</v>
      </c>
      <c r="D138" s="59">
        <v>0</v>
      </c>
      <c r="E138" s="6">
        <f>D138*'16-PlantAdditions'!$E$103</f>
        <v>0</v>
      </c>
      <c r="F138" s="6">
        <f t="shared" si="41"/>
        <v>0</v>
      </c>
      <c r="G138" s="59">
        <v>0</v>
      </c>
      <c r="H138" s="59">
        <v>0</v>
      </c>
      <c r="I138" s="6">
        <f>(G138-H138)*'16-PlantAdditions'!$E$103</f>
        <v>0</v>
      </c>
      <c r="J138" s="6">
        <f t="shared" si="42"/>
        <v>0</v>
      </c>
      <c r="K138" s="237">
        <f t="shared" si="43"/>
        <v>0</v>
      </c>
    </row>
    <row r="139" spans="1:11">
      <c r="A139" s="2">
        <f t="shared" si="40"/>
        <v>99</v>
      </c>
      <c r="B139" s="331" t="s">
        <v>587</v>
      </c>
      <c r="C139" s="332">
        <v>2025</v>
      </c>
      <c r="D139" s="59">
        <v>0</v>
      </c>
      <c r="E139" s="6">
        <f>D139*'16-PlantAdditions'!$E$103</f>
        <v>0</v>
      </c>
      <c r="F139" s="6">
        <f t="shared" si="41"/>
        <v>0</v>
      </c>
      <c r="G139" s="59">
        <v>0</v>
      </c>
      <c r="H139" s="59">
        <v>0</v>
      </c>
      <c r="I139" s="6">
        <f>(G139-H139)*'16-PlantAdditions'!$E$103</f>
        <v>0</v>
      </c>
      <c r="J139" s="6">
        <f t="shared" si="42"/>
        <v>0</v>
      </c>
      <c r="K139" s="237">
        <f t="shared" si="43"/>
        <v>0</v>
      </c>
    </row>
    <row r="140" spans="1:11">
      <c r="A140" s="2">
        <f t="shared" si="40"/>
        <v>100</v>
      </c>
      <c r="B140" s="331" t="s">
        <v>380</v>
      </c>
      <c r="C140" s="332">
        <v>2025</v>
      </c>
      <c r="D140" s="59">
        <v>0</v>
      </c>
      <c r="E140" s="6">
        <f>D140*'16-PlantAdditions'!$E$103</f>
        <v>0</v>
      </c>
      <c r="F140" s="6">
        <f t="shared" si="41"/>
        <v>0</v>
      </c>
      <c r="G140" s="59">
        <v>0</v>
      </c>
      <c r="H140" s="59">
        <v>0</v>
      </c>
      <c r="I140" s="6">
        <f>(G140-H140)*'16-PlantAdditions'!$E$103</f>
        <v>0</v>
      </c>
      <c r="J140" s="6">
        <f t="shared" si="42"/>
        <v>0</v>
      </c>
      <c r="K140" s="237">
        <f t="shared" si="43"/>
        <v>0</v>
      </c>
    </row>
    <row r="141" spans="1:11">
      <c r="A141" s="2">
        <f t="shared" si="40"/>
        <v>101</v>
      </c>
      <c r="B141" s="331" t="s">
        <v>381</v>
      </c>
      <c r="C141" s="332">
        <v>2025</v>
      </c>
      <c r="D141" s="59">
        <v>0</v>
      </c>
      <c r="E141" s="6">
        <f>D141*'16-PlantAdditions'!$E$103</f>
        <v>0</v>
      </c>
      <c r="F141" s="6">
        <f t="shared" si="41"/>
        <v>0</v>
      </c>
      <c r="G141" s="59">
        <v>0</v>
      </c>
      <c r="H141" s="59">
        <v>0</v>
      </c>
      <c r="I141" s="6">
        <f>(G141-H141)*'16-PlantAdditions'!$E$103</f>
        <v>0</v>
      </c>
      <c r="J141" s="6">
        <f t="shared" si="42"/>
        <v>0</v>
      </c>
      <c r="K141" s="237">
        <f t="shared" si="43"/>
        <v>0</v>
      </c>
    </row>
    <row r="142" spans="1:11">
      <c r="A142" s="2">
        <f t="shared" si="40"/>
        <v>102</v>
      </c>
      <c r="B142" s="331" t="s">
        <v>382</v>
      </c>
      <c r="C142" s="332">
        <v>2025</v>
      </c>
      <c r="D142" s="59">
        <v>0</v>
      </c>
      <c r="E142" s="6">
        <f>D142*'16-PlantAdditions'!$E$103</f>
        <v>0</v>
      </c>
      <c r="F142" s="6">
        <f t="shared" si="41"/>
        <v>0</v>
      </c>
      <c r="G142" s="59">
        <v>0</v>
      </c>
      <c r="H142" s="59">
        <v>0</v>
      </c>
      <c r="I142" s="6">
        <f>(G142-H142)*'16-PlantAdditions'!$E$103</f>
        <v>0</v>
      </c>
      <c r="J142" s="6">
        <f t="shared" si="42"/>
        <v>0</v>
      </c>
      <c r="K142" s="237">
        <f t="shared" si="43"/>
        <v>0</v>
      </c>
    </row>
    <row r="143" spans="1:11">
      <c r="A143" s="2">
        <f t="shared" si="40"/>
        <v>103</v>
      </c>
      <c r="B143" s="331" t="s">
        <v>383</v>
      </c>
      <c r="C143" s="332">
        <v>2025</v>
      </c>
      <c r="D143" s="59">
        <v>0</v>
      </c>
      <c r="E143" s="6">
        <f>D143*'16-PlantAdditions'!$E$103</f>
        <v>0</v>
      </c>
      <c r="F143" s="6">
        <f t="shared" si="41"/>
        <v>0</v>
      </c>
      <c r="G143" s="59">
        <v>0</v>
      </c>
      <c r="H143" s="59">
        <v>0</v>
      </c>
      <c r="I143" s="6">
        <f>(G143-H143)*'16-PlantAdditions'!$E$103</f>
        <v>0</v>
      </c>
      <c r="J143" s="6">
        <f t="shared" si="42"/>
        <v>0</v>
      </c>
      <c r="K143" s="237">
        <f t="shared" si="43"/>
        <v>0</v>
      </c>
    </row>
    <row r="144" spans="1:11">
      <c r="A144" s="2">
        <f t="shared" si="40"/>
        <v>104</v>
      </c>
      <c r="B144" s="331" t="s">
        <v>384</v>
      </c>
      <c r="C144" s="332">
        <v>2025</v>
      </c>
      <c r="D144" s="59">
        <v>0</v>
      </c>
      <c r="E144" s="6">
        <f>D144*'16-PlantAdditions'!$E$103</f>
        <v>0</v>
      </c>
      <c r="F144" s="6">
        <f t="shared" si="41"/>
        <v>0</v>
      </c>
      <c r="G144" s="59">
        <v>0</v>
      </c>
      <c r="H144" s="59">
        <v>0</v>
      </c>
      <c r="I144" s="6">
        <f>(G144-H144)*'16-PlantAdditions'!$E$103</f>
        <v>0</v>
      </c>
      <c r="J144" s="6">
        <f t="shared" si="42"/>
        <v>0</v>
      </c>
      <c r="K144" s="237">
        <f t="shared" si="43"/>
        <v>0</v>
      </c>
    </row>
    <row r="145" spans="1:11">
      <c r="A145" s="2">
        <f t="shared" si="40"/>
        <v>105</v>
      </c>
      <c r="B145" s="331" t="s">
        <v>372</v>
      </c>
      <c r="C145" s="332">
        <v>2025</v>
      </c>
      <c r="D145" s="59">
        <v>0</v>
      </c>
      <c r="E145" s="6">
        <f>D145*'16-PlantAdditions'!$E$103</f>
        <v>0</v>
      </c>
      <c r="F145" s="6">
        <f t="shared" si="41"/>
        <v>0</v>
      </c>
      <c r="G145" s="59">
        <v>0</v>
      </c>
      <c r="H145" s="59">
        <v>0</v>
      </c>
      <c r="I145" s="6">
        <f>(G145-H145)*'16-PlantAdditions'!$E$103</f>
        <v>0</v>
      </c>
      <c r="J145" s="6">
        <f t="shared" si="42"/>
        <v>0</v>
      </c>
      <c r="K145" s="53">
        <f t="shared" si="43"/>
        <v>0</v>
      </c>
    </row>
    <row r="146" spans="1:11">
      <c r="A146" s="2">
        <f t="shared" si="40"/>
        <v>106</v>
      </c>
      <c r="C146" s="353" t="s">
        <v>990</v>
      </c>
      <c r="K146" s="42">
        <f>AVERAGE(K133:K145)</f>
        <v>0</v>
      </c>
    </row>
    <row r="147" spans="1:11">
      <c r="A147" s="2"/>
      <c r="C147" s="353"/>
      <c r="K147" s="42"/>
    </row>
    <row r="148" spans="1:11">
      <c r="B148" s="34" t="s">
        <v>1001</v>
      </c>
      <c r="D148" s="1109" t="s">
        <v>1002</v>
      </c>
      <c r="E148" s="1109"/>
    </row>
    <row r="149" spans="1:11">
      <c r="B149" s="34"/>
      <c r="D149" s="3" t="s">
        <v>329</v>
      </c>
      <c r="E149" s="3" t="s">
        <v>330</v>
      </c>
      <c r="F149" s="3" t="s">
        <v>331</v>
      </c>
      <c r="G149" s="3" t="s">
        <v>332</v>
      </c>
      <c r="H149" s="3" t="s">
        <v>333</v>
      </c>
      <c r="I149" s="3" t="s">
        <v>334</v>
      </c>
      <c r="J149" s="3" t="s">
        <v>335</v>
      </c>
      <c r="K149" s="3" t="s">
        <v>336</v>
      </c>
    </row>
    <row r="150" spans="1:11" ht="38.25">
      <c r="B150" s="34"/>
      <c r="D150" s="48"/>
      <c r="E150" s="354" t="s">
        <v>994</v>
      </c>
      <c r="F150" s="241" t="s">
        <v>995</v>
      </c>
      <c r="G150" s="241"/>
      <c r="H150" s="48"/>
      <c r="I150" s="354" t="s">
        <v>996</v>
      </c>
      <c r="J150" s="354" t="s">
        <v>997</v>
      </c>
      <c r="K150" s="354" t="s">
        <v>998</v>
      </c>
    </row>
    <row r="151" spans="1:11">
      <c r="D151" s="48"/>
      <c r="E151" s="48"/>
      <c r="F151" s="48"/>
      <c r="G151" s="2" t="str">
        <f>G51</f>
        <v>Unloaded</v>
      </c>
      <c r="H151" s="48"/>
      <c r="I151" s="48"/>
    </row>
    <row r="152" spans="1:11">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c r="A153" s="30" t="s">
        <v>266</v>
      </c>
      <c r="B153" s="330" t="s">
        <v>364</v>
      </c>
      <c r="C153" s="330" t="s">
        <v>365</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c r="A154" s="2">
        <f>A146+1</f>
        <v>107</v>
      </c>
      <c r="B154" s="331" t="s">
        <v>372</v>
      </c>
      <c r="C154" s="332">
        <v>2023</v>
      </c>
      <c r="D154" s="241" t="s">
        <v>373</v>
      </c>
      <c r="E154" s="241" t="s">
        <v>373</v>
      </c>
      <c r="F154" s="241" t="s">
        <v>373</v>
      </c>
      <c r="G154" s="241" t="s">
        <v>373</v>
      </c>
      <c r="H154" s="241" t="s">
        <v>373</v>
      </c>
      <c r="I154" s="241" t="s">
        <v>373</v>
      </c>
      <c r="J154" s="6">
        <f>G25</f>
        <v>6574677.9400000004</v>
      </c>
      <c r="K154" s="241" t="s">
        <v>373</v>
      </c>
    </row>
    <row r="155" spans="1:11">
      <c r="A155" s="2">
        <f>A154+1</f>
        <v>108</v>
      </c>
      <c r="B155" s="331" t="s">
        <v>374</v>
      </c>
      <c r="C155" s="332">
        <v>2024</v>
      </c>
      <c r="D155" s="59">
        <v>21137</v>
      </c>
      <c r="E155" s="6">
        <f>D155*'16-PlantAdditions'!$E$103</f>
        <v>1585.2749999999999</v>
      </c>
      <c r="F155" s="6">
        <f>E155+D155</f>
        <v>22722.275000000001</v>
      </c>
      <c r="G155" s="59">
        <v>0</v>
      </c>
      <c r="H155" s="59">
        <v>0</v>
      </c>
      <c r="I155" s="6">
        <f>(G155-H155)*'16-PlantAdditions'!$E$103</f>
        <v>0</v>
      </c>
      <c r="J155" s="6">
        <f>J154+F155-G155-I155</f>
        <v>6597400.2150000008</v>
      </c>
      <c r="K155" s="6">
        <f>J155-$J$154</f>
        <v>22722.275000000373</v>
      </c>
    </row>
    <row r="156" spans="1:11">
      <c r="A156" s="2">
        <f t="shared" ref="A156:A179" si="46">A155+1</f>
        <v>109</v>
      </c>
      <c r="B156" s="331" t="s">
        <v>375</v>
      </c>
      <c r="C156" s="332">
        <v>2024</v>
      </c>
      <c r="D156" s="59">
        <v>28863</v>
      </c>
      <c r="E156" s="6">
        <f>D156*'16-PlantAdditions'!$E$103</f>
        <v>2164.7249999999999</v>
      </c>
      <c r="F156" s="6">
        <f t="shared" ref="F156:F178" si="47">E156+D156</f>
        <v>31027.724999999999</v>
      </c>
      <c r="G156" s="59">
        <v>0</v>
      </c>
      <c r="H156" s="59">
        <v>0</v>
      </c>
      <c r="I156" s="6">
        <f>(G156-H156)*'16-PlantAdditions'!$E$103</f>
        <v>0</v>
      </c>
      <c r="J156" s="6">
        <f t="shared" ref="J156:J175" si="48">J155+F156-G156-I156</f>
        <v>6628427.9400000004</v>
      </c>
      <c r="K156" s="6">
        <f t="shared" ref="K156:K178" si="49">J156-$J$154</f>
        <v>53750</v>
      </c>
    </row>
    <row r="157" spans="1:11">
      <c r="A157" s="2">
        <f t="shared" si="46"/>
        <v>110</v>
      </c>
      <c r="B157" s="331" t="s">
        <v>376</v>
      </c>
      <c r="C157" s="332">
        <v>2024</v>
      </c>
      <c r="D157" s="59">
        <v>50000</v>
      </c>
      <c r="E157" s="6">
        <f>D157*'16-PlantAdditions'!$E$103</f>
        <v>3750</v>
      </c>
      <c r="F157" s="6">
        <f t="shared" si="47"/>
        <v>53750</v>
      </c>
      <c r="G157" s="59">
        <v>0</v>
      </c>
      <c r="H157" s="59">
        <v>0</v>
      </c>
      <c r="I157" s="6">
        <f>(G157-H157)*'16-PlantAdditions'!$E$103</f>
        <v>0</v>
      </c>
      <c r="J157" s="6">
        <f t="shared" si="48"/>
        <v>6682177.9400000004</v>
      </c>
      <c r="K157" s="6">
        <f t="shared" si="49"/>
        <v>107500</v>
      </c>
    </row>
    <row r="158" spans="1:11">
      <c r="A158" s="2">
        <f t="shared" si="46"/>
        <v>111</v>
      </c>
      <c r="B158" s="331" t="s">
        <v>377</v>
      </c>
      <c r="C158" s="332">
        <v>2024</v>
      </c>
      <c r="D158" s="59">
        <v>60000</v>
      </c>
      <c r="E158" s="6">
        <f>D158*'16-PlantAdditions'!$E$103</f>
        <v>4500</v>
      </c>
      <c r="F158" s="6">
        <f t="shared" si="47"/>
        <v>64500</v>
      </c>
      <c r="G158" s="59">
        <v>0</v>
      </c>
      <c r="H158" s="59">
        <v>0</v>
      </c>
      <c r="I158" s="6">
        <f>(G158-H158)*'16-PlantAdditions'!$E$103</f>
        <v>0</v>
      </c>
      <c r="J158" s="6">
        <f t="shared" si="48"/>
        <v>6746677.9400000004</v>
      </c>
      <c r="K158" s="6">
        <f t="shared" si="49"/>
        <v>172000</v>
      </c>
    </row>
    <row r="159" spans="1:11">
      <c r="A159" s="2">
        <f t="shared" si="46"/>
        <v>112</v>
      </c>
      <c r="B159" s="331" t="s">
        <v>378</v>
      </c>
      <c r="C159" s="332">
        <v>2024</v>
      </c>
      <c r="D159" s="59">
        <v>100000</v>
      </c>
      <c r="E159" s="6">
        <f>D159*'16-PlantAdditions'!$E$103</f>
        <v>7500</v>
      </c>
      <c r="F159" s="6">
        <f t="shared" si="47"/>
        <v>107500</v>
      </c>
      <c r="G159" s="59">
        <v>0</v>
      </c>
      <c r="H159" s="59">
        <v>0</v>
      </c>
      <c r="I159" s="6">
        <f>(G159-H159)*'16-PlantAdditions'!$E$103</f>
        <v>0</v>
      </c>
      <c r="J159" s="6">
        <f t="shared" si="48"/>
        <v>6854177.9400000004</v>
      </c>
      <c r="K159" s="6">
        <f t="shared" si="49"/>
        <v>279500</v>
      </c>
    </row>
    <row r="160" spans="1:11">
      <c r="A160" s="2">
        <f t="shared" si="46"/>
        <v>113</v>
      </c>
      <c r="B160" s="331" t="s">
        <v>587</v>
      </c>
      <c r="C160" s="332">
        <v>2024</v>
      </c>
      <c r="D160" s="59">
        <v>100000</v>
      </c>
      <c r="E160" s="6">
        <f>D160*'16-PlantAdditions'!$E$103</f>
        <v>7500</v>
      </c>
      <c r="F160" s="6">
        <f t="shared" si="47"/>
        <v>107500</v>
      </c>
      <c r="G160" s="59">
        <v>0</v>
      </c>
      <c r="H160" s="59">
        <v>0</v>
      </c>
      <c r="I160" s="6">
        <f>(G160-H160)*'16-PlantAdditions'!$E$103</f>
        <v>0</v>
      </c>
      <c r="J160" s="6">
        <f t="shared" si="48"/>
        <v>6961677.9400000004</v>
      </c>
      <c r="K160" s="6">
        <f t="shared" si="49"/>
        <v>387000</v>
      </c>
    </row>
    <row r="161" spans="1:11">
      <c r="A161" s="2">
        <f t="shared" si="46"/>
        <v>114</v>
      </c>
      <c r="B161" s="331" t="s">
        <v>380</v>
      </c>
      <c r="C161" s="332">
        <v>2024</v>
      </c>
      <c r="D161" s="59">
        <v>100000</v>
      </c>
      <c r="E161" s="6">
        <f>D161*'16-PlantAdditions'!$E$103</f>
        <v>7500</v>
      </c>
      <c r="F161" s="6">
        <f t="shared" si="47"/>
        <v>107500</v>
      </c>
      <c r="G161" s="59">
        <v>0</v>
      </c>
      <c r="H161" s="59">
        <v>0</v>
      </c>
      <c r="I161" s="6">
        <f>(G161-H161)*'16-PlantAdditions'!$E$103</f>
        <v>0</v>
      </c>
      <c r="J161" s="6">
        <f t="shared" si="48"/>
        <v>7069177.9400000004</v>
      </c>
      <c r="K161" s="6">
        <f t="shared" si="49"/>
        <v>494500</v>
      </c>
    </row>
    <row r="162" spans="1:11">
      <c r="A162" s="2">
        <f t="shared" si="46"/>
        <v>115</v>
      </c>
      <c r="B162" s="331" t="s">
        <v>381</v>
      </c>
      <c r="C162" s="332">
        <v>2024</v>
      </c>
      <c r="D162" s="59">
        <v>100000</v>
      </c>
      <c r="E162" s="6">
        <f>D162*'16-PlantAdditions'!$E$103</f>
        <v>7500</v>
      </c>
      <c r="F162" s="6">
        <f t="shared" si="47"/>
        <v>107500</v>
      </c>
      <c r="G162" s="59">
        <v>0</v>
      </c>
      <c r="H162" s="59">
        <v>0</v>
      </c>
      <c r="I162" s="6">
        <f>(G162-H162)*'16-PlantAdditions'!$E$103</f>
        <v>0</v>
      </c>
      <c r="J162" s="6">
        <f t="shared" si="48"/>
        <v>7176677.9400000004</v>
      </c>
      <c r="K162" s="6">
        <f t="shared" si="49"/>
        <v>602000</v>
      </c>
    </row>
    <row r="163" spans="1:11">
      <c r="A163" s="2">
        <f t="shared" si="46"/>
        <v>116</v>
      </c>
      <c r="B163" s="331" t="s">
        <v>382</v>
      </c>
      <c r="C163" s="332">
        <v>2024</v>
      </c>
      <c r="D163" s="59">
        <v>100000</v>
      </c>
      <c r="E163" s="6">
        <f>D163*'16-PlantAdditions'!$E$103</f>
        <v>7500</v>
      </c>
      <c r="F163" s="6">
        <f t="shared" si="47"/>
        <v>107500</v>
      </c>
      <c r="G163" s="59">
        <v>0</v>
      </c>
      <c r="H163" s="59">
        <v>0</v>
      </c>
      <c r="I163" s="6">
        <f>(G163-H163)*'16-PlantAdditions'!$E$103</f>
        <v>0</v>
      </c>
      <c r="J163" s="6">
        <f t="shared" si="48"/>
        <v>7284177.9400000004</v>
      </c>
      <c r="K163" s="6">
        <f t="shared" si="49"/>
        <v>709500</v>
      </c>
    </row>
    <row r="164" spans="1:11">
      <c r="A164" s="2">
        <f t="shared" si="46"/>
        <v>117</v>
      </c>
      <c r="B164" s="331" t="s">
        <v>383</v>
      </c>
      <c r="C164" s="332">
        <v>2024</v>
      </c>
      <c r="D164" s="59">
        <v>100000</v>
      </c>
      <c r="E164" s="6">
        <f>D164*'16-PlantAdditions'!$E$103</f>
        <v>7500</v>
      </c>
      <c r="F164" s="6">
        <f t="shared" si="47"/>
        <v>107500</v>
      </c>
      <c r="G164" s="59">
        <v>0</v>
      </c>
      <c r="H164" s="59">
        <v>0</v>
      </c>
      <c r="I164" s="6">
        <f>(G164-H164)*'16-PlantAdditions'!$E$103</f>
        <v>0</v>
      </c>
      <c r="J164" s="6">
        <f t="shared" si="48"/>
        <v>7391677.9400000004</v>
      </c>
      <c r="K164" s="6">
        <f t="shared" si="49"/>
        <v>817000</v>
      </c>
    </row>
    <row r="165" spans="1:11">
      <c r="A165" s="2">
        <f t="shared" si="46"/>
        <v>118</v>
      </c>
      <c r="B165" s="331" t="s">
        <v>384</v>
      </c>
      <c r="C165" s="332">
        <v>2024</v>
      </c>
      <c r="D165" s="59">
        <v>100000</v>
      </c>
      <c r="E165" s="6">
        <f>D165*'16-PlantAdditions'!$E$103</f>
        <v>7500</v>
      </c>
      <c r="F165" s="6">
        <f t="shared" si="47"/>
        <v>107500</v>
      </c>
      <c r="G165" s="59">
        <v>0</v>
      </c>
      <c r="H165" s="59">
        <v>0</v>
      </c>
      <c r="I165" s="6">
        <f>(G165-H165)*'16-PlantAdditions'!$E$103</f>
        <v>0</v>
      </c>
      <c r="J165" s="6">
        <f t="shared" si="48"/>
        <v>7499177.9400000004</v>
      </c>
      <c r="K165" s="6">
        <f t="shared" si="49"/>
        <v>924500</v>
      </c>
    </row>
    <row r="166" spans="1:11">
      <c r="A166" s="2">
        <f t="shared" si="46"/>
        <v>119</v>
      </c>
      <c r="B166" s="331" t="s">
        <v>372</v>
      </c>
      <c r="C166" s="332">
        <v>2024</v>
      </c>
      <c r="D166" s="59">
        <v>200000</v>
      </c>
      <c r="E166" s="6">
        <f>D166*'16-PlantAdditions'!$E$103</f>
        <v>15000</v>
      </c>
      <c r="F166" s="6">
        <f t="shared" si="47"/>
        <v>215000</v>
      </c>
      <c r="G166" s="59">
        <v>0</v>
      </c>
      <c r="H166" s="59">
        <v>0</v>
      </c>
      <c r="I166" s="6">
        <f>(G166-H166)*'16-PlantAdditions'!$E$103</f>
        <v>0</v>
      </c>
      <c r="J166" s="6">
        <f t="shared" si="48"/>
        <v>7714177.9400000004</v>
      </c>
      <c r="K166" s="6">
        <f t="shared" si="49"/>
        <v>1139500</v>
      </c>
    </row>
    <row r="167" spans="1:11">
      <c r="A167" s="2">
        <f t="shared" si="46"/>
        <v>120</v>
      </c>
      <c r="B167" s="331" t="s">
        <v>374</v>
      </c>
      <c r="C167" s="332">
        <v>2025</v>
      </c>
      <c r="D167" s="59">
        <v>100000</v>
      </c>
      <c r="E167" s="6">
        <f>D167*'16-PlantAdditions'!$E$103</f>
        <v>7500</v>
      </c>
      <c r="F167" s="6">
        <f t="shared" si="47"/>
        <v>107500</v>
      </c>
      <c r="G167" s="59">
        <v>0</v>
      </c>
      <c r="H167" s="59">
        <v>0</v>
      </c>
      <c r="I167" s="6">
        <f>(G167-H167)*'16-PlantAdditions'!$E$103</f>
        <v>0</v>
      </c>
      <c r="J167" s="6">
        <f t="shared" si="48"/>
        <v>7821677.9400000004</v>
      </c>
      <c r="K167" s="6">
        <f t="shared" si="49"/>
        <v>1247000</v>
      </c>
    </row>
    <row r="168" spans="1:11">
      <c r="A168" s="2">
        <f t="shared" si="46"/>
        <v>121</v>
      </c>
      <c r="B168" s="331" t="s">
        <v>375</v>
      </c>
      <c r="C168" s="332">
        <v>2025</v>
      </c>
      <c r="D168" s="59">
        <v>100000</v>
      </c>
      <c r="E168" s="6">
        <f>D168*'16-PlantAdditions'!$E$103</f>
        <v>7500</v>
      </c>
      <c r="F168" s="6">
        <f t="shared" si="47"/>
        <v>107500</v>
      </c>
      <c r="G168" s="59">
        <v>0</v>
      </c>
      <c r="H168" s="59">
        <v>0</v>
      </c>
      <c r="I168" s="6">
        <f>(G168-H168)*'16-PlantAdditions'!$E$103</f>
        <v>0</v>
      </c>
      <c r="J168" s="6">
        <f t="shared" si="48"/>
        <v>7929177.9400000004</v>
      </c>
      <c r="K168" s="6">
        <f t="shared" si="49"/>
        <v>1354500</v>
      </c>
    </row>
    <row r="169" spans="1:11">
      <c r="A169" s="2">
        <f t="shared" si="46"/>
        <v>122</v>
      </c>
      <c r="B169" s="331" t="s">
        <v>376</v>
      </c>
      <c r="C169" s="332">
        <v>2025</v>
      </c>
      <c r="D169" s="59">
        <v>100000</v>
      </c>
      <c r="E169" s="6">
        <f>D169*'16-PlantAdditions'!$E$103</f>
        <v>7500</v>
      </c>
      <c r="F169" s="6">
        <f t="shared" si="47"/>
        <v>107500</v>
      </c>
      <c r="G169" s="59">
        <v>0</v>
      </c>
      <c r="H169" s="59">
        <v>0</v>
      </c>
      <c r="I169" s="6">
        <f>(G169-H169)*'16-PlantAdditions'!$E$103</f>
        <v>0</v>
      </c>
      <c r="J169" s="6">
        <f t="shared" si="48"/>
        <v>8036677.9400000004</v>
      </c>
      <c r="K169" s="6">
        <f t="shared" si="49"/>
        <v>1462000</v>
      </c>
    </row>
    <row r="170" spans="1:11">
      <c r="A170" s="2">
        <f t="shared" si="46"/>
        <v>123</v>
      </c>
      <c r="B170" s="331" t="s">
        <v>377</v>
      </c>
      <c r="C170" s="332">
        <v>2025</v>
      </c>
      <c r="D170" s="59">
        <v>200000</v>
      </c>
      <c r="E170" s="6">
        <f>D170*'16-PlantAdditions'!$E$103</f>
        <v>15000</v>
      </c>
      <c r="F170" s="6">
        <f t="shared" si="47"/>
        <v>215000</v>
      </c>
      <c r="G170" s="59">
        <v>0</v>
      </c>
      <c r="H170" s="59">
        <v>0</v>
      </c>
      <c r="I170" s="6">
        <f>(G170-H170)*'16-PlantAdditions'!$E$103</f>
        <v>0</v>
      </c>
      <c r="J170" s="6">
        <f t="shared" si="48"/>
        <v>8251677.9400000004</v>
      </c>
      <c r="K170" s="6">
        <f t="shared" si="49"/>
        <v>1677000</v>
      </c>
    </row>
    <row r="171" spans="1:11">
      <c r="A171" s="2">
        <f t="shared" si="46"/>
        <v>124</v>
      </c>
      <c r="B171" s="331" t="s">
        <v>378</v>
      </c>
      <c r="C171" s="332">
        <v>2025</v>
      </c>
      <c r="D171" s="59">
        <v>200000</v>
      </c>
      <c r="E171" s="6">
        <f>D171*'16-PlantAdditions'!$E$103</f>
        <v>15000</v>
      </c>
      <c r="F171" s="6">
        <f t="shared" si="47"/>
        <v>215000</v>
      </c>
      <c r="G171" s="59">
        <v>0</v>
      </c>
      <c r="H171" s="59">
        <v>0</v>
      </c>
      <c r="I171" s="6">
        <f>(G171-H171)*'16-PlantAdditions'!$E$103</f>
        <v>0</v>
      </c>
      <c r="J171" s="6">
        <f t="shared" si="48"/>
        <v>8466677.9400000013</v>
      </c>
      <c r="K171" s="6">
        <f t="shared" si="49"/>
        <v>1892000.0000000009</v>
      </c>
    </row>
    <row r="172" spans="1:11">
      <c r="A172" s="2">
        <f t="shared" si="46"/>
        <v>125</v>
      </c>
      <c r="B172" s="331" t="s">
        <v>587</v>
      </c>
      <c r="C172" s="332">
        <v>2025</v>
      </c>
      <c r="D172" s="59">
        <v>200000</v>
      </c>
      <c r="E172" s="6">
        <f>D172*'16-PlantAdditions'!$E$103</f>
        <v>15000</v>
      </c>
      <c r="F172" s="6">
        <f t="shared" si="47"/>
        <v>215000</v>
      </c>
      <c r="G172" s="59">
        <v>0</v>
      </c>
      <c r="H172" s="59">
        <v>0</v>
      </c>
      <c r="I172" s="6">
        <f>(G172-H172)*'16-PlantAdditions'!$E$103</f>
        <v>0</v>
      </c>
      <c r="J172" s="6">
        <f t="shared" si="48"/>
        <v>8681677.9400000013</v>
      </c>
      <c r="K172" s="6">
        <f t="shared" si="49"/>
        <v>2107000.0000000009</v>
      </c>
    </row>
    <row r="173" spans="1:11">
      <c r="A173" s="2">
        <f t="shared" si="46"/>
        <v>126</v>
      </c>
      <c r="B173" s="331" t="s">
        <v>380</v>
      </c>
      <c r="C173" s="332">
        <v>2025</v>
      </c>
      <c r="D173" s="59">
        <v>400000</v>
      </c>
      <c r="E173" s="6">
        <f>D173*'16-PlantAdditions'!$E$103</f>
        <v>30000</v>
      </c>
      <c r="F173" s="6">
        <f t="shared" si="47"/>
        <v>430000</v>
      </c>
      <c r="G173" s="59">
        <v>0</v>
      </c>
      <c r="H173" s="59">
        <v>0</v>
      </c>
      <c r="I173" s="6">
        <f>(G173-H173)*'16-PlantAdditions'!$E$103</f>
        <v>0</v>
      </c>
      <c r="J173" s="6">
        <f t="shared" si="48"/>
        <v>9111677.9400000013</v>
      </c>
      <c r="K173" s="6">
        <f t="shared" si="49"/>
        <v>2537000.0000000009</v>
      </c>
    </row>
    <row r="174" spans="1:11">
      <c r="A174" s="2">
        <f t="shared" si="46"/>
        <v>127</v>
      </c>
      <c r="B174" s="331" t="s">
        <v>381</v>
      </c>
      <c r="C174" s="332">
        <v>2025</v>
      </c>
      <c r="D174" s="59">
        <v>400000</v>
      </c>
      <c r="E174" s="6">
        <f>D174*'16-PlantAdditions'!$E$103</f>
        <v>30000</v>
      </c>
      <c r="F174" s="6">
        <f t="shared" si="47"/>
        <v>430000</v>
      </c>
      <c r="G174" s="59">
        <v>0</v>
      </c>
      <c r="H174" s="59">
        <v>0</v>
      </c>
      <c r="I174" s="6">
        <f>(G174-H174)*'16-PlantAdditions'!$E$103</f>
        <v>0</v>
      </c>
      <c r="J174" s="6">
        <f t="shared" si="48"/>
        <v>9541677.9400000013</v>
      </c>
      <c r="K174" s="6">
        <f t="shared" si="49"/>
        <v>2967000.0000000009</v>
      </c>
    </row>
    <row r="175" spans="1:11">
      <c r="A175" s="2">
        <f t="shared" si="46"/>
        <v>128</v>
      </c>
      <c r="B175" s="331" t="s">
        <v>382</v>
      </c>
      <c r="C175" s="332">
        <v>2025</v>
      </c>
      <c r="D175" s="59">
        <v>400000</v>
      </c>
      <c r="E175" s="6">
        <f>D175*'16-PlantAdditions'!$E$103</f>
        <v>30000</v>
      </c>
      <c r="F175" s="6">
        <f t="shared" si="47"/>
        <v>430000</v>
      </c>
      <c r="G175" s="59">
        <v>0</v>
      </c>
      <c r="H175" s="59">
        <v>0</v>
      </c>
      <c r="I175" s="6">
        <f>(G175-H175)*'16-PlantAdditions'!$E$103</f>
        <v>0</v>
      </c>
      <c r="J175" s="6">
        <f t="shared" si="48"/>
        <v>9971677.9400000013</v>
      </c>
      <c r="K175" s="6">
        <f t="shared" si="49"/>
        <v>3397000.0000000009</v>
      </c>
    </row>
    <row r="176" spans="1:11">
      <c r="A176" s="2">
        <f t="shared" si="46"/>
        <v>129</v>
      </c>
      <c r="B176" s="331" t="s">
        <v>383</v>
      </c>
      <c r="C176" s="332">
        <v>2025</v>
      </c>
      <c r="D176" s="59">
        <v>500000</v>
      </c>
      <c r="E176" s="6">
        <f>D176*'16-PlantAdditions'!$E$103</f>
        <v>37500</v>
      </c>
      <c r="F176" s="6">
        <f t="shared" si="47"/>
        <v>537500</v>
      </c>
      <c r="G176" s="59">
        <v>0</v>
      </c>
      <c r="H176" s="59">
        <v>0</v>
      </c>
      <c r="I176" s="6">
        <f>(G176-H176)*'16-PlantAdditions'!$E$103</f>
        <v>0</v>
      </c>
      <c r="J176" s="6">
        <f t="shared" ref="J176:J178" si="50">J175+F176-G176-I176</f>
        <v>10509177.940000001</v>
      </c>
      <c r="K176" s="6">
        <f t="shared" si="49"/>
        <v>3934500.0000000009</v>
      </c>
    </row>
    <row r="177" spans="1:11">
      <c r="A177" s="2">
        <f t="shared" si="46"/>
        <v>130</v>
      </c>
      <c r="B177" s="331" t="s">
        <v>384</v>
      </c>
      <c r="C177" s="332">
        <v>2025</v>
      </c>
      <c r="D177" s="59">
        <v>500000</v>
      </c>
      <c r="E177" s="6">
        <f>D177*'16-PlantAdditions'!$E$103</f>
        <v>37500</v>
      </c>
      <c r="F177" s="6">
        <f t="shared" si="47"/>
        <v>537500</v>
      </c>
      <c r="G177" s="59">
        <v>0</v>
      </c>
      <c r="H177" s="59">
        <v>0</v>
      </c>
      <c r="I177" s="6">
        <f>(G177-H177)*'16-PlantAdditions'!$E$103</f>
        <v>0</v>
      </c>
      <c r="J177" s="6">
        <f t="shared" si="50"/>
        <v>11046677.940000001</v>
      </c>
      <c r="K177" s="6">
        <f t="shared" si="49"/>
        <v>4472000.0000000009</v>
      </c>
    </row>
    <row r="178" spans="1:11">
      <c r="A178" s="2">
        <f t="shared" si="46"/>
        <v>131</v>
      </c>
      <c r="B178" s="331" t="s">
        <v>372</v>
      </c>
      <c r="C178" s="332">
        <v>2025</v>
      </c>
      <c r="D178" s="59">
        <v>668000</v>
      </c>
      <c r="E178" s="6">
        <f>D178*'16-PlantAdditions'!$E$103</f>
        <v>50100</v>
      </c>
      <c r="F178" s="6">
        <f t="shared" si="47"/>
        <v>718100</v>
      </c>
      <c r="G178" s="59">
        <v>0</v>
      </c>
      <c r="H178" s="59">
        <v>0</v>
      </c>
      <c r="I178" s="6">
        <f>(G178-H178)*'16-PlantAdditions'!$E$103</f>
        <v>0</v>
      </c>
      <c r="J178" s="6">
        <f t="shared" si="50"/>
        <v>11764777.940000001</v>
      </c>
      <c r="K178" s="53">
        <f t="shared" si="49"/>
        <v>5190100.0000000009</v>
      </c>
    </row>
    <row r="179" spans="1:11">
      <c r="A179" s="2">
        <f t="shared" si="46"/>
        <v>132</v>
      </c>
      <c r="C179" s="353" t="s">
        <v>990</v>
      </c>
      <c r="K179" s="42">
        <f>AVERAGE(K166:K178)</f>
        <v>2567430.769230769</v>
      </c>
    </row>
    <row r="180" spans="1:11">
      <c r="A180" s="2"/>
      <c r="C180" s="353"/>
      <c r="K180" s="42"/>
    </row>
    <row r="181" spans="1:11">
      <c r="B181" s="34" t="s">
        <v>1003</v>
      </c>
      <c r="D181" s="1109" t="s">
        <v>1004</v>
      </c>
      <c r="E181" s="1109"/>
    </row>
    <row r="182" spans="1:11">
      <c r="A182" s="3"/>
      <c r="B182" s="3"/>
      <c r="C182" s="3"/>
      <c r="D182" s="3" t="s">
        <v>329</v>
      </c>
      <c r="E182" s="3" t="s">
        <v>330</v>
      </c>
      <c r="F182" s="3" t="s">
        <v>331</v>
      </c>
      <c r="G182" s="3" t="s">
        <v>332</v>
      </c>
      <c r="H182" s="3" t="s">
        <v>333</v>
      </c>
      <c r="I182" s="3" t="s">
        <v>334</v>
      </c>
      <c r="J182" s="3" t="s">
        <v>335</v>
      </c>
      <c r="K182" s="3" t="s">
        <v>336</v>
      </c>
    </row>
    <row r="183" spans="1:11" ht="38.25">
      <c r="D183" s="48"/>
      <c r="E183" s="354" t="s">
        <v>994</v>
      </c>
      <c r="F183" s="241" t="s">
        <v>995</v>
      </c>
      <c r="G183" s="241"/>
      <c r="H183" s="48"/>
      <c r="I183" s="354" t="s">
        <v>996</v>
      </c>
      <c r="J183" s="354" t="s">
        <v>997</v>
      </c>
      <c r="K183" s="354" t="s">
        <v>998</v>
      </c>
    </row>
    <row r="184" spans="1:11">
      <c r="D184" s="48"/>
      <c r="E184" s="354"/>
      <c r="F184" s="241"/>
      <c r="G184" s="4" t="str">
        <f>G51</f>
        <v>Unloaded</v>
      </c>
      <c r="H184" s="48"/>
      <c r="I184" s="354"/>
      <c r="J184" s="354"/>
      <c r="K184" s="354"/>
    </row>
    <row r="185" spans="1:11">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c r="A186" s="30" t="s">
        <v>266</v>
      </c>
      <c r="B186" s="330" t="s">
        <v>364</v>
      </c>
      <c r="C186" s="330" t="s">
        <v>365</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c r="A187" s="2">
        <f>A179+1</f>
        <v>133</v>
      </c>
      <c r="B187" s="331" t="s">
        <v>372</v>
      </c>
      <c r="C187" s="332">
        <v>2023</v>
      </c>
      <c r="D187" s="241" t="s">
        <v>373</v>
      </c>
      <c r="E187" s="241" t="s">
        <v>373</v>
      </c>
      <c r="F187" s="241" t="s">
        <v>373</v>
      </c>
      <c r="G187" s="241" t="s">
        <v>373</v>
      </c>
      <c r="H187" s="241" t="s">
        <v>373</v>
      </c>
      <c r="I187" s="241" t="s">
        <v>373</v>
      </c>
      <c r="J187" s="6">
        <f>H25</f>
        <v>6858895.8200000003</v>
      </c>
      <c r="K187" s="241" t="s">
        <v>373</v>
      </c>
    </row>
    <row r="188" spans="1:11">
      <c r="A188" s="2">
        <f>A187+1</f>
        <v>134</v>
      </c>
      <c r="B188" s="331" t="s">
        <v>374</v>
      </c>
      <c r="C188" s="332">
        <v>2024</v>
      </c>
      <c r="D188" s="59">
        <v>81082.000000000015</v>
      </c>
      <c r="E188" s="6">
        <f>D188*'16-PlantAdditions'!$E$103</f>
        <v>6081.1500000000005</v>
      </c>
      <c r="F188" s="6">
        <f>E188+D188</f>
        <v>87163.150000000009</v>
      </c>
      <c r="G188" s="59">
        <v>73087</v>
      </c>
      <c r="H188" s="59">
        <v>0</v>
      </c>
      <c r="I188" s="6">
        <f>(G188-H188)*'16-PlantAdditions'!$E$103</f>
        <v>5481.5249999999996</v>
      </c>
      <c r="J188" s="6">
        <f>J187+F188-G188-I188</f>
        <v>6867490.4450000003</v>
      </c>
      <c r="K188" s="6">
        <f>J188-$J$187</f>
        <v>8594.625</v>
      </c>
    </row>
    <row r="189" spans="1:11">
      <c r="A189" s="2">
        <f t="shared" ref="A189:A212" si="53">A188+1</f>
        <v>135</v>
      </c>
      <c r="B189" s="331" t="s">
        <v>375</v>
      </c>
      <c r="C189" s="332">
        <v>2024</v>
      </c>
      <c r="D189" s="59">
        <v>40000</v>
      </c>
      <c r="E189" s="6">
        <f>D189*'16-PlantAdditions'!$E$103</f>
        <v>3000</v>
      </c>
      <c r="F189" s="6">
        <f t="shared" ref="F189:F208" si="54">E189+D189</f>
        <v>43000</v>
      </c>
      <c r="G189" s="59">
        <v>30000</v>
      </c>
      <c r="H189" s="59">
        <v>0</v>
      </c>
      <c r="I189" s="6">
        <f>(G189-H189)*'16-PlantAdditions'!$E$103</f>
        <v>2250</v>
      </c>
      <c r="J189" s="6">
        <f t="shared" ref="J189:J208" si="55">J188+F189-G189-I189</f>
        <v>6878240.4450000003</v>
      </c>
      <c r="K189" s="6">
        <f t="shared" ref="K189:K211" si="56">J189-$J$187</f>
        <v>19344.625</v>
      </c>
    </row>
    <row r="190" spans="1:11">
      <c r="A190" s="2">
        <f t="shared" si="53"/>
        <v>136</v>
      </c>
      <c r="B190" s="331" t="s">
        <v>376</v>
      </c>
      <c r="C190" s="332">
        <v>2024</v>
      </c>
      <c r="D190" s="59">
        <v>50000</v>
      </c>
      <c r="E190" s="6">
        <f>D190*'16-PlantAdditions'!$E$103</f>
        <v>3750</v>
      </c>
      <c r="F190" s="6">
        <f t="shared" si="54"/>
        <v>53750</v>
      </c>
      <c r="G190" s="59">
        <v>30000</v>
      </c>
      <c r="H190" s="59">
        <v>0</v>
      </c>
      <c r="I190" s="6">
        <f>(G190-H190)*'16-PlantAdditions'!$E$103</f>
        <v>2250</v>
      </c>
      <c r="J190" s="6">
        <f t="shared" si="55"/>
        <v>6899740.4450000003</v>
      </c>
      <c r="K190" s="6">
        <f t="shared" si="56"/>
        <v>40844.625</v>
      </c>
    </row>
    <row r="191" spans="1:11">
      <c r="A191" s="2">
        <f t="shared" si="53"/>
        <v>137</v>
      </c>
      <c r="B191" s="331" t="s">
        <v>377</v>
      </c>
      <c r="C191" s="332">
        <v>2024</v>
      </c>
      <c r="D191" s="59">
        <v>50000</v>
      </c>
      <c r="E191" s="6">
        <f>D191*'16-PlantAdditions'!$E$103</f>
        <v>3750</v>
      </c>
      <c r="F191" s="6">
        <f t="shared" si="54"/>
        <v>53750</v>
      </c>
      <c r="G191" s="59">
        <v>30000</v>
      </c>
      <c r="H191" s="59">
        <v>0</v>
      </c>
      <c r="I191" s="6">
        <f>(G191-H191)*'16-PlantAdditions'!$E$103</f>
        <v>2250</v>
      </c>
      <c r="J191" s="6">
        <f t="shared" si="55"/>
        <v>6921240.4450000003</v>
      </c>
      <c r="K191" s="6">
        <f t="shared" si="56"/>
        <v>62344.625</v>
      </c>
    </row>
    <row r="192" spans="1:11">
      <c r="A192" s="2">
        <f t="shared" si="53"/>
        <v>138</v>
      </c>
      <c r="B192" s="331" t="s">
        <v>378</v>
      </c>
      <c r="C192" s="332">
        <v>2024</v>
      </c>
      <c r="D192" s="59">
        <v>50000</v>
      </c>
      <c r="E192" s="6">
        <f>D192*'16-PlantAdditions'!$E$103</f>
        <v>3750</v>
      </c>
      <c r="F192" s="6">
        <f t="shared" si="54"/>
        <v>53750</v>
      </c>
      <c r="G192" s="59">
        <v>30000</v>
      </c>
      <c r="H192" s="59">
        <v>0</v>
      </c>
      <c r="I192" s="6">
        <f>(G192-H192)*'16-PlantAdditions'!$E$103</f>
        <v>2250</v>
      </c>
      <c r="J192" s="6">
        <f t="shared" si="55"/>
        <v>6942740.4450000003</v>
      </c>
      <c r="K192" s="6">
        <f t="shared" si="56"/>
        <v>83844.625</v>
      </c>
    </row>
    <row r="193" spans="1:11">
      <c r="A193" s="2">
        <f t="shared" si="53"/>
        <v>139</v>
      </c>
      <c r="B193" s="331" t="s">
        <v>587</v>
      </c>
      <c r="C193" s="332">
        <v>2024</v>
      </c>
      <c r="D193" s="59">
        <v>50000</v>
      </c>
      <c r="E193" s="6">
        <f>D193*'16-PlantAdditions'!$E$103</f>
        <v>3750</v>
      </c>
      <c r="F193" s="6">
        <f t="shared" si="54"/>
        <v>53750</v>
      </c>
      <c r="G193" s="59">
        <v>6986890.8200000003</v>
      </c>
      <c r="H193" s="59">
        <v>6858895.8200000003</v>
      </c>
      <c r="I193" s="6">
        <f>(G193-H193)*'16-PlantAdditions'!$E$103</f>
        <v>9599.625</v>
      </c>
      <c r="J193" s="6">
        <f t="shared" si="55"/>
        <v>0</v>
      </c>
      <c r="K193" s="6">
        <f t="shared" si="56"/>
        <v>-6858895.8200000003</v>
      </c>
    </row>
    <row r="194" spans="1:11">
      <c r="A194" s="2">
        <f t="shared" si="53"/>
        <v>140</v>
      </c>
      <c r="B194" s="331" t="s">
        <v>380</v>
      </c>
      <c r="C194" s="332">
        <v>2024</v>
      </c>
      <c r="D194" s="59">
        <v>50000</v>
      </c>
      <c r="E194" s="6">
        <f>D194*'16-PlantAdditions'!$E$103</f>
        <v>3750</v>
      </c>
      <c r="F194" s="6">
        <f t="shared" si="54"/>
        <v>53750</v>
      </c>
      <c r="G194" s="59">
        <v>50000</v>
      </c>
      <c r="H194" s="59">
        <v>0</v>
      </c>
      <c r="I194" s="6">
        <f>(G194-H194)*'16-PlantAdditions'!$E$103</f>
        <v>3750</v>
      </c>
      <c r="J194" s="6">
        <f t="shared" si="55"/>
        <v>0</v>
      </c>
      <c r="K194" s="6">
        <f t="shared" si="56"/>
        <v>-6858895.8200000003</v>
      </c>
    </row>
    <row r="195" spans="1:11">
      <c r="A195" s="2">
        <f t="shared" si="53"/>
        <v>141</v>
      </c>
      <c r="B195" s="331" t="s">
        <v>381</v>
      </c>
      <c r="C195" s="332">
        <v>2024</v>
      </c>
      <c r="D195" s="59">
        <v>50000</v>
      </c>
      <c r="E195" s="6">
        <f>D195*'16-PlantAdditions'!$E$103</f>
        <v>3750</v>
      </c>
      <c r="F195" s="6">
        <f t="shared" si="54"/>
        <v>53750</v>
      </c>
      <c r="G195" s="59">
        <v>50000</v>
      </c>
      <c r="H195" s="59">
        <v>0</v>
      </c>
      <c r="I195" s="6">
        <f>(G195-H195)*'16-PlantAdditions'!$E$103</f>
        <v>3750</v>
      </c>
      <c r="J195" s="6">
        <f t="shared" si="55"/>
        <v>0</v>
      </c>
      <c r="K195" s="6">
        <f t="shared" si="56"/>
        <v>-6858895.8200000003</v>
      </c>
    </row>
    <row r="196" spans="1:11">
      <c r="A196" s="2">
        <f t="shared" si="53"/>
        <v>142</v>
      </c>
      <c r="B196" s="331" t="s">
        <v>382</v>
      </c>
      <c r="C196" s="332">
        <v>2024</v>
      </c>
      <c r="D196" s="59">
        <v>716913</v>
      </c>
      <c r="E196" s="6">
        <f>D196*'16-PlantAdditions'!$E$103</f>
        <v>53768.474999999999</v>
      </c>
      <c r="F196" s="6">
        <f t="shared" si="54"/>
        <v>770681.47499999998</v>
      </c>
      <c r="G196" s="59">
        <v>716913</v>
      </c>
      <c r="H196" s="59">
        <v>0</v>
      </c>
      <c r="I196" s="6">
        <f>(G196-H196)*'16-PlantAdditions'!$E$103</f>
        <v>53768.474999999999</v>
      </c>
      <c r="J196" s="6">
        <f t="shared" si="55"/>
        <v>0</v>
      </c>
      <c r="K196" s="6">
        <f t="shared" si="56"/>
        <v>-6858895.8200000003</v>
      </c>
    </row>
    <row r="197" spans="1:11">
      <c r="A197" s="2">
        <f t="shared" si="53"/>
        <v>143</v>
      </c>
      <c r="B197" s="331" t="s">
        <v>383</v>
      </c>
      <c r="C197" s="332">
        <v>2024</v>
      </c>
      <c r="D197" s="59">
        <v>50000</v>
      </c>
      <c r="E197" s="6">
        <f>D197*'16-PlantAdditions'!$E$103</f>
        <v>3750</v>
      </c>
      <c r="F197" s="6">
        <f t="shared" si="54"/>
        <v>53750</v>
      </c>
      <c r="G197" s="59">
        <v>50000</v>
      </c>
      <c r="H197" s="59">
        <v>0</v>
      </c>
      <c r="I197" s="6">
        <f>(G197-H197)*'16-PlantAdditions'!$E$103</f>
        <v>3750</v>
      </c>
      <c r="J197" s="6">
        <f t="shared" si="55"/>
        <v>0</v>
      </c>
      <c r="K197" s="6">
        <f t="shared" si="56"/>
        <v>-6858895.8200000003</v>
      </c>
    </row>
    <row r="198" spans="1:11">
      <c r="A198" s="2">
        <f t="shared" si="53"/>
        <v>144</v>
      </c>
      <c r="B198" s="331" t="s">
        <v>384</v>
      </c>
      <c r="C198" s="332">
        <v>2024</v>
      </c>
      <c r="D198" s="59">
        <v>50000</v>
      </c>
      <c r="E198" s="6">
        <f>D198*'16-PlantAdditions'!$E$103</f>
        <v>3750</v>
      </c>
      <c r="F198" s="6">
        <f t="shared" si="54"/>
        <v>53750</v>
      </c>
      <c r="G198" s="59">
        <v>50000</v>
      </c>
      <c r="H198" s="59">
        <v>0</v>
      </c>
      <c r="I198" s="6">
        <f>(G198-H198)*'16-PlantAdditions'!$E$103</f>
        <v>3750</v>
      </c>
      <c r="J198" s="6">
        <f t="shared" si="55"/>
        <v>0</v>
      </c>
      <c r="K198" s="6">
        <f t="shared" si="56"/>
        <v>-6858895.8200000003</v>
      </c>
    </row>
    <row r="199" spans="1:11">
      <c r="A199" s="2">
        <f t="shared" si="53"/>
        <v>145</v>
      </c>
      <c r="B199" s="331" t="s">
        <v>372</v>
      </c>
      <c r="C199" s="332">
        <v>2024</v>
      </c>
      <c r="D199" s="59">
        <v>62005</v>
      </c>
      <c r="E199" s="6">
        <f>D199*'16-PlantAdditions'!$E$103</f>
        <v>4650.375</v>
      </c>
      <c r="F199" s="6">
        <f t="shared" si="54"/>
        <v>66655.375</v>
      </c>
      <c r="G199" s="59">
        <v>62005</v>
      </c>
      <c r="H199" s="59">
        <v>0</v>
      </c>
      <c r="I199" s="6">
        <f>(G199-H199)*'16-PlantAdditions'!$E$103</f>
        <v>4650.375</v>
      </c>
      <c r="J199" s="6">
        <f t="shared" si="55"/>
        <v>0</v>
      </c>
      <c r="K199" s="6">
        <f t="shared" si="56"/>
        <v>-6858895.8200000003</v>
      </c>
    </row>
    <row r="200" spans="1:11">
      <c r="A200" s="2">
        <f t="shared" si="53"/>
        <v>146</v>
      </c>
      <c r="B200" s="331" t="s">
        <v>374</v>
      </c>
      <c r="C200" s="332">
        <v>2025</v>
      </c>
      <c r="D200" s="59">
        <v>0</v>
      </c>
      <c r="E200" s="6">
        <f>D200*'16-PlantAdditions'!$E$103</f>
        <v>0</v>
      </c>
      <c r="F200" s="6">
        <f t="shared" si="54"/>
        <v>0</v>
      </c>
      <c r="G200" s="59">
        <v>0</v>
      </c>
      <c r="H200" s="59">
        <v>0</v>
      </c>
      <c r="I200" s="6">
        <f>(G200-H200)*'16-PlantAdditions'!$E$103</f>
        <v>0</v>
      </c>
      <c r="J200" s="6">
        <f t="shared" si="55"/>
        <v>0</v>
      </c>
      <c r="K200" s="6">
        <f t="shared" si="56"/>
        <v>-6858895.8200000003</v>
      </c>
    </row>
    <row r="201" spans="1:11">
      <c r="A201" s="2">
        <f t="shared" si="53"/>
        <v>147</v>
      </c>
      <c r="B201" s="331" t="s">
        <v>375</v>
      </c>
      <c r="C201" s="332">
        <v>2025</v>
      </c>
      <c r="D201" s="59">
        <v>0</v>
      </c>
      <c r="E201" s="6">
        <f>D201*'16-PlantAdditions'!$E$103</f>
        <v>0</v>
      </c>
      <c r="F201" s="6">
        <f t="shared" si="54"/>
        <v>0</v>
      </c>
      <c r="G201" s="59">
        <v>0</v>
      </c>
      <c r="H201" s="59">
        <v>0</v>
      </c>
      <c r="I201" s="6">
        <f>(G201-H201)*'16-PlantAdditions'!$E$103</f>
        <v>0</v>
      </c>
      <c r="J201" s="6">
        <f t="shared" si="55"/>
        <v>0</v>
      </c>
      <c r="K201" s="6">
        <f t="shared" si="56"/>
        <v>-6858895.8200000003</v>
      </c>
    </row>
    <row r="202" spans="1:11">
      <c r="A202" s="2">
        <f t="shared" si="53"/>
        <v>148</v>
      </c>
      <c r="B202" s="331" t="s">
        <v>376</v>
      </c>
      <c r="C202" s="332">
        <v>2025</v>
      </c>
      <c r="D202" s="59">
        <v>0</v>
      </c>
      <c r="E202" s="6">
        <f>D202*'16-PlantAdditions'!$E$103</f>
        <v>0</v>
      </c>
      <c r="F202" s="6">
        <f t="shared" si="54"/>
        <v>0</v>
      </c>
      <c r="G202" s="59">
        <v>0</v>
      </c>
      <c r="H202" s="59">
        <v>0</v>
      </c>
      <c r="I202" s="6">
        <f>(G202-H202)*'16-PlantAdditions'!$E$103</f>
        <v>0</v>
      </c>
      <c r="J202" s="6">
        <f t="shared" si="55"/>
        <v>0</v>
      </c>
      <c r="K202" s="6">
        <f t="shared" si="56"/>
        <v>-6858895.8200000003</v>
      </c>
    </row>
    <row r="203" spans="1:11">
      <c r="A203" s="2">
        <f t="shared" si="53"/>
        <v>149</v>
      </c>
      <c r="B203" s="331" t="s">
        <v>377</v>
      </c>
      <c r="C203" s="332">
        <v>2025</v>
      </c>
      <c r="D203" s="59">
        <v>0</v>
      </c>
      <c r="E203" s="6">
        <f>D203*'16-PlantAdditions'!$E$103</f>
        <v>0</v>
      </c>
      <c r="F203" s="6">
        <f t="shared" si="54"/>
        <v>0</v>
      </c>
      <c r="G203" s="59">
        <v>0</v>
      </c>
      <c r="H203" s="59">
        <v>0</v>
      </c>
      <c r="I203" s="6">
        <f>(G203-H203)*'16-PlantAdditions'!$E$103</f>
        <v>0</v>
      </c>
      <c r="J203" s="6">
        <f t="shared" si="55"/>
        <v>0</v>
      </c>
      <c r="K203" s="6">
        <f t="shared" si="56"/>
        <v>-6858895.8200000003</v>
      </c>
    </row>
    <row r="204" spans="1:11">
      <c r="A204" s="2">
        <f t="shared" si="53"/>
        <v>150</v>
      </c>
      <c r="B204" s="331" t="s">
        <v>378</v>
      </c>
      <c r="C204" s="332">
        <v>2025</v>
      </c>
      <c r="D204" s="59">
        <v>0</v>
      </c>
      <c r="E204" s="6">
        <f>D204*'16-PlantAdditions'!$E$103</f>
        <v>0</v>
      </c>
      <c r="F204" s="6">
        <f t="shared" si="54"/>
        <v>0</v>
      </c>
      <c r="G204" s="59">
        <v>0</v>
      </c>
      <c r="H204" s="59">
        <v>0</v>
      </c>
      <c r="I204" s="6">
        <f>(G204-H204)*'16-PlantAdditions'!$E$103</f>
        <v>0</v>
      </c>
      <c r="J204" s="6">
        <f t="shared" si="55"/>
        <v>0</v>
      </c>
      <c r="K204" s="6">
        <f t="shared" si="56"/>
        <v>-6858895.8200000003</v>
      </c>
    </row>
    <row r="205" spans="1:11">
      <c r="A205" s="2">
        <f t="shared" si="53"/>
        <v>151</v>
      </c>
      <c r="B205" s="331" t="s">
        <v>587</v>
      </c>
      <c r="C205" s="332">
        <v>2025</v>
      </c>
      <c r="D205" s="59">
        <v>0</v>
      </c>
      <c r="E205" s="6">
        <f>D205*'16-PlantAdditions'!$E$103</f>
        <v>0</v>
      </c>
      <c r="F205" s="6">
        <f t="shared" si="54"/>
        <v>0</v>
      </c>
      <c r="G205" s="59">
        <v>0</v>
      </c>
      <c r="H205" s="59">
        <v>0</v>
      </c>
      <c r="I205" s="6">
        <f>(G205-H205)*'16-PlantAdditions'!$E$103</f>
        <v>0</v>
      </c>
      <c r="J205" s="6">
        <f t="shared" si="55"/>
        <v>0</v>
      </c>
      <c r="K205" s="6">
        <f t="shared" si="56"/>
        <v>-6858895.8200000003</v>
      </c>
    </row>
    <row r="206" spans="1:11">
      <c r="A206" s="2">
        <f t="shared" si="53"/>
        <v>152</v>
      </c>
      <c r="B206" s="331" t="s">
        <v>380</v>
      </c>
      <c r="C206" s="332">
        <v>2025</v>
      </c>
      <c r="D206" s="59">
        <v>0</v>
      </c>
      <c r="E206" s="6">
        <f>D206*'16-PlantAdditions'!$E$103</f>
        <v>0</v>
      </c>
      <c r="F206" s="6">
        <f t="shared" si="54"/>
        <v>0</v>
      </c>
      <c r="G206" s="59">
        <v>0</v>
      </c>
      <c r="H206" s="59">
        <v>0</v>
      </c>
      <c r="I206" s="6">
        <f>(G206-H206)*'16-PlantAdditions'!$E$103</f>
        <v>0</v>
      </c>
      <c r="J206" s="6">
        <f t="shared" si="55"/>
        <v>0</v>
      </c>
      <c r="K206" s="6">
        <f t="shared" si="56"/>
        <v>-6858895.8200000003</v>
      </c>
    </row>
    <row r="207" spans="1:11">
      <c r="A207" s="2">
        <f t="shared" si="53"/>
        <v>153</v>
      </c>
      <c r="B207" s="331" t="s">
        <v>381</v>
      </c>
      <c r="C207" s="332">
        <v>2025</v>
      </c>
      <c r="D207" s="59">
        <v>0</v>
      </c>
      <c r="E207" s="6">
        <f>D207*'16-PlantAdditions'!$E$103</f>
        <v>0</v>
      </c>
      <c r="F207" s="6">
        <f t="shared" si="54"/>
        <v>0</v>
      </c>
      <c r="G207" s="59">
        <v>0</v>
      </c>
      <c r="H207" s="59">
        <v>0</v>
      </c>
      <c r="I207" s="6">
        <f>(G207-H207)*'16-PlantAdditions'!$E$103</f>
        <v>0</v>
      </c>
      <c r="J207" s="6">
        <f t="shared" si="55"/>
        <v>0</v>
      </c>
      <c r="K207" s="6">
        <f t="shared" si="56"/>
        <v>-6858895.8200000003</v>
      </c>
    </row>
    <row r="208" spans="1:11">
      <c r="A208" s="2">
        <f t="shared" si="53"/>
        <v>154</v>
      </c>
      <c r="B208" s="331" t="s">
        <v>382</v>
      </c>
      <c r="C208" s="332">
        <v>2025</v>
      </c>
      <c r="D208" s="59">
        <v>0</v>
      </c>
      <c r="E208" s="6">
        <f>D208*'16-PlantAdditions'!$E$103</f>
        <v>0</v>
      </c>
      <c r="F208" s="6">
        <f t="shared" si="54"/>
        <v>0</v>
      </c>
      <c r="G208" s="59">
        <v>0</v>
      </c>
      <c r="H208" s="59">
        <v>0</v>
      </c>
      <c r="I208" s="6">
        <f>(G208-H208)*'16-PlantAdditions'!$E$103</f>
        <v>0</v>
      </c>
      <c r="J208" s="6">
        <f t="shared" si="55"/>
        <v>0</v>
      </c>
      <c r="K208" s="6">
        <f t="shared" si="56"/>
        <v>-6858895.8200000003</v>
      </c>
    </row>
    <row r="209" spans="1:11">
      <c r="A209" s="2">
        <f t="shared" si="53"/>
        <v>155</v>
      </c>
      <c r="B209" s="331" t="s">
        <v>383</v>
      </c>
      <c r="C209" s="332">
        <v>2025</v>
      </c>
      <c r="D209" s="59">
        <v>0</v>
      </c>
      <c r="E209" s="6">
        <f>D209*'16-PlantAdditions'!$E$103</f>
        <v>0</v>
      </c>
      <c r="F209" s="6">
        <f t="shared" ref="F209:F211" si="57">E209+D209</f>
        <v>0</v>
      </c>
      <c r="G209" s="59">
        <v>0</v>
      </c>
      <c r="H209" s="59">
        <v>0</v>
      </c>
      <c r="I209" s="6">
        <f>(G209-H209)*'16-PlantAdditions'!$E$103</f>
        <v>0</v>
      </c>
      <c r="J209" s="6">
        <f t="shared" ref="J209:J211" si="58">J208+F209-G209-I209</f>
        <v>0</v>
      </c>
      <c r="K209" s="6">
        <f t="shared" si="56"/>
        <v>-6858895.8200000003</v>
      </c>
    </row>
    <row r="210" spans="1:11">
      <c r="A210" s="2">
        <f t="shared" si="53"/>
        <v>156</v>
      </c>
      <c r="B210" s="331" t="s">
        <v>384</v>
      </c>
      <c r="C210" s="332">
        <v>2025</v>
      </c>
      <c r="D210" s="59">
        <v>0</v>
      </c>
      <c r="E210" s="6">
        <f>D210*'16-PlantAdditions'!$E$103</f>
        <v>0</v>
      </c>
      <c r="F210" s="6">
        <f t="shared" si="57"/>
        <v>0</v>
      </c>
      <c r="G210" s="59">
        <v>0</v>
      </c>
      <c r="H210" s="59">
        <v>0</v>
      </c>
      <c r="I210" s="6">
        <f>(G210-H210)*'16-PlantAdditions'!$E$103</f>
        <v>0</v>
      </c>
      <c r="J210" s="6">
        <f t="shared" si="58"/>
        <v>0</v>
      </c>
      <c r="K210" s="6">
        <f t="shared" si="56"/>
        <v>-6858895.8200000003</v>
      </c>
    </row>
    <row r="211" spans="1:11">
      <c r="A211" s="2">
        <f t="shared" si="53"/>
        <v>157</v>
      </c>
      <c r="B211" s="331" t="s">
        <v>372</v>
      </c>
      <c r="C211" s="332">
        <v>2025</v>
      </c>
      <c r="D211" s="59">
        <v>0</v>
      </c>
      <c r="E211" s="6">
        <f>D211*'16-PlantAdditions'!$E$103</f>
        <v>0</v>
      </c>
      <c r="F211" s="6">
        <f t="shared" si="57"/>
        <v>0</v>
      </c>
      <c r="G211" s="59">
        <v>0</v>
      </c>
      <c r="H211" s="59">
        <v>0</v>
      </c>
      <c r="I211" s="6">
        <f>(G211-H211)*'16-PlantAdditions'!$E$103</f>
        <v>0</v>
      </c>
      <c r="J211" s="6">
        <f t="shared" si="58"/>
        <v>0</v>
      </c>
      <c r="K211" s="53">
        <f t="shared" si="56"/>
        <v>-6858895.8200000003</v>
      </c>
    </row>
    <row r="212" spans="1:11">
      <c r="A212" s="2">
        <f t="shared" si="53"/>
        <v>158</v>
      </c>
      <c r="C212" s="353" t="s">
        <v>990</v>
      </c>
      <c r="K212" s="42">
        <f>AVERAGE(K199:K211)</f>
        <v>-6858895.8199999994</v>
      </c>
    </row>
    <row r="213" spans="1:11">
      <c r="A213" s="2"/>
      <c r="C213" s="353"/>
      <c r="K213" s="42"/>
    </row>
    <row r="214" spans="1:11">
      <c r="B214" s="34" t="s">
        <v>1005</v>
      </c>
      <c r="D214" s="1109" t="s">
        <v>962</v>
      </c>
      <c r="E214" s="1109"/>
    </row>
    <row r="215" spans="1:11">
      <c r="B215" s="34"/>
      <c r="D215" s="3" t="s">
        <v>329</v>
      </c>
      <c r="E215" s="3" t="s">
        <v>330</v>
      </c>
      <c r="F215" s="3" t="s">
        <v>331</v>
      </c>
      <c r="G215" s="3" t="s">
        <v>332</v>
      </c>
      <c r="H215" s="3" t="s">
        <v>333</v>
      </c>
      <c r="I215" s="3" t="s">
        <v>334</v>
      </c>
      <c r="J215" s="3" t="s">
        <v>335</v>
      </c>
      <c r="K215" s="3" t="s">
        <v>336</v>
      </c>
    </row>
    <row r="216" spans="1:11" ht="38.25">
      <c r="B216" s="34"/>
      <c r="D216" s="48"/>
      <c r="E216" s="354" t="s">
        <v>994</v>
      </c>
      <c r="F216" s="241" t="s">
        <v>995</v>
      </c>
      <c r="G216" s="241"/>
      <c r="H216" s="48"/>
      <c r="I216" s="354" t="s">
        <v>996</v>
      </c>
      <c r="J216" s="354" t="s">
        <v>997</v>
      </c>
      <c r="K216" s="354" t="s">
        <v>998</v>
      </c>
    </row>
    <row r="217" spans="1:11">
      <c r="D217" s="48"/>
      <c r="E217" s="48"/>
      <c r="F217" s="48"/>
      <c r="G217" s="2" t="str">
        <f>G51</f>
        <v>Unloaded</v>
      </c>
      <c r="H217" s="48"/>
      <c r="I217" s="48"/>
    </row>
    <row r="218" spans="1:11">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c r="A219" s="30" t="s">
        <v>266</v>
      </c>
      <c r="B219" s="330" t="s">
        <v>364</v>
      </c>
      <c r="C219" s="330" t="s">
        <v>365</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c r="A220" s="2">
        <f>A212+1</f>
        <v>159</v>
      </c>
      <c r="B220" s="331" t="s">
        <v>372</v>
      </c>
      <c r="C220" s="332">
        <v>2023</v>
      </c>
      <c r="D220" s="241" t="s">
        <v>373</v>
      </c>
      <c r="E220" s="241" t="s">
        <v>373</v>
      </c>
      <c r="F220" s="241" t="s">
        <v>373</v>
      </c>
      <c r="G220" s="241" t="s">
        <v>373</v>
      </c>
      <c r="H220" s="241" t="s">
        <v>373</v>
      </c>
      <c r="I220" s="241" t="s">
        <v>373</v>
      </c>
      <c r="J220" s="6">
        <f>I25</f>
        <v>0</v>
      </c>
      <c r="K220" s="241" t="s">
        <v>373</v>
      </c>
    </row>
    <row r="221" spans="1:11">
      <c r="A221" s="2">
        <f>A220+1</f>
        <v>160</v>
      </c>
      <c r="B221" s="331" t="s">
        <v>374</v>
      </c>
      <c r="C221" s="332">
        <v>2024</v>
      </c>
      <c r="D221" s="59">
        <v>0</v>
      </c>
      <c r="E221" s="6">
        <f>D221*'16-PlantAdditions'!$E$103</f>
        <v>0</v>
      </c>
      <c r="F221" s="6">
        <f>E221+D221</f>
        <v>0</v>
      </c>
      <c r="G221" s="59">
        <v>0</v>
      </c>
      <c r="H221" s="59">
        <v>0</v>
      </c>
      <c r="I221" s="6">
        <f>(G221-H221)*'16-PlantAdditions'!$E$103</f>
        <v>0</v>
      </c>
      <c r="J221" s="6">
        <f>J220+F221-G221-I221</f>
        <v>0</v>
      </c>
      <c r="K221" s="6">
        <f>J221-$J$220</f>
        <v>0</v>
      </c>
    </row>
    <row r="222" spans="1:11">
      <c r="A222" s="2">
        <f t="shared" ref="A222:A245" si="61">A221+1</f>
        <v>161</v>
      </c>
      <c r="B222" s="331" t="s">
        <v>375</v>
      </c>
      <c r="C222" s="332">
        <v>2024</v>
      </c>
      <c r="D222" s="59">
        <v>0</v>
      </c>
      <c r="E222" s="6">
        <f>D222*'16-PlantAdditions'!$E$103</f>
        <v>0</v>
      </c>
      <c r="F222" s="6">
        <f t="shared" ref="F222:F241" si="62">E222+D222</f>
        <v>0</v>
      </c>
      <c r="G222" s="59">
        <v>0</v>
      </c>
      <c r="H222" s="59">
        <v>0</v>
      </c>
      <c r="I222" s="6">
        <f>(G222-H222)*'16-PlantAdditions'!$E$103</f>
        <v>0</v>
      </c>
      <c r="J222" s="6">
        <f t="shared" ref="J222:J241" si="63">J221+F222-G222-I222</f>
        <v>0</v>
      </c>
      <c r="K222" s="6">
        <f t="shared" ref="K222:K244" si="64">J222-$J$220</f>
        <v>0</v>
      </c>
    </row>
    <row r="223" spans="1:11">
      <c r="A223" s="2">
        <f t="shared" si="61"/>
        <v>162</v>
      </c>
      <c r="B223" s="331" t="s">
        <v>376</v>
      </c>
      <c r="C223" s="332">
        <v>2024</v>
      </c>
      <c r="D223" s="59">
        <v>0</v>
      </c>
      <c r="E223" s="6">
        <f>D223*'16-PlantAdditions'!$E$103</f>
        <v>0</v>
      </c>
      <c r="F223" s="6">
        <f t="shared" si="62"/>
        <v>0</v>
      </c>
      <c r="G223" s="59">
        <v>0</v>
      </c>
      <c r="H223" s="59">
        <v>0</v>
      </c>
      <c r="I223" s="6">
        <f>(G223-H223)*'16-PlantAdditions'!$E$103</f>
        <v>0</v>
      </c>
      <c r="J223" s="6">
        <f t="shared" si="63"/>
        <v>0</v>
      </c>
      <c r="K223" s="6">
        <f t="shared" si="64"/>
        <v>0</v>
      </c>
    </row>
    <row r="224" spans="1:11">
      <c r="A224" s="2">
        <f t="shared" si="61"/>
        <v>163</v>
      </c>
      <c r="B224" s="331" t="s">
        <v>377</v>
      </c>
      <c r="C224" s="332">
        <v>2024</v>
      </c>
      <c r="D224" s="59">
        <v>0</v>
      </c>
      <c r="E224" s="6">
        <f>D224*'16-PlantAdditions'!$E$103</f>
        <v>0</v>
      </c>
      <c r="F224" s="6">
        <f t="shared" si="62"/>
        <v>0</v>
      </c>
      <c r="G224" s="59">
        <v>0</v>
      </c>
      <c r="H224" s="59">
        <v>0</v>
      </c>
      <c r="I224" s="6">
        <f>(G224-H224)*'16-PlantAdditions'!$E$103</f>
        <v>0</v>
      </c>
      <c r="J224" s="6">
        <f t="shared" si="63"/>
        <v>0</v>
      </c>
      <c r="K224" s="6">
        <f t="shared" si="64"/>
        <v>0</v>
      </c>
    </row>
    <row r="225" spans="1:11">
      <c r="A225" s="2">
        <f t="shared" si="61"/>
        <v>164</v>
      </c>
      <c r="B225" s="331" t="s">
        <v>378</v>
      </c>
      <c r="C225" s="332">
        <v>2024</v>
      </c>
      <c r="D225" s="59">
        <v>0</v>
      </c>
      <c r="E225" s="6">
        <f>D225*'16-PlantAdditions'!$E$103</f>
        <v>0</v>
      </c>
      <c r="F225" s="6">
        <f t="shared" si="62"/>
        <v>0</v>
      </c>
      <c r="G225" s="59">
        <v>0</v>
      </c>
      <c r="H225" s="59">
        <v>0</v>
      </c>
      <c r="I225" s="6">
        <f>(G225-H225)*'16-PlantAdditions'!$E$103</f>
        <v>0</v>
      </c>
      <c r="J225" s="6">
        <f t="shared" si="63"/>
        <v>0</v>
      </c>
      <c r="K225" s="6">
        <f t="shared" si="64"/>
        <v>0</v>
      </c>
    </row>
    <row r="226" spans="1:11">
      <c r="A226" s="2">
        <f t="shared" si="61"/>
        <v>165</v>
      </c>
      <c r="B226" s="331" t="s">
        <v>587</v>
      </c>
      <c r="C226" s="332">
        <v>2024</v>
      </c>
      <c r="D226" s="59">
        <v>0</v>
      </c>
      <c r="E226" s="6">
        <f>D226*'16-PlantAdditions'!$E$103</f>
        <v>0</v>
      </c>
      <c r="F226" s="6">
        <f t="shared" si="62"/>
        <v>0</v>
      </c>
      <c r="G226" s="59">
        <v>0</v>
      </c>
      <c r="H226" s="59">
        <v>0</v>
      </c>
      <c r="I226" s="6">
        <f>(G226-H226)*'16-PlantAdditions'!$E$103</f>
        <v>0</v>
      </c>
      <c r="J226" s="6">
        <f t="shared" si="63"/>
        <v>0</v>
      </c>
      <c r="K226" s="6">
        <f t="shared" si="64"/>
        <v>0</v>
      </c>
    </row>
    <row r="227" spans="1:11">
      <c r="A227" s="2">
        <f t="shared" si="61"/>
        <v>166</v>
      </c>
      <c r="B227" s="331" t="s">
        <v>380</v>
      </c>
      <c r="C227" s="332">
        <v>2024</v>
      </c>
      <c r="D227" s="59">
        <v>0</v>
      </c>
      <c r="E227" s="6">
        <f>D227*'16-PlantAdditions'!$E$103</f>
        <v>0</v>
      </c>
      <c r="F227" s="6">
        <f t="shared" si="62"/>
        <v>0</v>
      </c>
      <c r="G227" s="59">
        <v>0</v>
      </c>
      <c r="H227" s="59">
        <v>0</v>
      </c>
      <c r="I227" s="6">
        <f>(G227-H227)*'16-PlantAdditions'!$E$103</f>
        <v>0</v>
      </c>
      <c r="J227" s="6">
        <f t="shared" si="63"/>
        <v>0</v>
      </c>
      <c r="K227" s="6">
        <f t="shared" si="64"/>
        <v>0</v>
      </c>
    </row>
    <row r="228" spans="1:11">
      <c r="A228" s="2">
        <f t="shared" si="61"/>
        <v>167</v>
      </c>
      <c r="B228" s="331" t="s">
        <v>381</v>
      </c>
      <c r="C228" s="332">
        <v>2024</v>
      </c>
      <c r="D228" s="59">
        <v>0</v>
      </c>
      <c r="E228" s="6">
        <f>D228*'16-PlantAdditions'!$E$103</f>
        <v>0</v>
      </c>
      <c r="F228" s="6">
        <f t="shared" si="62"/>
        <v>0</v>
      </c>
      <c r="G228" s="59">
        <v>0</v>
      </c>
      <c r="H228" s="59">
        <v>0</v>
      </c>
      <c r="I228" s="6">
        <f>(G228-H228)*'16-PlantAdditions'!$E$103</f>
        <v>0</v>
      </c>
      <c r="J228" s="6">
        <f t="shared" si="63"/>
        <v>0</v>
      </c>
      <c r="K228" s="6">
        <f t="shared" si="64"/>
        <v>0</v>
      </c>
    </row>
    <row r="229" spans="1:11">
      <c r="A229" s="2">
        <f t="shared" si="61"/>
        <v>168</v>
      </c>
      <c r="B229" s="331" t="s">
        <v>382</v>
      </c>
      <c r="C229" s="332">
        <v>2024</v>
      </c>
      <c r="D229" s="59">
        <v>0</v>
      </c>
      <c r="E229" s="6">
        <f>D229*'16-PlantAdditions'!$E$103</f>
        <v>0</v>
      </c>
      <c r="F229" s="6">
        <f t="shared" si="62"/>
        <v>0</v>
      </c>
      <c r="G229" s="59">
        <v>0</v>
      </c>
      <c r="H229" s="59">
        <v>0</v>
      </c>
      <c r="I229" s="6">
        <f>(G229-H229)*'16-PlantAdditions'!$E$103</f>
        <v>0</v>
      </c>
      <c r="J229" s="6">
        <f t="shared" si="63"/>
        <v>0</v>
      </c>
      <c r="K229" s="6">
        <f t="shared" si="64"/>
        <v>0</v>
      </c>
    </row>
    <row r="230" spans="1:11">
      <c r="A230" s="2">
        <f t="shared" si="61"/>
        <v>169</v>
      </c>
      <c r="B230" s="331" t="s">
        <v>383</v>
      </c>
      <c r="C230" s="332">
        <v>2024</v>
      </c>
      <c r="D230" s="59">
        <v>0</v>
      </c>
      <c r="E230" s="6">
        <f>D230*'16-PlantAdditions'!$E$103</f>
        <v>0</v>
      </c>
      <c r="F230" s="6">
        <f t="shared" si="62"/>
        <v>0</v>
      </c>
      <c r="G230" s="59">
        <v>0</v>
      </c>
      <c r="H230" s="59">
        <v>0</v>
      </c>
      <c r="I230" s="6">
        <f>(G230-H230)*'16-PlantAdditions'!$E$103</f>
        <v>0</v>
      </c>
      <c r="J230" s="6">
        <f t="shared" si="63"/>
        <v>0</v>
      </c>
      <c r="K230" s="6">
        <f t="shared" si="64"/>
        <v>0</v>
      </c>
    </row>
    <row r="231" spans="1:11">
      <c r="A231" s="2">
        <f t="shared" si="61"/>
        <v>170</v>
      </c>
      <c r="B231" s="331" t="s">
        <v>384</v>
      </c>
      <c r="C231" s="332">
        <v>2024</v>
      </c>
      <c r="D231" s="59">
        <v>0</v>
      </c>
      <c r="E231" s="6">
        <f>D231*'16-PlantAdditions'!$E$103</f>
        <v>0</v>
      </c>
      <c r="F231" s="6">
        <f t="shared" si="62"/>
        <v>0</v>
      </c>
      <c r="G231" s="59">
        <v>0</v>
      </c>
      <c r="H231" s="59">
        <v>0</v>
      </c>
      <c r="I231" s="6">
        <f>(G231-H231)*'16-PlantAdditions'!$E$103</f>
        <v>0</v>
      </c>
      <c r="J231" s="6">
        <f t="shared" si="63"/>
        <v>0</v>
      </c>
      <c r="K231" s="6">
        <f t="shared" si="64"/>
        <v>0</v>
      </c>
    </row>
    <row r="232" spans="1:11">
      <c r="A232" s="2">
        <f t="shared" si="61"/>
        <v>171</v>
      </c>
      <c r="B232" s="331" t="s">
        <v>372</v>
      </c>
      <c r="C232" s="332">
        <v>2024</v>
      </c>
      <c r="D232" s="59">
        <v>0</v>
      </c>
      <c r="E232" s="6">
        <f>D232*'16-PlantAdditions'!$E$103</f>
        <v>0</v>
      </c>
      <c r="F232" s="6">
        <f t="shared" si="62"/>
        <v>0</v>
      </c>
      <c r="G232" s="59">
        <v>0</v>
      </c>
      <c r="H232" s="59">
        <v>0</v>
      </c>
      <c r="I232" s="6">
        <f>(G232-H232)*'16-PlantAdditions'!$E$103</f>
        <v>0</v>
      </c>
      <c r="J232" s="6">
        <f t="shared" si="63"/>
        <v>0</v>
      </c>
      <c r="K232" s="6">
        <f t="shared" si="64"/>
        <v>0</v>
      </c>
    </row>
    <row r="233" spans="1:11">
      <c r="A233" s="2">
        <f t="shared" si="61"/>
        <v>172</v>
      </c>
      <c r="B233" s="331" t="s">
        <v>374</v>
      </c>
      <c r="C233" s="332">
        <v>2025</v>
      </c>
      <c r="D233" s="59">
        <v>0</v>
      </c>
      <c r="E233" s="6">
        <f>D233*'16-PlantAdditions'!$E$103</f>
        <v>0</v>
      </c>
      <c r="F233" s="6">
        <f t="shared" si="62"/>
        <v>0</v>
      </c>
      <c r="G233" s="59">
        <v>0</v>
      </c>
      <c r="H233" s="59">
        <v>0</v>
      </c>
      <c r="I233" s="6">
        <f>(G233-H233)*'16-PlantAdditions'!$E$103</f>
        <v>0</v>
      </c>
      <c r="J233" s="6">
        <f t="shared" si="63"/>
        <v>0</v>
      </c>
      <c r="K233" s="6">
        <f t="shared" si="64"/>
        <v>0</v>
      </c>
    </row>
    <row r="234" spans="1:11">
      <c r="A234" s="2">
        <f t="shared" si="61"/>
        <v>173</v>
      </c>
      <c r="B234" s="331" t="s">
        <v>375</v>
      </c>
      <c r="C234" s="332">
        <v>2025</v>
      </c>
      <c r="D234" s="59">
        <v>0</v>
      </c>
      <c r="E234" s="6">
        <f>D234*'16-PlantAdditions'!$E$103</f>
        <v>0</v>
      </c>
      <c r="F234" s="6">
        <f t="shared" si="62"/>
        <v>0</v>
      </c>
      <c r="G234" s="59">
        <v>0</v>
      </c>
      <c r="H234" s="59">
        <v>0</v>
      </c>
      <c r="I234" s="6">
        <f>(G234-H234)*'16-PlantAdditions'!$E$103</f>
        <v>0</v>
      </c>
      <c r="J234" s="6">
        <f t="shared" si="63"/>
        <v>0</v>
      </c>
      <c r="K234" s="6">
        <f t="shared" si="64"/>
        <v>0</v>
      </c>
    </row>
    <row r="235" spans="1:11">
      <c r="A235" s="2">
        <f t="shared" si="61"/>
        <v>174</v>
      </c>
      <c r="B235" s="331" t="s">
        <v>376</v>
      </c>
      <c r="C235" s="332">
        <v>2025</v>
      </c>
      <c r="D235" s="59">
        <v>0</v>
      </c>
      <c r="E235" s="6">
        <f>D235*'16-PlantAdditions'!$E$103</f>
        <v>0</v>
      </c>
      <c r="F235" s="6">
        <f t="shared" si="62"/>
        <v>0</v>
      </c>
      <c r="G235" s="59">
        <v>0</v>
      </c>
      <c r="H235" s="59">
        <v>0</v>
      </c>
      <c r="I235" s="6">
        <f>(G235-H235)*'16-PlantAdditions'!$E$103</f>
        <v>0</v>
      </c>
      <c r="J235" s="6">
        <f t="shared" si="63"/>
        <v>0</v>
      </c>
      <c r="K235" s="6">
        <f t="shared" si="64"/>
        <v>0</v>
      </c>
    </row>
    <row r="236" spans="1:11">
      <c r="A236" s="2">
        <f t="shared" si="61"/>
        <v>175</v>
      </c>
      <c r="B236" s="331" t="s">
        <v>377</v>
      </c>
      <c r="C236" s="332">
        <v>2025</v>
      </c>
      <c r="D236" s="59">
        <v>0</v>
      </c>
      <c r="E236" s="6">
        <f>D236*'16-PlantAdditions'!$E$103</f>
        <v>0</v>
      </c>
      <c r="F236" s="6">
        <f t="shared" si="62"/>
        <v>0</v>
      </c>
      <c r="G236" s="59">
        <v>0</v>
      </c>
      <c r="H236" s="59">
        <v>0</v>
      </c>
      <c r="I236" s="6">
        <f>(G236-H236)*'16-PlantAdditions'!$E$103</f>
        <v>0</v>
      </c>
      <c r="J236" s="6">
        <f t="shared" si="63"/>
        <v>0</v>
      </c>
      <c r="K236" s="6">
        <f t="shared" si="64"/>
        <v>0</v>
      </c>
    </row>
    <row r="237" spans="1:11">
      <c r="A237" s="2">
        <f t="shared" si="61"/>
        <v>176</v>
      </c>
      <c r="B237" s="331" t="s">
        <v>378</v>
      </c>
      <c r="C237" s="332">
        <v>2025</v>
      </c>
      <c r="D237" s="59">
        <v>0</v>
      </c>
      <c r="E237" s="6">
        <f>D237*'16-PlantAdditions'!$E$103</f>
        <v>0</v>
      </c>
      <c r="F237" s="6">
        <f t="shared" si="62"/>
        <v>0</v>
      </c>
      <c r="G237" s="59">
        <v>0</v>
      </c>
      <c r="H237" s="59">
        <v>0</v>
      </c>
      <c r="I237" s="6">
        <f>(G237-H237)*'16-PlantAdditions'!$E$103</f>
        <v>0</v>
      </c>
      <c r="J237" s="6">
        <f t="shared" si="63"/>
        <v>0</v>
      </c>
      <c r="K237" s="6">
        <f t="shared" si="64"/>
        <v>0</v>
      </c>
    </row>
    <row r="238" spans="1:11">
      <c r="A238" s="2">
        <f t="shared" si="61"/>
        <v>177</v>
      </c>
      <c r="B238" s="331" t="s">
        <v>587</v>
      </c>
      <c r="C238" s="332">
        <v>2025</v>
      </c>
      <c r="D238" s="59">
        <v>0</v>
      </c>
      <c r="E238" s="6">
        <f>D238*'16-PlantAdditions'!$E$103</f>
        <v>0</v>
      </c>
      <c r="F238" s="6">
        <f t="shared" si="62"/>
        <v>0</v>
      </c>
      <c r="G238" s="59">
        <v>0</v>
      </c>
      <c r="H238" s="59">
        <v>0</v>
      </c>
      <c r="I238" s="6">
        <f>(G238-H238)*'16-PlantAdditions'!$E$103</f>
        <v>0</v>
      </c>
      <c r="J238" s="6">
        <f t="shared" si="63"/>
        <v>0</v>
      </c>
      <c r="K238" s="6">
        <f t="shared" si="64"/>
        <v>0</v>
      </c>
    </row>
    <row r="239" spans="1:11">
      <c r="A239" s="2">
        <f t="shared" si="61"/>
        <v>178</v>
      </c>
      <c r="B239" s="331" t="s">
        <v>380</v>
      </c>
      <c r="C239" s="332">
        <v>2025</v>
      </c>
      <c r="D239" s="59">
        <v>0</v>
      </c>
      <c r="E239" s="6">
        <f>D239*'16-PlantAdditions'!$E$103</f>
        <v>0</v>
      </c>
      <c r="F239" s="6">
        <f t="shared" si="62"/>
        <v>0</v>
      </c>
      <c r="G239" s="59">
        <v>0</v>
      </c>
      <c r="H239" s="59">
        <v>0</v>
      </c>
      <c r="I239" s="6">
        <f>(G239-H239)*'16-PlantAdditions'!$E$103</f>
        <v>0</v>
      </c>
      <c r="J239" s="6">
        <f t="shared" si="63"/>
        <v>0</v>
      </c>
      <c r="K239" s="6">
        <f t="shared" si="64"/>
        <v>0</v>
      </c>
    </row>
    <row r="240" spans="1:11">
      <c r="A240" s="2">
        <f t="shared" si="61"/>
        <v>179</v>
      </c>
      <c r="B240" s="331" t="s">
        <v>381</v>
      </c>
      <c r="C240" s="332">
        <v>2025</v>
      </c>
      <c r="D240" s="59">
        <v>0</v>
      </c>
      <c r="E240" s="6">
        <f>D240*'16-PlantAdditions'!$E$103</f>
        <v>0</v>
      </c>
      <c r="F240" s="6">
        <f t="shared" si="62"/>
        <v>0</v>
      </c>
      <c r="G240" s="59">
        <v>0</v>
      </c>
      <c r="H240" s="59">
        <v>0</v>
      </c>
      <c r="I240" s="6">
        <f>(G240-H240)*'16-PlantAdditions'!$E$103</f>
        <v>0</v>
      </c>
      <c r="J240" s="6">
        <f t="shared" si="63"/>
        <v>0</v>
      </c>
      <c r="K240" s="6">
        <f t="shared" si="64"/>
        <v>0</v>
      </c>
    </row>
    <row r="241" spans="1:11">
      <c r="A241" s="2">
        <f t="shared" si="61"/>
        <v>180</v>
      </c>
      <c r="B241" s="331" t="s">
        <v>382</v>
      </c>
      <c r="C241" s="332">
        <v>2025</v>
      </c>
      <c r="D241" s="59">
        <v>0</v>
      </c>
      <c r="E241" s="6">
        <f>D241*'16-PlantAdditions'!$E$103</f>
        <v>0</v>
      </c>
      <c r="F241" s="6">
        <f t="shared" si="62"/>
        <v>0</v>
      </c>
      <c r="G241" s="59">
        <v>0</v>
      </c>
      <c r="H241" s="59">
        <v>0</v>
      </c>
      <c r="I241" s="6">
        <f>(G241-H241)*'16-PlantAdditions'!$E$103</f>
        <v>0</v>
      </c>
      <c r="J241" s="6">
        <f t="shared" si="63"/>
        <v>0</v>
      </c>
      <c r="K241" s="6">
        <f t="shared" si="64"/>
        <v>0</v>
      </c>
    </row>
    <row r="242" spans="1:11">
      <c r="A242" s="2">
        <f t="shared" si="61"/>
        <v>181</v>
      </c>
      <c r="B242" s="331" t="s">
        <v>383</v>
      </c>
      <c r="C242" s="332">
        <v>2025</v>
      </c>
      <c r="D242" s="59">
        <v>0</v>
      </c>
      <c r="E242" s="6">
        <f>D242*'16-PlantAdditions'!$E$103</f>
        <v>0</v>
      </c>
      <c r="F242" s="6">
        <f t="shared" ref="F242:F244" si="65">E242+D242</f>
        <v>0</v>
      </c>
      <c r="G242" s="59">
        <v>0</v>
      </c>
      <c r="H242" s="59">
        <v>0</v>
      </c>
      <c r="I242" s="6">
        <f>(G242-H242)*'16-PlantAdditions'!$E$103</f>
        <v>0</v>
      </c>
      <c r="J242" s="6">
        <f t="shared" ref="J242:J244" si="66">J241+F242-G242-I242</f>
        <v>0</v>
      </c>
      <c r="K242" s="6">
        <f t="shared" si="64"/>
        <v>0</v>
      </c>
    </row>
    <row r="243" spans="1:11">
      <c r="A243" s="2">
        <f t="shared" si="61"/>
        <v>182</v>
      </c>
      <c r="B243" s="331" t="s">
        <v>384</v>
      </c>
      <c r="C243" s="332">
        <v>2025</v>
      </c>
      <c r="D243" s="59">
        <v>0</v>
      </c>
      <c r="E243" s="6">
        <f>D243*'16-PlantAdditions'!$E$103</f>
        <v>0</v>
      </c>
      <c r="F243" s="6">
        <f t="shared" si="65"/>
        <v>0</v>
      </c>
      <c r="G243" s="59">
        <v>0</v>
      </c>
      <c r="H243" s="59">
        <v>0</v>
      </c>
      <c r="I243" s="6">
        <f>(G243-H243)*'16-PlantAdditions'!$E$103</f>
        <v>0</v>
      </c>
      <c r="J243" s="6">
        <f t="shared" si="66"/>
        <v>0</v>
      </c>
      <c r="K243" s="6">
        <f t="shared" si="64"/>
        <v>0</v>
      </c>
    </row>
    <row r="244" spans="1:11">
      <c r="A244" s="2">
        <f t="shared" si="61"/>
        <v>183</v>
      </c>
      <c r="B244" s="331" t="s">
        <v>372</v>
      </c>
      <c r="C244" s="332">
        <v>2025</v>
      </c>
      <c r="D244" s="59">
        <v>0</v>
      </c>
      <c r="E244" s="6">
        <f>D244*'16-PlantAdditions'!$E$103</f>
        <v>0</v>
      </c>
      <c r="F244" s="6">
        <f t="shared" si="65"/>
        <v>0</v>
      </c>
      <c r="G244" s="59">
        <v>0</v>
      </c>
      <c r="H244" s="59">
        <v>0</v>
      </c>
      <c r="I244" s="6">
        <f>(G244-H244)*'16-PlantAdditions'!$E$103</f>
        <v>0</v>
      </c>
      <c r="J244" s="6">
        <f t="shared" si="66"/>
        <v>0</v>
      </c>
      <c r="K244" s="53">
        <f t="shared" si="64"/>
        <v>0</v>
      </c>
    </row>
    <row r="245" spans="1:11">
      <c r="A245" s="2">
        <f t="shared" si="61"/>
        <v>184</v>
      </c>
      <c r="C245" s="353" t="s">
        <v>990</v>
      </c>
      <c r="K245" s="42">
        <f>AVERAGE(K232:K244)</f>
        <v>0</v>
      </c>
    </row>
    <row r="246" spans="1:11">
      <c r="A246" s="2"/>
      <c r="C246" s="353"/>
      <c r="K246" s="42"/>
    </row>
    <row r="247" spans="1:11">
      <c r="B247" s="34" t="s">
        <v>1006</v>
      </c>
      <c r="D247" s="1109" t="s">
        <v>1007</v>
      </c>
      <c r="E247" s="1109"/>
    </row>
    <row r="248" spans="1:11">
      <c r="A248" s="3"/>
      <c r="B248" s="3"/>
      <c r="C248" s="3"/>
      <c r="D248" s="3" t="s">
        <v>329</v>
      </c>
      <c r="E248" s="3" t="s">
        <v>330</v>
      </c>
      <c r="F248" s="3" t="s">
        <v>331</v>
      </c>
      <c r="G248" s="3" t="s">
        <v>332</v>
      </c>
      <c r="H248" s="3" t="s">
        <v>333</v>
      </c>
      <c r="I248" s="3" t="s">
        <v>334</v>
      </c>
      <c r="J248" s="3" t="s">
        <v>335</v>
      </c>
      <c r="K248" s="3" t="s">
        <v>336</v>
      </c>
    </row>
    <row r="249" spans="1:11" ht="38.25">
      <c r="D249" s="48"/>
      <c r="E249" s="354" t="s">
        <v>994</v>
      </c>
      <c r="F249" s="241" t="s">
        <v>995</v>
      </c>
      <c r="G249" s="241"/>
      <c r="H249" s="48"/>
      <c r="I249" s="354" t="s">
        <v>996</v>
      </c>
      <c r="J249" s="354" t="s">
        <v>997</v>
      </c>
      <c r="K249" s="354" t="s">
        <v>998</v>
      </c>
    </row>
    <row r="250" spans="1:11">
      <c r="D250" s="48"/>
      <c r="E250" s="48"/>
      <c r="F250" s="48"/>
      <c r="G250" s="2" t="s">
        <v>1008</v>
      </c>
      <c r="H250" s="48"/>
      <c r="I250" s="48"/>
    </row>
    <row r="251" spans="1:11">
      <c r="A251" s="2"/>
      <c r="B251" s="2"/>
      <c r="C251" s="2"/>
      <c r="D251" s="2" t="str">
        <f>D$52</f>
        <v>Forecast</v>
      </c>
      <c r="E251" s="2" t="str">
        <f t="shared" ref="E251:J251" si="67">E$52</f>
        <v>Corporate</v>
      </c>
      <c r="F251" s="2" t="str">
        <f t="shared" si="67"/>
        <v xml:space="preserve">Total </v>
      </c>
      <c r="G251" s="2" t="s">
        <v>244</v>
      </c>
      <c r="H251" s="2" t="str">
        <f t="shared" si="67"/>
        <v>Prior Period</v>
      </c>
      <c r="I251" s="2" t="str">
        <f t="shared" si="67"/>
        <v>Over Heads</v>
      </c>
      <c r="J251" s="2" t="str">
        <f t="shared" si="67"/>
        <v>Forecast</v>
      </c>
      <c r="K251" s="2" t="str">
        <f>K$52</f>
        <v>Forecast Period</v>
      </c>
    </row>
    <row r="252" spans="1:11">
      <c r="A252" s="30" t="s">
        <v>266</v>
      </c>
      <c r="B252" s="330" t="s">
        <v>364</v>
      </c>
      <c r="C252" s="330" t="s">
        <v>365</v>
      </c>
      <c r="D252" s="3" t="str">
        <f>D$53</f>
        <v>Expenditures</v>
      </c>
      <c r="E252" s="3" t="str">
        <f t="shared" ref="E252:J252" si="68">E$53</f>
        <v>Overheads</v>
      </c>
      <c r="F252" s="3" t="str">
        <f t="shared" si="68"/>
        <v>CWIP Exp</v>
      </c>
      <c r="G252" s="3" t="s">
        <v>985</v>
      </c>
      <c r="H252" s="3" t="str">
        <f t="shared" si="68"/>
        <v>CWIP Closed</v>
      </c>
      <c r="I252" s="3" t="str">
        <f t="shared" si="68"/>
        <v>Closed to PIS</v>
      </c>
      <c r="J252" s="3" t="str">
        <f t="shared" si="68"/>
        <v>Period CWIP</v>
      </c>
      <c r="K252" s="3" t="str">
        <f>K$53</f>
        <v>Incremental CWIP</v>
      </c>
    </row>
    <row r="253" spans="1:11">
      <c r="A253" s="2">
        <f>A245+1</f>
        <v>185</v>
      </c>
      <c r="B253" s="331" t="s">
        <v>372</v>
      </c>
      <c r="C253" s="332">
        <v>2023</v>
      </c>
      <c r="D253" s="241" t="s">
        <v>373</v>
      </c>
      <c r="E253" s="241" t="s">
        <v>373</v>
      </c>
      <c r="F253" s="241" t="s">
        <v>373</v>
      </c>
      <c r="G253" s="241" t="s">
        <v>373</v>
      </c>
      <c r="H253" s="241" t="s">
        <v>373</v>
      </c>
      <c r="I253" s="241" t="s">
        <v>373</v>
      </c>
      <c r="J253" s="6">
        <f>D45</f>
        <v>0</v>
      </c>
      <c r="K253" s="241" t="s">
        <v>373</v>
      </c>
    </row>
    <row r="254" spans="1:11">
      <c r="A254" s="2">
        <f>A253+1</f>
        <v>186</v>
      </c>
      <c r="B254" s="331" t="s">
        <v>374</v>
      </c>
      <c r="C254" s="332">
        <v>2024</v>
      </c>
      <c r="D254" s="59">
        <v>0</v>
      </c>
      <c r="E254" s="6">
        <f>D254*'16-PlantAdditions'!$E$103</f>
        <v>0</v>
      </c>
      <c r="F254" s="6">
        <f>E254+D254</f>
        <v>0</v>
      </c>
      <c r="G254" s="59">
        <v>0</v>
      </c>
      <c r="H254" s="59">
        <v>0</v>
      </c>
      <c r="I254" s="6">
        <f>(G254-H254)*'16-PlantAdditions'!$E$103</f>
        <v>0</v>
      </c>
      <c r="J254" s="6">
        <f>J253+F254-G254-I254</f>
        <v>0</v>
      </c>
      <c r="K254" s="6">
        <f>J254-$J$253</f>
        <v>0</v>
      </c>
    </row>
    <row r="255" spans="1:11">
      <c r="A255" s="2">
        <f t="shared" ref="A255:A278" si="69">A254+1</f>
        <v>187</v>
      </c>
      <c r="B255" s="331" t="s">
        <v>375</v>
      </c>
      <c r="C255" s="332">
        <v>2024</v>
      </c>
      <c r="D255" s="59">
        <v>0</v>
      </c>
      <c r="E255" s="6">
        <f>D255*'16-PlantAdditions'!$E$103</f>
        <v>0</v>
      </c>
      <c r="F255" s="6">
        <f t="shared" ref="F255:F274" si="70">E255+D255</f>
        <v>0</v>
      </c>
      <c r="G255" s="59">
        <v>0</v>
      </c>
      <c r="H255" s="59">
        <v>0</v>
      </c>
      <c r="I255" s="6">
        <f>(G255-H255)*'16-PlantAdditions'!$E$103</f>
        <v>0</v>
      </c>
      <c r="J255" s="6">
        <f t="shared" ref="J255:J274" si="71">J254+F255-G255-I255</f>
        <v>0</v>
      </c>
      <c r="K255" s="6">
        <f t="shared" ref="K255:K277" si="72">J255-$J$253</f>
        <v>0</v>
      </c>
    </row>
    <row r="256" spans="1:11">
      <c r="A256" s="2">
        <f t="shared" si="69"/>
        <v>188</v>
      </c>
      <c r="B256" s="331" t="s">
        <v>376</v>
      </c>
      <c r="C256" s="332">
        <v>2024</v>
      </c>
      <c r="D256" s="59">
        <v>0</v>
      </c>
      <c r="E256" s="6">
        <f>D256*'16-PlantAdditions'!$E$103</f>
        <v>0</v>
      </c>
      <c r="F256" s="6">
        <f t="shared" si="70"/>
        <v>0</v>
      </c>
      <c r="G256" s="59">
        <v>0</v>
      </c>
      <c r="H256" s="59">
        <v>0</v>
      </c>
      <c r="I256" s="6">
        <f>(G256-H256)*'16-PlantAdditions'!$E$103</f>
        <v>0</v>
      </c>
      <c r="J256" s="6">
        <f t="shared" si="71"/>
        <v>0</v>
      </c>
      <c r="K256" s="6">
        <f t="shared" si="72"/>
        <v>0</v>
      </c>
    </row>
    <row r="257" spans="1:11">
      <c r="A257" s="2">
        <f t="shared" si="69"/>
        <v>189</v>
      </c>
      <c r="B257" s="331" t="s">
        <v>377</v>
      </c>
      <c r="C257" s="332">
        <v>2024</v>
      </c>
      <c r="D257" s="59">
        <v>0</v>
      </c>
      <c r="E257" s="6">
        <f>D257*'16-PlantAdditions'!$E$103</f>
        <v>0</v>
      </c>
      <c r="F257" s="6">
        <f t="shared" si="70"/>
        <v>0</v>
      </c>
      <c r="G257" s="59">
        <v>0</v>
      </c>
      <c r="H257" s="59">
        <v>0</v>
      </c>
      <c r="I257" s="6">
        <f>(G257-H257)*'16-PlantAdditions'!$E$103</f>
        <v>0</v>
      </c>
      <c r="J257" s="6">
        <f t="shared" si="71"/>
        <v>0</v>
      </c>
      <c r="K257" s="6">
        <f t="shared" si="72"/>
        <v>0</v>
      </c>
    </row>
    <row r="258" spans="1:11">
      <c r="A258" s="2">
        <f t="shared" si="69"/>
        <v>190</v>
      </c>
      <c r="B258" s="331" t="s">
        <v>378</v>
      </c>
      <c r="C258" s="332">
        <v>2024</v>
      </c>
      <c r="D258" s="59">
        <v>0</v>
      </c>
      <c r="E258" s="6">
        <f>D258*'16-PlantAdditions'!$E$103</f>
        <v>0</v>
      </c>
      <c r="F258" s="6">
        <f t="shared" si="70"/>
        <v>0</v>
      </c>
      <c r="G258" s="59">
        <v>0</v>
      </c>
      <c r="H258" s="59">
        <v>0</v>
      </c>
      <c r="I258" s="6">
        <f>(G258-H258)*'16-PlantAdditions'!$E$103</f>
        <v>0</v>
      </c>
      <c r="J258" s="6">
        <f t="shared" si="71"/>
        <v>0</v>
      </c>
      <c r="K258" s="6">
        <f t="shared" si="72"/>
        <v>0</v>
      </c>
    </row>
    <row r="259" spans="1:11">
      <c r="A259" s="2">
        <f t="shared" si="69"/>
        <v>191</v>
      </c>
      <c r="B259" s="331" t="s">
        <v>587</v>
      </c>
      <c r="C259" s="332">
        <v>2024</v>
      </c>
      <c r="D259" s="59">
        <v>0</v>
      </c>
      <c r="E259" s="6">
        <f>D259*'16-PlantAdditions'!$E$103</f>
        <v>0</v>
      </c>
      <c r="F259" s="6">
        <f t="shared" si="70"/>
        <v>0</v>
      </c>
      <c r="G259" s="59">
        <v>0</v>
      </c>
      <c r="H259" s="59">
        <v>0</v>
      </c>
      <c r="I259" s="6">
        <f>(G259-H259)*'16-PlantAdditions'!$E$103</f>
        <v>0</v>
      </c>
      <c r="J259" s="6">
        <f>J258+F259-G259-I259</f>
        <v>0</v>
      </c>
      <c r="K259" s="6">
        <f t="shared" si="72"/>
        <v>0</v>
      </c>
    </row>
    <row r="260" spans="1:11">
      <c r="A260" s="2">
        <f t="shared" si="69"/>
        <v>192</v>
      </c>
      <c r="B260" s="331" t="s">
        <v>380</v>
      </c>
      <c r="C260" s="332">
        <v>2024</v>
      </c>
      <c r="D260" s="59">
        <v>0</v>
      </c>
      <c r="E260" s="6">
        <f>D260*'16-PlantAdditions'!$E$103</f>
        <v>0</v>
      </c>
      <c r="F260" s="6">
        <f t="shared" si="70"/>
        <v>0</v>
      </c>
      <c r="G260" s="59">
        <v>0</v>
      </c>
      <c r="H260" s="59">
        <v>0</v>
      </c>
      <c r="I260" s="6">
        <f>(G260-H260)*'16-PlantAdditions'!$E$103</f>
        <v>0</v>
      </c>
      <c r="J260" s="6">
        <f t="shared" si="71"/>
        <v>0</v>
      </c>
      <c r="K260" s="6">
        <f t="shared" si="72"/>
        <v>0</v>
      </c>
    </row>
    <row r="261" spans="1:11">
      <c r="A261" s="2">
        <f t="shared" si="69"/>
        <v>193</v>
      </c>
      <c r="B261" s="331" t="s">
        <v>381</v>
      </c>
      <c r="C261" s="332">
        <v>2024</v>
      </c>
      <c r="D261" s="59">
        <v>0</v>
      </c>
      <c r="E261" s="6">
        <f>D261*'16-PlantAdditions'!$E$103</f>
        <v>0</v>
      </c>
      <c r="F261" s="6">
        <f t="shared" si="70"/>
        <v>0</v>
      </c>
      <c r="G261" s="59">
        <v>0</v>
      </c>
      <c r="H261" s="59">
        <v>0</v>
      </c>
      <c r="I261" s="6">
        <f>(G261-H261)*'16-PlantAdditions'!$E$103</f>
        <v>0</v>
      </c>
      <c r="J261" s="6">
        <f t="shared" si="71"/>
        <v>0</v>
      </c>
      <c r="K261" s="6">
        <f t="shared" si="72"/>
        <v>0</v>
      </c>
    </row>
    <row r="262" spans="1:11">
      <c r="A262" s="2">
        <f t="shared" si="69"/>
        <v>194</v>
      </c>
      <c r="B262" s="331" t="s">
        <v>382</v>
      </c>
      <c r="C262" s="332">
        <v>2024</v>
      </c>
      <c r="D262" s="59">
        <v>0</v>
      </c>
      <c r="E262" s="6">
        <f>D262*'16-PlantAdditions'!$E$103</f>
        <v>0</v>
      </c>
      <c r="F262" s="6">
        <f t="shared" si="70"/>
        <v>0</v>
      </c>
      <c r="G262" s="59">
        <v>0</v>
      </c>
      <c r="H262" s="59">
        <v>0</v>
      </c>
      <c r="I262" s="6">
        <f>(G262-H262)*'16-PlantAdditions'!$E$103</f>
        <v>0</v>
      </c>
      <c r="J262" s="6">
        <f t="shared" si="71"/>
        <v>0</v>
      </c>
      <c r="K262" s="6">
        <f t="shared" si="72"/>
        <v>0</v>
      </c>
    </row>
    <row r="263" spans="1:11">
      <c r="A263" s="2">
        <f t="shared" si="69"/>
        <v>195</v>
      </c>
      <c r="B263" s="331" t="s">
        <v>383</v>
      </c>
      <c r="C263" s="332">
        <v>2024</v>
      </c>
      <c r="D263" s="59">
        <v>0</v>
      </c>
      <c r="E263" s="6">
        <f>D263*'16-PlantAdditions'!$E$103</f>
        <v>0</v>
      </c>
      <c r="F263" s="6">
        <f t="shared" si="70"/>
        <v>0</v>
      </c>
      <c r="G263" s="59">
        <v>0</v>
      </c>
      <c r="H263" s="59">
        <v>0</v>
      </c>
      <c r="I263" s="6">
        <f>(G263-H263)*'16-PlantAdditions'!$E$103</f>
        <v>0</v>
      </c>
      <c r="J263" s="6">
        <f t="shared" si="71"/>
        <v>0</v>
      </c>
      <c r="K263" s="6">
        <f t="shared" si="72"/>
        <v>0</v>
      </c>
    </row>
    <row r="264" spans="1:11">
      <c r="A264" s="2">
        <f t="shared" si="69"/>
        <v>196</v>
      </c>
      <c r="B264" s="331" t="s">
        <v>384</v>
      </c>
      <c r="C264" s="332">
        <v>2024</v>
      </c>
      <c r="D264" s="59">
        <v>0</v>
      </c>
      <c r="E264" s="6">
        <f>D264*'16-PlantAdditions'!$E$103</f>
        <v>0</v>
      </c>
      <c r="F264" s="6">
        <f t="shared" si="70"/>
        <v>0</v>
      </c>
      <c r="G264" s="59">
        <v>0</v>
      </c>
      <c r="H264" s="59">
        <v>0</v>
      </c>
      <c r="I264" s="6">
        <f>(G264-H264)*'16-PlantAdditions'!$E$103</f>
        <v>0</v>
      </c>
      <c r="J264" s="6">
        <f t="shared" si="71"/>
        <v>0</v>
      </c>
      <c r="K264" s="6">
        <f t="shared" si="72"/>
        <v>0</v>
      </c>
    </row>
    <row r="265" spans="1:11">
      <c r="A265" s="2">
        <f t="shared" si="69"/>
        <v>197</v>
      </c>
      <c r="B265" s="331" t="s">
        <v>372</v>
      </c>
      <c r="C265" s="332">
        <v>2024</v>
      </c>
      <c r="D265" s="59">
        <v>0</v>
      </c>
      <c r="E265" s="6">
        <f>D265*'16-PlantAdditions'!$E$103</f>
        <v>0</v>
      </c>
      <c r="F265" s="6">
        <f t="shared" si="70"/>
        <v>0</v>
      </c>
      <c r="G265" s="59">
        <v>0</v>
      </c>
      <c r="H265" s="59">
        <v>0</v>
      </c>
      <c r="I265" s="6">
        <f>(G265-H265)*'16-PlantAdditions'!$E$103</f>
        <v>0</v>
      </c>
      <c r="J265" s="6">
        <f t="shared" si="71"/>
        <v>0</v>
      </c>
      <c r="K265" s="6">
        <f t="shared" si="72"/>
        <v>0</v>
      </c>
    </row>
    <row r="266" spans="1:11">
      <c r="A266" s="2">
        <f t="shared" si="69"/>
        <v>198</v>
      </c>
      <c r="B266" s="331" t="s">
        <v>374</v>
      </c>
      <c r="C266" s="332">
        <v>2025</v>
      </c>
      <c r="D266" s="59">
        <v>0</v>
      </c>
      <c r="E266" s="6">
        <f>D266*'16-PlantAdditions'!$E$103</f>
        <v>0</v>
      </c>
      <c r="F266" s="6">
        <f t="shared" si="70"/>
        <v>0</v>
      </c>
      <c r="G266" s="59">
        <v>0</v>
      </c>
      <c r="H266" s="59">
        <v>0</v>
      </c>
      <c r="I266" s="6">
        <f>(G266-H266)*'16-PlantAdditions'!$E$103</f>
        <v>0</v>
      </c>
      <c r="J266" s="6">
        <f t="shared" si="71"/>
        <v>0</v>
      </c>
      <c r="K266" s="6">
        <f t="shared" si="72"/>
        <v>0</v>
      </c>
    </row>
    <row r="267" spans="1:11">
      <c r="A267" s="2">
        <f t="shared" si="69"/>
        <v>199</v>
      </c>
      <c r="B267" s="331" t="s">
        <v>375</v>
      </c>
      <c r="C267" s="332">
        <v>2025</v>
      </c>
      <c r="D267" s="59">
        <v>0</v>
      </c>
      <c r="E267" s="6">
        <f>D267*'16-PlantAdditions'!$E$103</f>
        <v>0</v>
      </c>
      <c r="F267" s="6">
        <f t="shared" si="70"/>
        <v>0</v>
      </c>
      <c r="G267" s="59">
        <v>0</v>
      </c>
      <c r="H267" s="59">
        <v>0</v>
      </c>
      <c r="I267" s="6">
        <f>(G267-H267)*'16-PlantAdditions'!$E$103</f>
        <v>0</v>
      </c>
      <c r="J267" s="6">
        <f t="shared" si="71"/>
        <v>0</v>
      </c>
      <c r="K267" s="6">
        <f t="shared" si="72"/>
        <v>0</v>
      </c>
    </row>
    <row r="268" spans="1:11">
      <c r="A268" s="2">
        <f t="shared" si="69"/>
        <v>200</v>
      </c>
      <c r="B268" s="331" t="s">
        <v>376</v>
      </c>
      <c r="C268" s="332">
        <v>2025</v>
      </c>
      <c r="D268" s="59">
        <v>0</v>
      </c>
      <c r="E268" s="6">
        <f>D268*'16-PlantAdditions'!$E$103</f>
        <v>0</v>
      </c>
      <c r="F268" s="6">
        <f t="shared" si="70"/>
        <v>0</v>
      </c>
      <c r="G268" s="59">
        <v>0</v>
      </c>
      <c r="H268" s="59">
        <v>0</v>
      </c>
      <c r="I268" s="6">
        <f>(G268-H268)*'16-PlantAdditions'!$E$103</f>
        <v>0</v>
      </c>
      <c r="J268" s="6">
        <f t="shared" si="71"/>
        <v>0</v>
      </c>
      <c r="K268" s="6">
        <f t="shared" si="72"/>
        <v>0</v>
      </c>
    </row>
    <row r="269" spans="1:11">
      <c r="A269" s="2">
        <f t="shared" si="69"/>
        <v>201</v>
      </c>
      <c r="B269" s="331" t="s">
        <v>377</v>
      </c>
      <c r="C269" s="332">
        <v>2025</v>
      </c>
      <c r="D269" s="59">
        <v>0</v>
      </c>
      <c r="E269" s="6">
        <f>D269*'16-PlantAdditions'!$E$103</f>
        <v>0</v>
      </c>
      <c r="F269" s="6">
        <f t="shared" si="70"/>
        <v>0</v>
      </c>
      <c r="G269" s="59">
        <v>0</v>
      </c>
      <c r="H269" s="59">
        <v>0</v>
      </c>
      <c r="I269" s="6">
        <f>(G269-H269)*'16-PlantAdditions'!$E$103</f>
        <v>0</v>
      </c>
      <c r="J269" s="6">
        <f t="shared" si="71"/>
        <v>0</v>
      </c>
      <c r="K269" s="6">
        <f t="shared" si="72"/>
        <v>0</v>
      </c>
    </row>
    <row r="270" spans="1:11">
      <c r="A270" s="2">
        <f t="shared" si="69"/>
        <v>202</v>
      </c>
      <c r="B270" s="331" t="s">
        <v>378</v>
      </c>
      <c r="C270" s="332">
        <v>2025</v>
      </c>
      <c r="D270" s="59">
        <v>0</v>
      </c>
      <c r="E270" s="6">
        <f>D270*'16-PlantAdditions'!$E$103</f>
        <v>0</v>
      </c>
      <c r="F270" s="6">
        <f t="shared" si="70"/>
        <v>0</v>
      </c>
      <c r="G270" s="59">
        <v>0</v>
      </c>
      <c r="H270" s="59">
        <v>0</v>
      </c>
      <c r="I270" s="6">
        <f>(G270-H270)*'16-PlantAdditions'!$E$103</f>
        <v>0</v>
      </c>
      <c r="J270" s="6">
        <f t="shared" si="71"/>
        <v>0</v>
      </c>
      <c r="K270" s="6">
        <f t="shared" si="72"/>
        <v>0</v>
      </c>
    </row>
    <row r="271" spans="1:11">
      <c r="A271" s="2">
        <f t="shared" si="69"/>
        <v>203</v>
      </c>
      <c r="B271" s="331" t="s">
        <v>587</v>
      </c>
      <c r="C271" s="332">
        <v>2025</v>
      </c>
      <c r="D271" s="59">
        <v>0</v>
      </c>
      <c r="E271" s="6">
        <f>D271*'16-PlantAdditions'!$E$103</f>
        <v>0</v>
      </c>
      <c r="F271" s="6">
        <f t="shared" si="70"/>
        <v>0</v>
      </c>
      <c r="G271" s="59">
        <v>0</v>
      </c>
      <c r="H271" s="59">
        <v>0</v>
      </c>
      <c r="I271" s="6">
        <f>(G271-H271)*'16-PlantAdditions'!$E$103</f>
        <v>0</v>
      </c>
      <c r="J271" s="6">
        <f t="shared" si="71"/>
        <v>0</v>
      </c>
      <c r="K271" s="6">
        <f t="shared" si="72"/>
        <v>0</v>
      </c>
    </row>
    <row r="272" spans="1:11">
      <c r="A272" s="2">
        <f t="shared" si="69"/>
        <v>204</v>
      </c>
      <c r="B272" s="331" t="s">
        <v>380</v>
      </c>
      <c r="C272" s="332">
        <v>2025</v>
      </c>
      <c r="D272" s="59">
        <v>0</v>
      </c>
      <c r="E272" s="6">
        <f>D272*'16-PlantAdditions'!$E$103</f>
        <v>0</v>
      </c>
      <c r="F272" s="6">
        <f t="shared" si="70"/>
        <v>0</v>
      </c>
      <c r="G272" s="59">
        <v>0</v>
      </c>
      <c r="H272" s="59">
        <v>0</v>
      </c>
      <c r="I272" s="6">
        <f>(G272-H272)*'16-PlantAdditions'!$E$103</f>
        <v>0</v>
      </c>
      <c r="J272" s="6">
        <f t="shared" si="71"/>
        <v>0</v>
      </c>
      <c r="K272" s="6">
        <f t="shared" si="72"/>
        <v>0</v>
      </c>
    </row>
    <row r="273" spans="1:11">
      <c r="A273" s="2">
        <f t="shared" si="69"/>
        <v>205</v>
      </c>
      <c r="B273" s="331" t="s">
        <v>381</v>
      </c>
      <c r="C273" s="332">
        <v>2025</v>
      </c>
      <c r="D273" s="59">
        <v>0</v>
      </c>
      <c r="E273" s="6">
        <f>D273*'16-PlantAdditions'!$E$103</f>
        <v>0</v>
      </c>
      <c r="F273" s="6">
        <f t="shared" si="70"/>
        <v>0</v>
      </c>
      <c r="G273" s="59">
        <v>0</v>
      </c>
      <c r="H273" s="59">
        <v>0</v>
      </c>
      <c r="I273" s="6">
        <f>(G273-H273)*'16-PlantAdditions'!$E$103</f>
        <v>0</v>
      </c>
      <c r="J273" s="6">
        <f t="shared" si="71"/>
        <v>0</v>
      </c>
      <c r="K273" s="6">
        <f t="shared" si="72"/>
        <v>0</v>
      </c>
    </row>
    <row r="274" spans="1:11">
      <c r="A274" s="2">
        <f t="shared" si="69"/>
        <v>206</v>
      </c>
      <c r="B274" s="331" t="s">
        <v>382</v>
      </c>
      <c r="C274" s="332">
        <v>2025</v>
      </c>
      <c r="D274" s="59">
        <v>0</v>
      </c>
      <c r="E274" s="6">
        <f>D274*'16-PlantAdditions'!$E$103</f>
        <v>0</v>
      </c>
      <c r="F274" s="6">
        <f t="shared" si="70"/>
        <v>0</v>
      </c>
      <c r="G274" s="59">
        <v>0</v>
      </c>
      <c r="H274" s="59">
        <v>0</v>
      </c>
      <c r="I274" s="6">
        <f>(G274-H274)*'16-PlantAdditions'!$E$103</f>
        <v>0</v>
      </c>
      <c r="J274" s="6">
        <f t="shared" si="71"/>
        <v>0</v>
      </c>
      <c r="K274" s="6">
        <f t="shared" si="72"/>
        <v>0</v>
      </c>
    </row>
    <row r="275" spans="1:11">
      <c r="A275" s="2">
        <f t="shared" si="69"/>
        <v>207</v>
      </c>
      <c r="B275" s="331" t="s">
        <v>383</v>
      </c>
      <c r="C275" s="332">
        <v>2025</v>
      </c>
      <c r="D275" s="59">
        <v>0</v>
      </c>
      <c r="E275" s="6">
        <f>D275*'16-PlantAdditions'!$E$103</f>
        <v>0</v>
      </c>
      <c r="F275" s="6">
        <f t="shared" ref="F275:F277" si="73">E275+D275</f>
        <v>0</v>
      </c>
      <c r="G275" s="59">
        <v>0</v>
      </c>
      <c r="H275" s="59">
        <v>0</v>
      </c>
      <c r="I275" s="6">
        <f>(G275-H275)*'16-PlantAdditions'!$E$103</f>
        <v>0</v>
      </c>
      <c r="J275" s="6">
        <f t="shared" ref="J275:J277" si="74">J274+F275-G275-I275</f>
        <v>0</v>
      </c>
      <c r="K275" s="6">
        <f t="shared" si="72"/>
        <v>0</v>
      </c>
    </row>
    <row r="276" spans="1:11">
      <c r="A276" s="2">
        <f t="shared" si="69"/>
        <v>208</v>
      </c>
      <c r="B276" s="331" t="s">
        <v>384</v>
      </c>
      <c r="C276" s="332">
        <v>2025</v>
      </c>
      <c r="D276" s="59">
        <v>0</v>
      </c>
      <c r="E276" s="6">
        <f>D276*'16-PlantAdditions'!$E$103</f>
        <v>0</v>
      </c>
      <c r="F276" s="6">
        <f t="shared" si="73"/>
        <v>0</v>
      </c>
      <c r="G276" s="59">
        <v>0</v>
      </c>
      <c r="H276" s="59">
        <v>0</v>
      </c>
      <c r="I276" s="6">
        <f>(G276-H276)*'16-PlantAdditions'!$E$103</f>
        <v>0</v>
      </c>
      <c r="J276" s="6">
        <f t="shared" si="74"/>
        <v>0</v>
      </c>
      <c r="K276" s="6">
        <f t="shared" si="72"/>
        <v>0</v>
      </c>
    </row>
    <row r="277" spans="1:11">
      <c r="A277" s="2">
        <f t="shared" si="69"/>
        <v>209</v>
      </c>
      <c r="B277" s="331" t="s">
        <v>372</v>
      </c>
      <c r="C277" s="332">
        <v>2025</v>
      </c>
      <c r="D277" s="59">
        <v>0</v>
      </c>
      <c r="E277" s="6">
        <f>D277*'16-PlantAdditions'!$E$103</f>
        <v>0</v>
      </c>
      <c r="F277" s="6">
        <f t="shared" si="73"/>
        <v>0</v>
      </c>
      <c r="G277" s="59">
        <v>0</v>
      </c>
      <c r="H277" s="59">
        <v>0</v>
      </c>
      <c r="I277" s="6">
        <f>(G277-H277)*'16-PlantAdditions'!$E$103</f>
        <v>0</v>
      </c>
      <c r="J277" s="6">
        <f t="shared" si="74"/>
        <v>0</v>
      </c>
      <c r="K277" s="53">
        <f t="shared" si="72"/>
        <v>0</v>
      </c>
    </row>
    <row r="278" spans="1:11">
      <c r="A278" s="2">
        <f t="shared" si="69"/>
        <v>210</v>
      </c>
      <c r="C278" s="353" t="s">
        <v>990</v>
      </c>
      <c r="K278" s="42">
        <f>AVERAGE(K265:K277)</f>
        <v>0</v>
      </c>
    </row>
    <row r="279" spans="1:11" ht="12.75" customHeight="1">
      <c r="A279" s="2"/>
      <c r="C279" s="353"/>
      <c r="K279" s="42"/>
    </row>
    <row r="280" spans="1:11">
      <c r="B280" s="34" t="s">
        <v>1009</v>
      </c>
      <c r="D280" s="1109" t="s">
        <v>1010</v>
      </c>
      <c r="E280" s="1109"/>
    </row>
    <row r="281" spans="1:11">
      <c r="B281" s="34"/>
      <c r="D281" s="3" t="s">
        <v>329</v>
      </c>
      <c r="E281" s="3" t="s">
        <v>330</v>
      </c>
      <c r="F281" s="3" t="s">
        <v>331</v>
      </c>
      <c r="G281" s="3" t="s">
        <v>332</v>
      </c>
      <c r="H281" s="3" t="s">
        <v>333</v>
      </c>
      <c r="I281" s="3" t="s">
        <v>334</v>
      </c>
      <c r="J281" s="3" t="s">
        <v>335</v>
      </c>
      <c r="K281" s="3" t="s">
        <v>336</v>
      </c>
    </row>
    <row r="282" spans="1:11" ht="38.25">
      <c r="B282" s="34"/>
      <c r="D282" s="48"/>
      <c r="E282" s="354" t="s">
        <v>994</v>
      </c>
      <c r="F282" s="241" t="s">
        <v>995</v>
      </c>
      <c r="G282" s="241"/>
      <c r="H282" s="48"/>
      <c r="I282" s="354" t="s">
        <v>996</v>
      </c>
      <c r="J282" s="354" t="s">
        <v>997</v>
      </c>
      <c r="K282" s="354" t="s">
        <v>998</v>
      </c>
    </row>
    <row r="283" spans="1:11">
      <c r="D283" s="48"/>
      <c r="E283" s="354"/>
      <c r="F283" s="241"/>
      <c r="G283" s="2" t="str">
        <f>G51</f>
        <v>Unloaded</v>
      </c>
      <c r="H283" s="48"/>
      <c r="I283" s="354"/>
      <c r="J283" s="354"/>
      <c r="K283" s="354"/>
    </row>
    <row r="284" spans="1:11">
      <c r="A284" s="2"/>
      <c r="B284" s="2"/>
      <c r="C284" s="2"/>
      <c r="D284" s="2" t="str">
        <f>D$52</f>
        <v>Forecast</v>
      </c>
      <c r="E284" s="2" t="str">
        <f t="shared" ref="E284:J284" si="75">E$52</f>
        <v>Corporate</v>
      </c>
      <c r="F284" s="2" t="str">
        <f t="shared" si="75"/>
        <v xml:space="preserve">Total </v>
      </c>
      <c r="G284" s="2" t="str">
        <f>G52</f>
        <v>Total</v>
      </c>
      <c r="H284" s="2" t="str">
        <f t="shared" si="75"/>
        <v>Prior Period</v>
      </c>
      <c r="I284" s="2" t="str">
        <f t="shared" si="75"/>
        <v>Over Heads</v>
      </c>
      <c r="J284" s="2" t="str">
        <f t="shared" si="75"/>
        <v>Forecast</v>
      </c>
      <c r="K284" s="2" t="str">
        <f>K$52</f>
        <v>Forecast Period</v>
      </c>
    </row>
    <row r="285" spans="1:11">
      <c r="A285" s="30" t="s">
        <v>266</v>
      </c>
      <c r="B285" s="330" t="s">
        <v>364</v>
      </c>
      <c r="C285" s="330" t="s">
        <v>365</v>
      </c>
      <c r="D285" s="3" t="str">
        <f>D$53</f>
        <v>Expenditures</v>
      </c>
      <c r="E285" s="3" t="str">
        <f t="shared" ref="E285:J285" si="76">E$53</f>
        <v>Overheads</v>
      </c>
      <c r="F285" s="3" t="str">
        <f t="shared" si="76"/>
        <v>CWIP Exp</v>
      </c>
      <c r="G285" s="3" t="str">
        <f>G53</f>
        <v>Plant Adds</v>
      </c>
      <c r="H285" s="3" t="str">
        <f t="shared" si="76"/>
        <v>CWIP Closed</v>
      </c>
      <c r="I285" s="3" t="str">
        <f t="shared" si="76"/>
        <v>Closed to PIS</v>
      </c>
      <c r="J285" s="3" t="str">
        <f t="shared" si="76"/>
        <v>Period CWIP</v>
      </c>
      <c r="K285" s="3" t="str">
        <f>K$53</f>
        <v>Incremental CWIP</v>
      </c>
    </row>
    <row r="286" spans="1:11">
      <c r="A286" s="2">
        <f>A278+1</f>
        <v>211</v>
      </c>
      <c r="B286" s="331" t="s">
        <v>372</v>
      </c>
      <c r="C286" s="332">
        <v>2023</v>
      </c>
      <c r="D286" s="241" t="s">
        <v>373</v>
      </c>
      <c r="E286" s="241" t="s">
        <v>373</v>
      </c>
      <c r="F286" s="241" t="s">
        <v>373</v>
      </c>
      <c r="G286" s="241" t="s">
        <v>373</v>
      </c>
      <c r="H286" s="241" t="s">
        <v>373</v>
      </c>
      <c r="I286" s="241" t="s">
        <v>373</v>
      </c>
      <c r="J286" s="6">
        <f>E45</f>
        <v>0</v>
      </c>
      <c r="K286" s="241" t="s">
        <v>373</v>
      </c>
    </row>
    <row r="287" spans="1:11">
      <c r="A287" s="2">
        <f>A286+1</f>
        <v>212</v>
      </c>
      <c r="B287" s="331" t="s">
        <v>374</v>
      </c>
      <c r="C287" s="332">
        <v>2024</v>
      </c>
      <c r="D287" s="59">
        <v>5896</v>
      </c>
      <c r="E287" s="6">
        <f>D287*'16-PlantAdditions'!$E$103</f>
        <v>442.2</v>
      </c>
      <c r="F287" s="6">
        <f>E287+D287</f>
        <v>6338.2</v>
      </c>
      <c r="G287" s="59">
        <v>5896</v>
      </c>
      <c r="H287" s="59">
        <v>0</v>
      </c>
      <c r="I287" s="6">
        <f>(G287-H287)*'16-PlantAdditions'!$E$103</f>
        <v>442.2</v>
      </c>
      <c r="J287" s="6">
        <f>J286+F287-G287-I287</f>
        <v>0</v>
      </c>
      <c r="K287" s="6">
        <f>J287-$J$286</f>
        <v>0</v>
      </c>
    </row>
    <row r="288" spans="1:11">
      <c r="A288" s="2">
        <f t="shared" ref="A288:A311" si="77">A287+1</f>
        <v>213</v>
      </c>
      <c r="B288" s="331" t="s">
        <v>375</v>
      </c>
      <c r="C288" s="332">
        <v>2024</v>
      </c>
      <c r="D288" s="59">
        <v>0</v>
      </c>
      <c r="E288" s="6">
        <f>D288*'16-PlantAdditions'!$E$103</f>
        <v>0</v>
      </c>
      <c r="F288" s="6">
        <f t="shared" ref="F288:F307" si="78">E288+D288</f>
        <v>0</v>
      </c>
      <c r="G288" s="59">
        <v>0</v>
      </c>
      <c r="H288" s="59">
        <v>0</v>
      </c>
      <c r="I288" s="6">
        <f>(G288-H288)*'16-PlantAdditions'!$E$103</f>
        <v>0</v>
      </c>
      <c r="J288" s="6">
        <f t="shared" ref="J288:J307" si="79">J287+F288-G288-I288</f>
        <v>0</v>
      </c>
      <c r="K288" s="6">
        <f t="shared" ref="K288:K310" si="80">J288-$J$286</f>
        <v>0</v>
      </c>
    </row>
    <row r="289" spans="1:13">
      <c r="A289" s="2">
        <f t="shared" si="77"/>
        <v>214</v>
      </c>
      <c r="B289" s="331" t="s">
        <v>376</v>
      </c>
      <c r="C289" s="332">
        <v>2024</v>
      </c>
      <c r="D289" s="59">
        <v>0</v>
      </c>
      <c r="E289" s="6">
        <f>D289*'16-PlantAdditions'!$E$103</f>
        <v>0</v>
      </c>
      <c r="F289" s="6">
        <f t="shared" si="78"/>
        <v>0</v>
      </c>
      <c r="G289" s="59">
        <v>0</v>
      </c>
      <c r="H289" s="59">
        <v>0</v>
      </c>
      <c r="I289" s="6">
        <f>(G289-H289)*'16-PlantAdditions'!$E$103</f>
        <v>0</v>
      </c>
      <c r="J289" s="6">
        <f t="shared" si="79"/>
        <v>0</v>
      </c>
      <c r="K289" s="6">
        <f t="shared" si="80"/>
        <v>0</v>
      </c>
    </row>
    <row r="290" spans="1:13">
      <c r="A290" s="2">
        <f t="shared" si="77"/>
        <v>215</v>
      </c>
      <c r="B290" s="331" t="s">
        <v>377</v>
      </c>
      <c r="C290" s="332">
        <v>2024</v>
      </c>
      <c r="D290" s="59">
        <v>0</v>
      </c>
      <c r="E290" s="6">
        <f>D290*'16-PlantAdditions'!$E$103</f>
        <v>0</v>
      </c>
      <c r="F290" s="6">
        <f t="shared" si="78"/>
        <v>0</v>
      </c>
      <c r="G290" s="59">
        <v>0</v>
      </c>
      <c r="H290" s="59">
        <v>0</v>
      </c>
      <c r="I290" s="6">
        <f>(G290-H290)*'16-PlantAdditions'!$E$103</f>
        <v>0</v>
      </c>
      <c r="J290" s="6">
        <f t="shared" si="79"/>
        <v>0</v>
      </c>
      <c r="K290" s="6">
        <f t="shared" si="80"/>
        <v>0</v>
      </c>
    </row>
    <row r="291" spans="1:13">
      <c r="A291" s="2">
        <f t="shared" si="77"/>
        <v>216</v>
      </c>
      <c r="B291" s="331" t="s">
        <v>378</v>
      </c>
      <c r="C291" s="332">
        <v>2024</v>
      </c>
      <c r="D291" s="59">
        <v>0</v>
      </c>
      <c r="E291" s="6">
        <f>D291*'16-PlantAdditions'!$E$103</f>
        <v>0</v>
      </c>
      <c r="F291" s="6">
        <f t="shared" si="78"/>
        <v>0</v>
      </c>
      <c r="G291" s="59">
        <v>0</v>
      </c>
      <c r="H291" s="59">
        <v>0</v>
      </c>
      <c r="I291" s="6">
        <f>(G291-H291)*'16-PlantAdditions'!$E$103</f>
        <v>0</v>
      </c>
      <c r="J291" s="6">
        <f t="shared" si="79"/>
        <v>0</v>
      </c>
      <c r="K291" s="6">
        <f t="shared" si="80"/>
        <v>0</v>
      </c>
      <c r="L291" s="2"/>
      <c r="M291" s="2"/>
    </row>
    <row r="292" spans="1:13">
      <c r="A292" s="2">
        <f t="shared" si="77"/>
        <v>217</v>
      </c>
      <c r="B292" s="331" t="s">
        <v>587</v>
      </c>
      <c r="C292" s="332">
        <v>2024</v>
      </c>
      <c r="D292" s="59">
        <v>0</v>
      </c>
      <c r="E292" s="6">
        <f>D292*'16-PlantAdditions'!$E$103</f>
        <v>0</v>
      </c>
      <c r="F292" s="6">
        <f t="shared" si="78"/>
        <v>0</v>
      </c>
      <c r="G292" s="59">
        <v>0</v>
      </c>
      <c r="H292" s="59">
        <v>0</v>
      </c>
      <c r="I292" s="6">
        <f>(G292-H292)*'16-PlantAdditions'!$E$103</f>
        <v>0</v>
      </c>
      <c r="J292" s="6">
        <f t="shared" si="79"/>
        <v>0</v>
      </c>
      <c r="K292" s="6">
        <f t="shared" si="80"/>
        <v>0</v>
      </c>
      <c r="L292" s="3"/>
      <c r="M292" s="3"/>
    </row>
    <row r="293" spans="1:13">
      <c r="A293" s="2">
        <f t="shared" si="77"/>
        <v>218</v>
      </c>
      <c r="B293" s="331" t="s">
        <v>380</v>
      </c>
      <c r="C293" s="332">
        <v>2024</v>
      </c>
      <c r="D293" s="59">
        <v>0</v>
      </c>
      <c r="E293" s="6">
        <f>D293*'16-PlantAdditions'!$E$103</f>
        <v>0</v>
      </c>
      <c r="F293" s="6">
        <f t="shared" si="78"/>
        <v>0</v>
      </c>
      <c r="G293" s="59">
        <v>0</v>
      </c>
      <c r="H293" s="59">
        <v>0</v>
      </c>
      <c r="I293" s="6">
        <f>(G293-H293)*'16-PlantAdditions'!$E$103</f>
        <v>0</v>
      </c>
      <c r="J293" s="6">
        <f t="shared" si="79"/>
        <v>0</v>
      </c>
      <c r="K293" s="6">
        <f t="shared" si="80"/>
        <v>0</v>
      </c>
    </row>
    <row r="294" spans="1:13">
      <c r="A294" s="2">
        <f t="shared" si="77"/>
        <v>219</v>
      </c>
      <c r="B294" s="331" t="s">
        <v>381</v>
      </c>
      <c r="C294" s="332">
        <v>2024</v>
      </c>
      <c r="D294" s="59">
        <v>0</v>
      </c>
      <c r="E294" s="6">
        <f>D294*'16-PlantAdditions'!$E$103</f>
        <v>0</v>
      </c>
      <c r="F294" s="6">
        <f t="shared" si="78"/>
        <v>0</v>
      </c>
      <c r="G294" s="59">
        <v>0</v>
      </c>
      <c r="H294" s="59">
        <v>0</v>
      </c>
      <c r="I294" s="6">
        <f>(G294-H294)*'16-PlantAdditions'!$E$103</f>
        <v>0</v>
      </c>
      <c r="J294" s="6">
        <f t="shared" si="79"/>
        <v>0</v>
      </c>
      <c r="K294" s="6">
        <f t="shared" si="80"/>
        <v>0</v>
      </c>
    </row>
    <row r="295" spans="1:13">
      <c r="A295" s="2">
        <f t="shared" si="77"/>
        <v>220</v>
      </c>
      <c r="B295" s="331" t="s">
        <v>382</v>
      </c>
      <c r="C295" s="332">
        <v>2024</v>
      </c>
      <c r="D295" s="59">
        <v>0</v>
      </c>
      <c r="E295" s="6">
        <f>D295*'16-PlantAdditions'!$E$103</f>
        <v>0</v>
      </c>
      <c r="F295" s="6">
        <f t="shared" si="78"/>
        <v>0</v>
      </c>
      <c r="G295" s="59">
        <v>0</v>
      </c>
      <c r="H295" s="59">
        <v>0</v>
      </c>
      <c r="I295" s="6">
        <f>(G295-H295)*'16-PlantAdditions'!$E$103</f>
        <v>0</v>
      </c>
      <c r="J295" s="6">
        <f t="shared" si="79"/>
        <v>0</v>
      </c>
      <c r="K295" s="6">
        <f t="shared" si="80"/>
        <v>0</v>
      </c>
    </row>
    <row r="296" spans="1:13">
      <c r="A296" s="2">
        <f t="shared" si="77"/>
        <v>221</v>
      </c>
      <c r="B296" s="331" t="s">
        <v>383</v>
      </c>
      <c r="C296" s="332">
        <v>2024</v>
      </c>
      <c r="D296" s="59">
        <v>0</v>
      </c>
      <c r="E296" s="6">
        <f>D296*'16-PlantAdditions'!$E$103</f>
        <v>0</v>
      </c>
      <c r="F296" s="6">
        <f t="shared" si="78"/>
        <v>0</v>
      </c>
      <c r="G296" s="59">
        <v>0</v>
      </c>
      <c r="H296" s="59">
        <v>0</v>
      </c>
      <c r="I296" s="6">
        <f>(G296-H296)*'16-PlantAdditions'!$E$103</f>
        <v>0</v>
      </c>
      <c r="J296" s="6">
        <f t="shared" si="79"/>
        <v>0</v>
      </c>
      <c r="K296" s="6">
        <f t="shared" si="80"/>
        <v>0</v>
      </c>
    </row>
    <row r="297" spans="1:13">
      <c r="A297" s="2">
        <f t="shared" si="77"/>
        <v>222</v>
      </c>
      <c r="B297" s="331" t="s">
        <v>384</v>
      </c>
      <c r="C297" s="332">
        <v>2024</v>
      </c>
      <c r="D297" s="59">
        <v>0</v>
      </c>
      <c r="E297" s="6">
        <f>D297*'16-PlantAdditions'!$E$103</f>
        <v>0</v>
      </c>
      <c r="F297" s="6">
        <f t="shared" si="78"/>
        <v>0</v>
      </c>
      <c r="G297" s="59">
        <v>0</v>
      </c>
      <c r="H297" s="59">
        <v>0</v>
      </c>
      <c r="I297" s="6">
        <f>(G297-H297)*'16-PlantAdditions'!$E$103</f>
        <v>0</v>
      </c>
      <c r="J297" s="6">
        <f t="shared" si="79"/>
        <v>0</v>
      </c>
      <c r="K297" s="6">
        <f t="shared" si="80"/>
        <v>0</v>
      </c>
    </row>
    <row r="298" spans="1:13">
      <c r="A298" s="2">
        <f t="shared" si="77"/>
        <v>223</v>
      </c>
      <c r="B298" s="331" t="s">
        <v>372</v>
      </c>
      <c r="C298" s="332">
        <v>2024</v>
      </c>
      <c r="D298" s="59">
        <v>0</v>
      </c>
      <c r="E298" s="6">
        <f>D298*'16-PlantAdditions'!$E$103</f>
        <v>0</v>
      </c>
      <c r="F298" s="6">
        <f t="shared" si="78"/>
        <v>0</v>
      </c>
      <c r="G298" s="59">
        <v>0</v>
      </c>
      <c r="H298" s="59">
        <v>0</v>
      </c>
      <c r="I298" s="6">
        <f>(G298-H298)*'16-PlantAdditions'!$E$103</f>
        <v>0</v>
      </c>
      <c r="J298" s="6">
        <f t="shared" si="79"/>
        <v>0</v>
      </c>
      <c r="K298" s="6">
        <f t="shared" si="80"/>
        <v>0</v>
      </c>
    </row>
    <row r="299" spans="1:13">
      <c r="A299" s="2">
        <f t="shared" si="77"/>
        <v>224</v>
      </c>
      <c r="B299" s="331" t="s">
        <v>374</v>
      </c>
      <c r="C299" s="332">
        <v>2025</v>
      </c>
      <c r="D299" s="59">
        <v>0</v>
      </c>
      <c r="E299" s="6">
        <f>D299*'16-PlantAdditions'!$E$103</f>
        <v>0</v>
      </c>
      <c r="F299" s="6">
        <f t="shared" si="78"/>
        <v>0</v>
      </c>
      <c r="G299" s="59">
        <v>0</v>
      </c>
      <c r="H299" s="59">
        <v>0</v>
      </c>
      <c r="I299" s="6">
        <f>(G299-H299)*'16-PlantAdditions'!$E$103</f>
        <v>0</v>
      </c>
      <c r="J299" s="6">
        <f t="shared" si="79"/>
        <v>0</v>
      </c>
      <c r="K299" s="6">
        <f t="shared" si="80"/>
        <v>0</v>
      </c>
    </row>
    <row r="300" spans="1:13">
      <c r="A300" s="2">
        <f t="shared" si="77"/>
        <v>225</v>
      </c>
      <c r="B300" s="331" t="s">
        <v>375</v>
      </c>
      <c r="C300" s="332">
        <v>2025</v>
      </c>
      <c r="D300" s="59">
        <v>0</v>
      </c>
      <c r="E300" s="6">
        <f>D300*'16-PlantAdditions'!$E$103</f>
        <v>0</v>
      </c>
      <c r="F300" s="6">
        <f t="shared" si="78"/>
        <v>0</v>
      </c>
      <c r="G300" s="59">
        <v>0</v>
      </c>
      <c r="H300" s="59">
        <v>0</v>
      </c>
      <c r="I300" s="6">
        <f>(G300-H300)*'16-PlantAdditions'!$E$103</f>
        <v>0</v>
      </c>
      <c r="J300" s="6">
        <f t="shared" si="79"/>
        <v>0</v>
      </c>
      <c r="K300" s="6">
        <f t="shared" si="80"/>
        <v>0</v>
      </c>
    </row>
    <row r="301" spans="1:13">
      <c r="A301" s="2">
        <f t="shared" si="77"/>
        <v>226</v>
      </c>
      <c r="B301" s="331" t="s">
        <v>376</v>
      </c>
      <c r="C301" s="332">
        <v>2025</v>
      </c>
      <c r="D301" s="59">
        <v>0</v>
      </c>
      <c r="E301" s="6">
        <f>D301*'16-PlantAdditions'!$E$103</f>
        <v>0</v>
      </c>
      <c r="F301" s="6">
        <f t="shared" si="78"/>
        <v>0</v>
      </c>
      <c r="G301" s="59">
        <v>0</v>
      </c>
      <c r="H301" s="59">
        <v>0</v>
      </c>
      <c r="I301" s="6">
        <f>(G301-H301)*'16-PlantAdditions'!$E$103</f>
        <v>0</v>
      </c>
      <c r="J301" s="6">
        <f t="shared" si="79"/>
        <v>0</v>
      </c>
      <c r="K301" s="6">
        <f t="shared" si="80"/>
        <v>0</v>
      </c>
    </row>
    <row r="302" spans="1:13">
      <c r="A302" s="2">
        <f t="shared" si="77"/>
        <v>227</v>
      </c>
      <c r="B302" s="331" t="s">
        <v>377</v>
      </c>
      <c r="C302" s="332">
        <v>2025</v>
      </c>
      <c r="D302" s="59">
        <v>0</v>
      </c>
      <c r="E302" s="6">
        <f>D302*'16-PlantAdditions'!$E$103</f>
        <v>0</v>
      </c>
      <c r="F302" s="6">
        <f t="shared" si="78"/>
        <v>0</v>
      </c>
      <c r="G302" s="59">
        <v>0</v>
      </c>
      <c r="H302" s="59">
        <v>0</v>
      </c>
      <c r="I302" s="6">
        <f>(G302-H302)*'16-PlantAdditions'!$E$103</f>
        <v>0</v>
      </c>
      <c r="J302" s="6">
        <f t="shared" si="79"/>
        <v>0</v>
      </c>
      <c r="K302" s="6">
        <f t="shared" si="80"/>
        <v>0</v>
      </c>
    </row>
    <row r="303" spans="1:13">
      <c r="A303" s="2">
        <f t="shared" si="77"/>
        <v>228</v>
      </c>
      <c r="B303" s="331" t="s">
        <v>378</v>
      </c>
      <c r="C303" s="332">
        <v>2025</v>
      </c>
      <c r="D303" s="59">
        <v>0</v>
      </c>
      <c r="E303" s="6">
        <f>D303*'16-PlantAdditions'!$E$103</f>
        <v>0</v>
      </c>
      <c r="F303" s="6">
        <f t="shared" si="78"/>
        <v>0</v>
      </c>
      <c r="G303" s="59">
        <v>0</v>
      </c>
      <c r="H303" s="59">
        <v>0</v>
      </c>
      <c r="I303" s="6">
        <f>(G303-H303)*'16-PlantAdditions'!$E$103</f>
        <v>0</v>
      </c>
      <c r="J303" s="6">
        <f t="shared" si="79"/>
        <v>0</v>
      </c>
      <c r="K303" s="6">
        <f t="shared" si="80"/>
        <v>0</v>
      </c>
    </row>
    <row r="304" spans="1:13">
      <c r="A304" s="2">
        <f t="shared" si="77"/>
        <v>229</v>
      </c>
      <c r="B304" s="331" t="s">
        <v>587</v>
      </c>
      <c r="C304" s="332">
        <v>2025</v>
      </c>
      <c r="D304" s="59">
        <v>0</v>
      </c>
      <c r="E304" s="6">
        <f>D304*'16-PlantAdditions'!$E$103</f>
        <v>0</v>
      </c>
      <c r="F304" s="6">
        <f t="shared" si="78"/>
        <v>0</v>
      </c>
      <c r="G304" s="59">
        <v>0</v>
      </c>
      <c r="H304" s="59">
        <v>0</v>
      </c>
      <c r="I304" s="6">
        <f>(G304-H304)*'16-PlantAdditions'!$E$103</f>
        <v>0</v>
      </c>
      <c r="J304" s="6">
        <f t="shared" si="79"/>
        <v>0</v>
      </c>
      <c r="K304" s="6">
        <f t="shared" si="80"/>
        <v>0</v>
      </c>
    </row>
    <row r="305" spans="1:12">
      <c r="A305" s="2">
        <f t="shared" si="77"/>
        <v>230</v>
      </c>
      <c r="B305" s="331" t="s">
        <v>380</v>
      </c>
      <c r="C305" s="332">
        <v>2025</v>
      </c>
      <c r="D305" s="59">
        <v>0</v>
      </c>
      <c r="E305" s="6">
        <f>D305*'16-PlantAdditions'!$E$103</f>
        <v>0</v>
      </c>
      <c r="F305" s="6">
        <f t="shared" si="78"/>
        <v>0</v>
      </c>
      <c r="G305" s="59">
        <v>0</v>
      </c>
      <c r="H305" s="59">
        <v>0</v>
      </c>
      <c r="I305" s="6">
        <f>(G305-H305)*'16-PlantAdditions'!$E$103</f>
        <v>0</v>
      </c>
      <c r="J305" s="6">
        <f t="shared" si="79"/>
        <v>0</v>
      </c>
      <c r="K305" s="6">
        <f t="shared" si="80"/>
        <v>0</v>
      </c>
    </row>
    <row r="306" spans="1:12">
      <c r="A306" s="2">
        <f t="shared" si="77"/>
        <v>231</v>
      </c>
      <c r="B306" s="331" t="s">
        <v>381</v>
      </c>
      <c r="C306" s="332">
        <v>2025</v>
      </c>
      <c r="D306" s="59">
        <v>0</v>
      </c>
      <c r="E306" s="6">
        <f>D306*'16-PlantAdditions'!$E$103</f>
        <v>0</v>
      </c>
      <c r="F306" s="6">
        <f t="shared" si="78"/>
        <v>0</v>
      </c>
      <c r="G306" s="59">
        <v>0</v>
      </c>
      <c r="H306" s="59">
        <v>0</v>
      </c>
      <c r="I306" s="6">
        <f>(G306-H306)*'16-PlantAdditions'!$E$103</f>
        <v>0</v>
      </c>
      <c r="J306" s="6">
        <f t="shared" si="79"/>
        <v>0</v>
      </c>
      <c r="K306" s="6">
        <f t="shared" si="80"/>
        <v>0</v>
      </c>
    </row>
    <row r="307" spans="1:12">
      <c r="A307" s="2">
        <f t="shared" si="77"/>
        <v>232</v>
      </c>
      <c r="B307" s="331" t="s">
        <v>382</v>
      </c>
      <c r="C307" s="332">
        <v>2025</v>
      </c>
      <c r="D307" s="59">
        <v>0</v>
      </c>
      <c r="E307" s="6">
        <f>D307*'16-PlantAdditions'!$E$103</f>
        <v>0</v>
      </c>
      <c r="F307" s="6">
        <f t="shared" si="78"/>
        <v>0</v>
      </c>
      <c r="G307" s="59">
        <v>0</v>
      </c>
      <c r="H307" s="59">
        <v>0</v>
      </c>
      <c r="I307" s="6">
        <f>(G307-H307)*'16-PlantAdditions'!$E$103</f>
        <v>0</v>
      </c>
      <c r="J307" s="6">
        <f t="shared" si="79"/>
        <v>0</v>
      </c>
      <c r="K307" s="6">
        <f t="shared" si="80"/>
        <v>0</v>
      </c>
    </row>
    <row r="308" spans="1:12">
      <c r="A308" s="2">
        <f t="shared" si="77"/>
        <v>233</v>
      </c>
      <c r="B308" s="331" t="s">
        <v>383</v>
      </c>
      <c r="C308" s="332">
        <v>2025</v>
      </c>
      <c r="D308" s="59">
        <v>0</v>
      </c>
      <c r="E308" s="6">
        <f>D308*'16-PlantAdditions'!$E$103</f>
        <v>0</v>
      </c>
      <c r="F308" s="6">
        <f t="shared" ref="F308:F310" si="81">E308+D308</f>
        <v>0</v>
      </c>
      <c r="G308" s="59">
        <v>0</v>
      </c>
      <c r="H308" s="59">
        <v>0</v>
      </c>
      <c r="I308" s="6">
        <f>(G308-H308)*'16-PlantAdditions'!$E$103</f>
        <v>0</v>
      </c>
      <c r="J308" s="6">
        <f t="shared" ref="J308:J310" si="82">J307+F308-G308-I308</f>
        <v>0</v>
      </c>
      <c r="K308" s="6">
        <f t="shared" si="80"/>
        <v>0</v>
      </c>
    </row>
    <row r="309" spans="1:12">
      <c r="A309" s="2">
        <f t="shared" si="77"/>
        <v>234</v>
      </c>
      <c r="B309" s="331" t="s">
        <v>384</v>
      </c>
      <c r="C309" s="332">
        <v>2025</v>
      </c>
      <c r="D309" s="59">
        <v>0</v>
      </c>
      <c r="E309" s="6">
        <f>D309*'16-PlantAdditions'!$E$103</f>
        <v>0</v>
      </c>
      <c r="F309" s="6">
        <f t="shared" si="81"/>
        <v>0</v>
      </c>
      <c r="G309" s="59">
        <v>0</v>
      </c>
      <c r="H309" s="59">
        <v>0</v>
      </c>
      <c r="I309" s="6">
        <f>(G309-H309)*'16-PlantAdditions'!$E$103</f>
        <v>0</v>
      </c>
      <c r="J309" s="6">
        <f t="shared" si="82"/>
        <v>0</v>
      </c>
      <c r="K309" s="6">
        <f t="shared" si="80"/>
        <v>0</v>
      </c>
    </row>
    <row r="310" spans="1:12">
      <c r="A310" s="2">
        <f t="shared" si="77"/>
        <v>235</v>
      </c>
      <c r="B310" s="331" t="s">
        <v>372</v>
      </c>
      <c r="C310" s="332">
        <v>2025</v>
      </c>
      <c r="D310" s="59">
        <v>0</v>
      </c>
      <c r="E310" s="6">
        <f>D310*'16-PlantAdditions'!$E$103</f>
        <v>0</v>
      </c>
      <c r="F310" s="6">
        <f t="shared" si="81"/>
        <v>0</v>
      </c>
      <c r="G310" s="59">
        <v>0</v>
      </c>
      <c r="H310" s="59">
        <v>0</v>
      </c>
      <c r="I310" s="6">
        <f>(G310-H310)*'16-PlantAdditions'!$E$103</f>
        <v>0</v>
      </c>
      <c r="J310" s="6">
        <f t="shared" si="82"/>
        <v>0</v>
      </c>
      <c r="K310" s="53">
        <f t="shared" si="80"/>
        <v>0</v>
      </c>
    </row>
    <row r="311" spans="1:12">
      <c r="A311" s="2">
        <f t="shared" si="77"/>
        <v>236</v>
      </c>
      <c r="C311" s="353" t="s">
        <v>990</v>
      </c>
      <c r="K311" s="42">
        <f>AVERAGE(K298:K310)</f>
        <v>0</v>
      </c>
    </row>
    <row r="312" spans="1:12">
      <c r="A312" s="2"/>
      <c r="C312" s="353"/>
      <c r="K312" s="42"/>
    </row>
    <row r="313" spans="1:12">
      <c r="B313" s="34" t="s">
        <v>1011</v>
      </c>
      <c r="D313" s="1109" t="s">
        <v>970</v>
      </c>
      <c r="E313" s="1109"/>
    </row>
    <row r="314" spans="1:12">
      <c r="A314" s="3"/>
      <c r="B314" s="3"/>
      <c r="C314" s="3"/>
      <c r="D314" s="3" t="s">
        <v>329</v>
      </c>
      <c r="E314" s="3" t="s">
        <v>330</v>
      </c>
      <c r="F314" s="3" t="s">
        <v>331</v>
      </c>
      <c r="G314" s="3" t="s">
        <v>332</v>
      </c>
      <c r="H314" s="3" t="s">
        <v>333</v>
      </c>
      <c r="I314" s="3" t="s">
        <v>334</v>
      </c>
      <c r="J314" s="3" t="s">
        <v>335</v>
      </c>
      <c r="K314" s="3" t="s">
        <v>336</v>
      </c>
    </row>
    <row r="315" spans="1:12" ht="38.25">
      <c r="D315" s="48"/>
      <c r="E315" s="354" t="s">
        <v>994</v>
      </c>
      <c r="F315" s="241" t="s">
        <v>995</v>
      </c>
      <c r="G315" s="241"/>
      <c r="H315" s="48"/>
      <c r="I315" s="354" t="s">
        <v>996</v>
      </c>
      <c r="J315" s="354" t="s">
        <v>997</v>
      </c>
      <c r="K315" s="354" t="s">
        <v>998</v>
      </c>
    </row>
    <row r="316" spans="1:12">
      <c r="D316" s="48"/>
      <c r="E316" s="48"/>
      <c r="F316" s="48"/>
      <c r="G316" s="2" t="str">
        <f>G51</f>
        <v>Unloaded</v>
      </c>
      <c r="H316" s="48"/>
      <c r="I316" s="48"/>
    </row>
    <row r="317" spans="1:12">
      <c r="A317" s="2"/>
      <c r="B317" s="2"/>
      <c r="C317" s="2"/>
      <c r="D317" s="2" t="str">
        <f>D$52</f>
        <v>Forecast</v>
      </c>
      <c r="E317" s="2" t="str">
        <f t="shared" ref="E317:J317" si="83">E$52</f>
        <v>Corporate</v>
      </c>
      <c r="F317" s="2" t="str">
        <f t="shared" si="83"/>
        <v xml:space="preserve">Total </v>
      </c>
      <c r="G317" s="2" t="str">
        <f>G52</f>
        <v>Total</v>
      </c>
      <c r="H317" s="2" t="str">
        <f t="shared" si="83"/>
        <v>Prior Period</v>
      </c>
      <c r="I317" s="2" t="str">
        <f t="shared" si="83"/>
        <v>Over Heads</v>
      </c>
      <c r="J317" s="2" t="str">
        <f t="shared" si="83"/>
        <v>Forecast</v>
      </c>
      <c r="K317" s="2" t="str">
        <f>K$52</f>
        <v>Forecast Period</v>
      </c>
    </row>
    <row r="318" spans="1:12">
      <c r="A318" s="30" t="s">
        <v>266</v>
      </c>
      <c r="B318" s="330" t="s">
        <v>364</v>
      </c>
      <c r="C318" s="330" t="s">
        <v>365</v>
      </c>
      <c r="D318" s="3" t="str">
        <f>D$53</f>
        <v>Expenditures</v>
      </c>
      <c r="E318" s="3" t="str">
        <f t="shared" ref="E318:J318" si="84">E$53</f>
        <v>Overheads</v>
      </c>
      <c r="F318" s="3" t="str">
        <f t="shared" si="84"/>
        <v>CWIP Exp</v>
      </c>
      <c r="G318" s="3" t="str">
        <f>G53</f>
        <v>Plant Adds</v>
      </c>
      <c r="H318" s="3" t="str">
        <f t="shared" si="84"/>
        <v>CWIP Closed</v>
      </c>
      <c r="I318" s="3" t="str">
        <f t="shared" si="84"/>
        <v>Closed to PIS</v>
      </c>
      <c r="J318" s="3" t="str">
        <f t="shared" si="84"/>
        <v>Period CWIP</v>
      </c>
      <c r="K318" s="3" t="str">
        <f>K$53</f>
        <v>Incremental CWIP</v>
      </c>
    </row>
    <row r="319" spans="1:12">
      <c r="A319" s="2">
        <f>A311+1</f>
        <v>237</v>
      </c>
      <c r="B319" s="331" t="s">
        <v>372</v>
      </c>
      <c r="C319" s="332">
        <v>2023</v>
      </c>
      <c r="D319" s="241" t="s">
        <v>373</v>
      </c>
      <c r="E319" s="241" t="s">
        <v>373</v>
      </c>
      <c r="F319" s="241" t="s">
        <v>373</v>
      </c>
      <c r="G319" s="241" t="s">
        <v>373</v>
      </c>
      <c r="H319" s="241" t="s">
        <v>373</v>
      </c>
      <c r="I319" s="241" t="s">
        <v>373</v>
      </c>
      <c r="J319" s="6">
        <f>F45</f>
        <v>0</v>
      </c>
      <c r="K319" s="241" t="s">
        <v>373</v>
      </c>
    </row>
    <row r="320" spans="1:12">
      <c r="A320" s="2">
        <f>A319+1</f>
        <v>238</v>
      </c>
      <c r="B320" s="331" t="s">
        <v>374</v>
      </c>
      <c r="C320" s="332">
        <v>2024</v>
      </c>
      <c r="D320" s="59">
        <v>692115.04260000004</v>
      </c>
      <c r="E320" s="6">
        <f>D320*'16-PlantAdditions'!$E$103</f>
        <v>51908.628195000005</v>
      </c>
      <c r="F320" s="6">
        <f>E320+D320</f>
        <v>744023.67079500004</v>
      </c>
      <c r="G320" s="59">
        <v>692115.04260000004</v>
      </c>
      <c r="H320" s="59">
        <v>0</v>
      </c>
      <c r="I320" s="6">
        <f>(G320-H320)*'16-PlantAdditions'!$E$103</f>
        <v>51908.628195000005</v>
      </c>
      <c r="J320" s="6">
        <f>J319+F320-G320-I320</f>
        <v>0</v>
      </c>
      <c r="K320" s="6">
        <f>J320-$J$319</f>
        <v>0</v>
      </c>
      <c r="L320" s="2"/>
    </row>
    <row r="321" spans="1:12">
      <c r="A321" s="2">
        <f t="shared" ref="A321:A344" si="85">A320+1</f>
        <v>239</v>
      </c>
      <c r="B321" s="331" t="s">
        <v>375</v>
      </c>
      <c r="C321" s="332">
        <v>2024</v>
      </c>
      <c r="D321" s="59">
        <v>577400</v>
      </c>
      <c r="E321" s="6">
        <f>D321*'16-PlantAdditions'!$E$103</f>
        <v>43305</v>
      </c>
      <c r="F321" s="6">
        <f t="shared" ref="F321:F340" si="86">E321+D321</f>
        <v>620705</v>
      </c>
      <c r="G321" s="59">
        <v>577400</v>
      </c>
      <c r="H321" s="59">
        <v>0</v>
      </c>
      <c r="I321" s="6">
        <f>(G321-H321)*'16-PlantAdditions'!$E$103</f>
        <v>43305</v>
      </c>
      <c r="J321" s="6">
        <f t="shared" ref="J321:J340" si="87">J320+F321-G321-I321</f>
        <v>0</v>
      </c>
      <c r="K321" s="6">
        <f t="shared" ref="K321:K343" si="88">J321-$J$319</f>
        <v>0</v>
      </c>
      <c r="L321" s="2"/>
    </row>
    <row r="322" spans="1:12">
      <c r="A322" s="2">
        <f t="shared" si="85"/>
        <v>240</v>
      </c>
      <c r="B322" s="331" t="s">
        <v>376</v>
      </c>
      <c r="C322" s="332">
        <v>2024</v>
      </c>
      <c r="D322" s="59">
        <v>577400</v>
      </c>
      <c r="E322" s="6">
        <f>D322*'16-PlantAdditions'!$E$103</f>
        <v>43305</v>
      </c>
      <c r="F322" s="6">
        <f t="shared" si="86"/>
        <v>620705</v>
      </c>
      <c r="G322" s="59">
        <v>577400</v>
      </c>
      <c r="H322" s="59">
        <v>0</v>
      </c>
      <c r="I322" s="6">
        <f>(G322-H322)*'16-PlantAdditions'!$E$103</f>
        <v>43305</v>
      </c>
      <c r="J322" s="6">
        <f t="shared" si="87"/>
        <v>0</v>
      </c>
      <c r="K322" s="6">
        <f t="shared" si="88"/>
        <v>0</v>
      </c>
      <c r="L322" s="2"/>
    </row>
    <row r="323" spans="1:12">
      <c r="A323" s="2">
        <f t="shared" si="85"/>
        <v>241</v>
      </c>
      <c r="B323" s="331" t="s">
        <v>377</v>
      </c>
      <c r="C323" s="332">
        <v>2024</v>
      </c>
      <c r="D323" s="59">
        <v>550600</v>
      </c>
      <c r="E323" s="6">
        <f>D323*'16-PlantAdditions'!$E$103</f>
        <v>41295</v>
      </c>
      <c r="F323" s="6">
        <f t="shared" si="86"/>
        <v>591895</v>
      </c>
      <c r="G323" s="59">
        <v>550600</v>
      </c>
      <c r="H323" s="59">
        <v>0</v>
      </c>
      <c r="I323" s="6">
        <f>(G323-H323)*'16-PlantAdditions'!$E$103</f>
        <v>41295</v>
      </c>
      <c r="J323" s="6">
        <f t="shared" si="87"/>
        <v>0</v>
      </c>
      <c r="K323" s="6">
        <f t="shared" si="88"/>
        <v>0</v>
      </c>
      <c r="L323" s="3"/>
    </row>
    <row r="324" spans="1:12">
      <c r="A324" s="2">
        <f t="shared" si="85"/>
        <v>242</v>
      </c>
      <c r="B324" s="331" t="s">
        <v>378</v>
      </c>
      <c r="C324" s="332">
        <v>2024</v>
      </c>
      <c r="D324" s="59">
        <v>496900</v>
      </c>
      <c r="E324" s="6">
        <f>D324*'16-PlantAdditions'!$E$103</f>
        <v>37267.5</v>
      </c>
      <c r="F324" s="6">
        <f t="shared" si="86"/>
        <v>534167.5</v>
      </c>
      <c r="G324" s="59">
        <v>496900</v>
      </c>
      <c r="H324" s="59">
        <v>0</v>
      </c>
      <c r="I324" s="6">
        <f>(G324-H324)*'16-PlantAdditions'!$E$103</f>
        <v>37267.5</v>
      </c>
      <c r="J324" s="6">
        <f t="shared" si="87"/>
        <v>0</v>
      </c>
      <c r="K324" s="6">
        <f t="shared" si="88"/>
        <v>0</v>
      </c>
    </row>
    <row r="325" spans="1:12">
      <c r="A325" s="2">
        <f t="shared" si="85"/>
        <v>243</v>
      </c>
      <c r="B325" s="331" t="s">
        <v>587</v>
      </c>
      <c r="C325" s="332">
        <v>2024</v>
      </c>
      <c r="D325" s="59">
        <v>546900</v>
      </c>
      <c r="E325" s="6">
        <f>D325*'16-PlantAdditions'!$E$103</f>
        <v>41017.5</v>
      </c>
      <c r="F325" s="6">
        <f t="shared" si="86"/>
        <v>587917.5</v>
      </c>
      <c r="G325" s="59">
        <v>496900</v>
      </c>
      <c r="H325" s="59">
        <v>0</v>
      </c>
      <c r="I325" s="6">
        <f>(G325-H325)*'16-PlantAdditions'!$E$103</f>
        <v>37267.5</v>
      </c>
      <c r="J325" s="6">
        <f t="shared" si="87"/>
        <v>53750</v>
      </c>
      <c r="K325" s="6">
        <f t="shared" si="88"/>
        <v>53750</v>
      </c>
    </row>
    <row r="326" spans="1:12">
      <c r="A326" s="2">
        <f t="shared" si="85"/>
        <v>244</v>
      </c>
      <c r="B326" s="331" t="s">
        <v>380</v>
      </c>
      <c r="C326" s="332">
        <v>2024</v>
      </c>
      <c r="D326" s="59">
        <v>546900</v>
      </c>
      <c r="E326" s="6">
        <f>D326*'16-PlantAdditions'!$E$103</f>
        <v>41017.5</v>
      </c>
      <c r="F326" s="6">
        <f t="shared" si="86"/>
        <v>587917.5</v>
      </c>
      <c r="G326" s="59">
        <v>496900</v>
      </c>
      <c r="H326" s="59">
        <v>0</v>
      </c>
      <c r="I326" s="6">
        <f>(G326-H326)*'16-PlantAdditions'!$E$103</f>
        <v>37267.5</v>
      </c>
      <c r="J326" s="6">
        <f t="shared" si="87"/>
        <v>107500</v>
      </c>
      <c r="K326" s="6">
        <f t="shared" si="88"/>
        <v>107500</v>
      </c>
    </row>
    <row r="327" spans="1:12">
      <c r="A327" s="2">
        <f t="shared" si="85"/>
        <v>245</v>
      </c>
      <c r="B327" s="331" t="s">
        <v>381</v>
      </c>
      <c r="C327" s="332">
        <v>2024</v>
      </c>
      <c r="D327" s="59">
        <v>506650</v>
      </c>
      <c r="E327" s="6">
        <f>D327*'16-PlantAdditions'!$E$103</f>
        <v>37998.75</v>
      </c>
      <c r="F327" s="6">
        <f t="shared" si="86"/>
        <v>544648.75</v>
      </c>
      <c r="G327" s="59">
        <v>456650</v>
      </c>
      <c r="H327" s="59">
        <v>0</v>
      </c>
      <c r="I327" s="6">
        <f>(G327-H327)*'16-PlantAdditions'!$E$103</f>
        <v>34248.75</v>
      </c>
      <c r="J327" s="6">
        <f t="shared" si="87"/>
        <v>161250</v>
      </c>
      <c r="K327" s="6">
        <f t="shared" si="88"/>
        <v>161250</v>
      </c>
    </row>
    <row r="328" spans="1:12">
      <c r="A328" s="2">
        <f t="shared" si="85"/>
        <v>246</v>
      </c>
      <c r="B328" s="331" t="s">
        <v>382</v>
      </c>
      <c r="C328" s="332">
        <v>2024</v>
      </c>
      <c r="D328" s="59">
        <v>476770</v>
      </c>
      <c r="E328" s="6">
        <f>D328*'16-PlantAdditions'!$E$103</f>
        <v>35757.75</v>
      </c>
      <c r="F328" s="6">
        <f t="shared" si="86"/>
        <v>512527.75</v>
      </c>
      <c r="G328" s="59">
        <v>426770</v>
      </c>
      <c r="H328" s="59">
        <v>0</v>
      </c>
      <c r="I328" s="6">
        <f>(G328-H328)*'16-PlantAdditions'!$E$103</f>
        <v>32007.75</v>
      </c>
      <c r="J328" s="6">
        <f t="shared" si="87"/>
        <v>215000</v>
      </c>
      <c r="K328" s="6">
        <f t="shared" si="88"/>
        <v>215000</v>
      </c>
    </row>
    <row r="329" spans="1:12">
      <c r="A329" s="2">
        <f t="shared" si="85"/>
        <v>247</v>
      </c>
      <c r="B329" s="331" t="s">
        <v>383</v>
      </c>
      <c r="C329" s="332">
        <v>2024</v>
      </c>
      <c r="D329" s="59">
        <v>2779210</v>
      </c>
      <c r="E329" s="6">
        <f>D329*'16-PlantAdditions'!$E$103</f>
        <v>208440.75</v>
      </c>
      <c r="F329" s="6">
        <f t="shared" si="86"/>
        <v>2987650.75</v>
      </c>
      <c r="G329" s="59">
        <v>341650</v>
      </c>
      <c r="H329" s="59">
        <v>0</v>
      </c>
      <c r="I329" s="6">
        <f>(G329-H329)*'16-PlantAdditions'!$E$103</f>
        <v>25623.75</v>
      </c>
      <c r="J329" s="6">
        <f t="shared" si="87"/>
        <v>2835377</v>
      </c>
      <c r="K329" s="6">
        <f t="shared" si="88"/>
        <v>2835377</v>
      </c>
    </row>
    <row r="330" spans="1:12">
      <c r="A330" s="2">
        <f t="shared" si="85"/>
        <v>248</v>
      </c>
      <c r="B330" s="331" t="s">
        <v>384</v>
      </c>
      <c r="C330" s="332">
        <v>2024</v>
      </c>
      <c r="D330" s="59">
        <v>391650</v>
      </c>
      <c r="E330" s="6">
        <f>D330*'16-PlantAdditions'!$E$103</f>
        <v>29373.75</v>
      </c>
      <c r="F330" s="6">
        <f t="shared" si="86"/>
        <v>421023.75</v>
      </c>
      <c r="G330" s="59">
        <v>341650</v>
      </c>
      <c r="H330" s="59">
        <v>0</v>
      </c>
      <c r="I330" s="6">
        <f>(G330-H330)*'16-PlantAdditions'!$E$103</f>
        <v>25623.75</v>
      </c>
      <c r="J330" s="6">
        <f t="shared" si="87"/>
        <v>2889127</v>
      </c>
      <c r="K330" s="6">
        <f t="shared" si="88"/>
        <v>2889127</v>
      </c>
    </row>
    <row r="331" spans="1:12">
      <c r="A331" s="2">
        <f t="shared" si="85"/>
        <v>249</v>
      </c>
      <c r="B331" s="331" t="s">
        <v>372</v>
      </c>
      <c r="C331" s="332">
        <v>2024</v>
      </c>
      <c r="D331" s="59">
        <v>339147</v>
      </c>
      <c r="E331" s="6">
        <f>D331*'16-PlantAdditions'!$E$103</f>
        <v>25436.024999999998</v>
      </c>
      <c r="F331" s="6">
        <f t="shared" si="86"/>
        <v>364583.02500000002</v>
      </c>
      <c r="G331" s="59">
        <v>306707</v>
      </c>
      <c r="H331" s="59">
        <v>0</v>
      </c>
      <c r="I331" s="6">
        <f>(G331-H331)*'16-PlantAdditions'!$E$103</f>
        <v>23003.024999999998</v>
      </c>
      <c r="J331" s="6">
        <f t="shared" si="87"/>
        <v>2924000</v>
      </c>
      <c r="K331" s="6">
        <f t="shared" si="88"/>
        <v>2924000</v>
      </c>
    </row>
    <row r="332" spans="1:12">
      <c r="A332" s="2">
        <f t="shared" si="85"/>
        <v>250</v>
      </c>
      <c r="B332" s="331" t="s">
        <v>374</v>
      </c>
      <c r="C332" s="332">
        <v>2025</v>
      </c>
      <c r="D332" s="59">
        <v>95071</v>
      </c>
      <c r="E332" s="6">
        <f>D332*'16-PlantAdditions'!$E$103</f>
        <v>7130.3249999999998</v>
      </c>
      <c r="F332" s="6">
        <f t="shared" si="86"/>
        <v>102201.325</v>
      </c>
      <c r="G332" s="59">
        <v>65071</v>
      </c>
      <c r="H332" s="59">
        <v>0</v>
      </c>
      <c r="I332" s="6">
        <f>(G332-H332)*'16-PlantAdditions'!$E$103</f>
        <v>4880.3249999999998</v>
      </c>
      <c r="J332" s="6">
        <f t="shared" si="87"/>
        <v>2956250</v>
      </c>
      <c r="K332" s="6">
        <f t="shared" si="88"/>
        <v>2956250</v>
      </c>
    </row>
    <row r="333" spans="1:12">
      <c r="A333" s="2">
        <f t="shared" si="85"/>
        <v>251</v>
      </c>
      <c r="B333" s="331" t="s">
        <v>375</v>
      </c>
      <c r="C333" s="332">
        <v>2025</v>
      </c>
      <c r="D333" s="59">
        <v>95071</v>
      </c>
      <c r="E333" s="6">
        <f>D333*'16-PlantAdditions'!$E$103</f>
        <v>7130.3249999999998</v>
      </c>
      <c r="F333" s="6">
        <f t="shared" si="86"/>
        <v>102201.325</v>
      </c>
      <c r="G333" s="59">
        <v>65071</v>
      </c>
      <c r="H333" s="59">
        <v>0</v>
      </c>
      <c r="I333" s="6">
        <f>(G333-H333)*'16-PlantAdditions'!$E$103</f>
        <v>4880.3249999999998</v>
      </c>
      <c r="J333" s="6">
        <f t="shared" si="87"/>
        <v>2988500</v>
      </c>
      <c r="K333" s="6">
        <f t="shared" si="88"/>
        <v>2988500</v>
      </c>
    </row>
    <row r="334" spans="1:12">
      <c r="A334" s="2">
        <f t="shared" si="85"/>
        <v>252</v>
      </c>
      <c r="B334" s="331" t="s">
        <v>376</v>
      </c>
      <c r="C334" s="332">
        <v>2025</v>
      </c>
      <c r="D334" s="59">
        <v>95071</v>
      </c>
      <c r="E334" s="6">
        <f>D334*'16-PlantAdditions'!$E$103</f>
        <v>7130.3249999999998</v>
      </c>
      <c r="F334" s="6">
        <f t="shared" si="86"/>
        <v>102201.325</v>
      </c>
      <c r="G334" s="59">
        <v>65071</v>
      </c>
      <c r="H334" s="59">
        <v>0</v>
      </c>
      <c r="I334" s="6">
        <f>(G334-H334)*'16-PlantAdditions'!$E$103</f>
        <v>4880.3249999999998</v>
      </c>
      <c r="J334" s="6">
        <f>J333+F334-G334-I334</f>
        <v>3020750</v>
      </c>
      <c r="K334" s="6">
        <f t="shared" si="88"/>
        <v>3020750</v>
      </c>
    </row>
    <row r="335" spans="1:12">
      <c r="A335" s="2">
        <f t="shared" si="85"/>
        <v>253</v>
      </c>
      <c r="B335" s="331" t="s">
        <v>377</v>
      </c>
      <c r="C335" s="332">
        <v>2025</v>
      </c>
      <c r="D335" s="59">
        <v>95071</v>
      </c>
      <c r="E335" s="6">
        <f>D335*'16-PlantAdditions'!$E$103</f>
        <v>7130.3249999999998</v>
      </c>
      <c r="F335" s="6">
        <f t="shared" si="86"/>
        <v>102201.325</v>
      </c>
      <c r="G335" s="59">
        <v>65071</v>
      </c>
      <c r="H335" s="59">
        <v>0</v>
      </c>
      <c r="I335" s="6">
        <f>(G335-H335)*'16-PlantAdditions'!$E$103</f>
        <v>4880.3249999999998</v>
      </c>
      <c r="J335" s="6">
        <f t="shared" si="87"/>
        <v>3053000</v>
      </c>
      <c r="K335" s="6">
        <f t="shared" si="88"/>
        <v>3053000</v>
      </c>
    </row>
    <row r="336" spans="1:12">
      <c r="A336" s="2">
        <f t="shared" si="85"/>
        <v>254</v>
      </c>
      <c r="B336" s="331" t="s">
        <v>378</v>
      </c>
      <c r="C336" s="332">
        <v>2025</v>
      </c>
      <c r="D336" s="59">
        <v>95071</v>
      </c>
      <c r="E336" s="6">
        <f>D336*'16-PlantAdditions'!$E$103</f>
        <v>7130.3249999999998</v>
      </c>
      <c r="F336" s="6">
        <f t="shared" si="86"/>
        <v>102201.325</v>
      </c>
      <c r="G336" s="59">
        <v>65071</v>
      </c>
      <c r="H336" s="59">
        <v>0</v>
      </c>
      <c r="I336" s="6">
        <f>(G336-H336)*'16-PlantAdditions'!$E$103</f>
        <v>4880.3249999999998</v>
      </c>
      <c r="J336" s="6">
        <f t="shared" si="87"/>
        <v>3085250</v>
      </c>
      <c r="K336" s="6">
        <f t="shared" si="88"/>
        <v>3085250</v>
      </c>
    </row>
    <row r="337" spans="1:11">
      <c r="A337" s="2">
        <f t="shared" si="85"/>
        <v>255</v>
      </c>
      <c r="B337" s="331" t="s">
        <v>587</v>
      </c>
      <c r="C337" s="332">
        <v>2025</v>
      </c>
      <c r="D337" s="59">
        <v>95071</v>
      </c>
      <c r="E337" s="6">
        <f>D337*'16-PlantAdditions'!$E$103</f>
        <v>7130.3249999999998</v>
      </c>
      <c r="F337" s="6">
        <f t="shared" si="86"/>
        <v>102201.325</v>
      </c>
      <c r="G337" s="59">
        <v>65071</v>
      </c>
      <c r="H337" s="59">
        <v>0</v>
      </c>
      <c r="I337" s="6">
        <f>(G337-H337)*'16-PlantAdditions'!$E$103</f>
        <v>4880.3249999999998</v>
      </c>
      <c r="J337" s="6">
        <f t="shared" si="87"/>
        <v>3117500</v>
      </c>
      <c r="K337" s="6">
        <f t="shared" si="88"/>
        <v>3117500</v>
      </c>
    </row>
    <row r="338" spans="1:11">
      <c r="A338" s="2">
        <f t="shared" si="85"/>
        <v>256</v>
      </c>
      <c r="B338" s="331" t="s">
        <v>380</v>
      </c>
      <c r="C338" s="332">
        <v>2025</v>
      </c>
      <c r="D338" s="59">
        <v>95071</v>
      </c>
      <c r="E338" s="6">
        <f>D338*'16-PlantAdditions'!$E$103</f>
        <v>7130.3249999999998</v>
      </c>
      <c r="F338" s="6">
        <f t="shared" si="86"/>
        <v>102201.325</v>
      </c>
      <c r="G338" s="59">
        <v>65071</v>
      </c>
      <c r="H338" s="59">
        <v>0</v>
      </c>
      <c r="I338" s="6">
        <f>(G338-H338)*'16-PlantAdditions'!$E$103</f>
        <v>4880.3249999999998</v>
      </c>
      <c r="J338" s="6">
        <f t="shared" si="87"/>
        <v>3149750</v>
      </c>
      <c r="K338" s="6">
        <f t="shared" si="88"/>
        <v>3149750</v>
      </c>
    </row>
    <row r="339" spans="1:11">
      <c r="A339" s="2">
        <f t="shared" si="85"/>
        <v>257</v>
      </c>
      <c r="B339" s="331" t="s">
        <v>381</v>
      </c>
      <c r="C339" s="332">
        <v>2025</v>
      </c>
      <c r="D339" s="59">
        <v>95071</v>
      </c>
      <c r="E339" s="6">
        <f>D339*'16-PlantAdditions'!$E$103</f>
        <v>7130.3249999999998</v>
      </c>
      <c r="F339" s="6">
        <f t="shared" si="86"/>
        <v>102201.325</v>
      </c>
      <c r="G339" s="59">
        <v>65071</v>
      </c>
      <c r="H339" s="59">
        <v>0</v>
      </c>
      <c r="I339" s="6">
        <f>(G339-H339)*'16-PlantAdditions'!$E$103</f>
        <v>4880.3249999999998</v>
      </c>
      <c r="J339" s="6">
        <f t="shared" si="87"/>
        <v>3182000</v>
      </c>
      <c r="K339" s="6">
        <f t="shared" si="88"/>
        <v>3182000</v>
      </c>
    </row>
    <row r="340" spans="1:11">
      <c r="A340" s="2">
        <f t="shared" si="85"/>
        <v>258</v>
      </c>
      <c r="B340" s="331" t="s">
        <v>382</v>
      </c>
      <c r="C340" s="332">
        <v>2025</v>
      </c>
      <c r="D340" s="59">
        <v>95071</v>
      </c>
      <c r="E340" s="6">
        <f>D340*'16-PlantAdditions'!$E$103</f>
        <v>7130.3249999999998</v>
      </c>
      <c r="F340" s="6">
        <f t="shared" si="86"/>
        <v>102201.325</v>
      </c>
      <c r="G340" s="59">
        <v>65071</v>
      </c>
      <c r="H340" s="59">
        <v>0</v>
      </c>
      <c r="I340" s="6">
        <f>(G340-H340)*'16-PlantAdditions'!$E$103</f>
        <v>4880.3249999999998</v>
      </c>
      <c r="J340" s="6">
        <f t="shared" si="87"/>
        <v>3214250</v>
      </c>
      <c r="K340" s="6">
        <f t="shared" si="88"/>
        <v>3214250</v>
      </c>
    </row>
    <row r="341" spans="1:11">
      <c r="A341" s="2">
        <f t="shared" si="85"/>
        <v>259</v>
      </c>
      <c r="B341" s="331" t="s">
        <v>383</v>
      </c>
      <c r="C341" s="332">
        <v>2025</v>
      </c>
      <c r="D341" s="59">
        <v>95071</v>
      </c>
      <c r="E341" s="6">
        <f>D341*'16-PlantAdditions'!$E$103</f>
        <v>7130.3249999999998</v>
      </c>
      <c r="F341" s="6">
        <f t="shared" ref="F341:F343" si="89">E341+D341</f>
        <v>102201.325</v>
      </c>
      <c r="G341" s="59">
        <v>65071</v>
      </c>
      <c r="H341" s="59">
        <v>0</v>
      </c>
      <c r="I341" s="6">
        <f>(G341-H341)*'16-PlantAdditions'!$E$103</f>
        <v>4880.3249999999998</v>
      </c>
      <c r="J341" s="6">
        <f t="shared" ref="J341:J343" si="90">J340+F341-G341-I341</f>
        <v>3246500</v>
      </c>
      <c r="K341" s="6">
        <f t="shared" si="88"/>
        <v>3246500</v>
      </c>
    </row>
    <row r="342" spans="1:11">
      <c r="A342" s="2">
        <f t="shared" si="85"/>
        <v>260</v>
      </c>
      <c r="B342" s="331" t="s">
        <v>384</v>
      </c>
      <c r="C342" s="332">
        <v>2025</v>
      </c>
      <c r="D342" s="59">
        <v>65071</v>
      </c>
      <c r="E342" s="6">
        <f>D342*'16-PlantAdditions'!$E$103</f>
        <v>4880.3249999999998</v>
      </c>
      <c r="F342" s="6">
        <f t="shared" si="89"/>
        <v>69951.324999999997</v>
      </c>
      <c r="G342" s="59">
        <v>65071</v>
      </c>
      <c r="H342" s="59">
        <v>0</v>
      </c>
      <c r="I342" s="6">
        <f>(G342-H342)*'16-PlantAdditions'!$E$103</f>
        <v>4880.3249999999998</v>
      </c>
      <c r="J342" s="6">
        <f t="shared" si="90"/>
        <v>3246500</v>
      </c>
      <c r="K342" s="6">
        <f t="shared" si="88"/>
        <v>3246500</v>
      </c>
    </row>
    <row r="343" spans="1:11">
      <c r="A343" s="2">
        <f t="shared" si="85"/>
        <v>261</v>
      </c>
      <c r="B343" s="331" t="s">
        <v>372</v>
      </c>
      <c r="C343" s="332">
        <v>2025</v>
      </c>
      <c r="D343" s="59">
        <v>90071</v>
      </c>
      <c r="E343" s="6">
        <f>D343*'16-PlantAdditions'!$E$103</f>
        <v>6755.3249999999998</v>
      </c>
      <c r="F343" s="6">
        <f t="shared" si="89"/>
        <v>96826.324999999997</v>
      </c>
      <c r="G343" s="59">
        <v>3110071</v>
      </c>
      <c r="H343" s="59">
        <v>0</v>
      </c>
      <c r="I343" s="6">
        <f>(G343-H343)*'16-PlantAdditions'!$E$103</f>
        <v>233255.32499999998</v>
      </c>
      <c r="J343" s="6">
        <f t="shared" si="90"/>
        <v>0</v>
      </c>
      <c r="K343" s="53">
        <f t="shared" si="88"/>
        <v>0</v>
      </c>
    </row>
    <row r="344" spans="1:11">
      <c r="A344" s="2">
        <f t="shared" si="85"/>
        <v>262</v>
      </c>
      <c r="C344" s="353" t="s">
        <v>990</v>
      </c>
      <c r="K344" s="42">
        <f>AVERAGE(K331:K343)</f>
        <v>2860326.923076923</v>
      </c>
    </row>
    <row r="345" spans="1:11">
      <c r="A345" s="2"/>
      <c r="C345" s="353"/>
      <c r="K345" s="42"/>
    </row>
    <row r="346" spans="1:11">
      <c r="B346" s="34" t="s">
        <v>1012</v>
      </c>
      <c r="D346" s="1109" t="s">
        <v>971</v>
      </c>
      <c r="E346" s="1109"/>
    </row>
    <row r="347" spans="1:11">
      <c r="B347" s="34"/>
      <c r="D347" s="3" t="s">
        <v>329</v>
      </c>
      <c r="E347" s="3" t="s">
        <v>330</v>
      </c>
      <c r="F347" s="3" t="s">
        <v>331</v>
      </c>
      <c r="G347" s="3" t="s">
        <v>332</v>
      </c>
      <c r="H347" s="3" t="s">
        <v>333</v>
      </c>
      <c r="I347" s="3" t="s">
        <v>334</v>
      </c>
      <c r="J347" s="3" t="s">
        <v>335</v>
      </c>
      <c r="K347" s="3" t="s">
        <v>336</v>
      </c>
    </row>
    <row r="348" spans="1:11" ht="38.25">
      <c r="B348" s="34"/>
      <c r="D348" s="48"/>
      <c r="E348" s="354" t="s">
        <v>994</v>
      </c>
      <c r="F348" s="241" t="s">
        <v>995</v>
      </c>
      <c r="G348" s="241"/>
      <c r="H348" s="48"/>
      <c r="I348" s="354" t="s">
        <v>996</v>
      </c>
      <c r="J348" s="354" t="s">
        <v>997</v>
      </c>
      <c r="K348" s="354" t="s">
        <v>998</v>
      </c>
    </row>
    <row r="349" spans="1:11">
      <c r="D349" s="48"/>
      <c r="E349" s="48"/>
      <c r="F349" s="48"/>
      <c r="G349" s="2" t="str">
        <f>G51</f>
        <v>Unloaded</v>
      </c>
      <c r="H349" s="48"/>
      <c r="I349" s="48"/>
    </row>
    <row r="350" spans="1:11">
      <c r="A350" s="2"/>
      <c r="B350" s="2"/>
      <c r="C350" s="2"/>
      <c r="D350" s="2" t="str">
        <f>D$52</f>
        <v>Forecast</v>
      </c>
      <c r="E350" s="2" t="str">
        <f t="shared" ref="E350:J350" si="91">E$52</f>
        <v>Corporate</v>
      </c>
      <c r="F350" s="2" t="str">
        <f t="shared" si="91"/>
        <v xml:space="preserve">Total </v>
      </c>
      <c r="G350" s="2" t="str">
        <f>G52</f>
        <v>Total</v>
      </c>
      <c r="H350" s="2" t="str">
        <f t="shared" si="91"/>
        <v>Prior Period</v>
      </c>
      <c r="I350" s="2" t="str">
        <f t="shared" si="91"/>
        <v>Over Heads</v>
      </c>
      <c r="J350" s="2" t="str">
        <f t="shared" si="91"/>
        <v>Forecast</v>
      </c>
      <c r="K350" s="2" t="str">
        <f>K$52</f>
        <v>Forecast Period</v>
      </c>
    </row>
    <row r="351" spans="1:11">
      <c r="A351" s="30" t="s">
        <v>266</v>
      </c>
      <c r="B351" s="330" t="s">
        <v>364</v>
      </c>
      <c r="C351" s="330" t="s">
        <v>365</v>
      </c>
      <c r="D351" s="3" t="str">
        <f>D$53</f>
        <v>Expenditures</v>
      </c>
      <c r="E351" s="3" t="str">
        <f t="shared" ref="E351:J351" si="92">E$53</f>
        <v>Overheads</v>
      </c>
      <c r="F351" s="3" t="str">
        <f t="shared" si="92"/>
        <v>CWIP Exp</v>
      </c>
      <c r="G351" s="3" t="str">
        <f>G53</f>
        <v>Plant Adds</v>
      </c>
      <c r="H351" s="3" t="str">
        <f t="shared" si="92"/>
        <v>CWIP Closed</v>
      </c>
      <c r="I351" s="3" t="str">
        <f t="shared" si="92"/>
        <v>Closed to PIS</v>
      </c>
      <c r="J351" s="3" t="str">
        <f t="shared" si="92"/>
        <v>Period CWIP</v>
      </c>
      <c r="K351" s="3" t="str">
        <f>K$53</f>
        <v>Incremental CWIP</v>
      </c>
    </row>
    <row r="352" spans="1:11">
      <c r="A352" s="2">
        <f>A344+1</f>
        <v>263</v>
      </c>
      <c r="B352" s="331" t="s">
        <v>372</v>
      </c>
      <c r="C352" s="332">
        <v>2023</v>
      </c>
      <c r="D352" s="241" t="s">
        <v>373</v>
      </c>
      <c r="E352" s="241" t="s">
        <v>373</v>
      </c>
      <c r="F352" s="241" t="s">
        <v>373</v>
      </c>
      <c r="G352" s="241" t="s">
        <v>373</v>
      </c>
      <c r="H352" s="241" t="s">
        <v>373</v>
      </c>
      <c r="I352" s="241" t="s">
        <v>373</v>
      </c>
      <c r="J352" s="6">
        <f>G45</f>
        <v>27427584.16</v>
      </c>
      <c r="K352" s="241" t="s">
        <v>373</v>
      </c>
    </row>
    <row r="353" spans="1:11">
      <c r="A353" s="2">
        <f>A352+1</f>
        <v>264</v>
      </c>
      <c r="B353" s="331" t="s">
        <v>374</v>
      </c>
      <c r="C353" s="332">
        <v>2024</v>
      </c>
      <c r="D353" s="59">
        <v>206649.88000000003</v>
      </c>
      <c r="E353" s="6">
        <f>D353*'16-PlantAdditions'!$E$103</f>
        <v>15498.741000000002</v>
      </c>
      <c r="F353" s="6">
        <f>E353+D353</f>
        <v>222148.62100000004</v>
      </c>
      <c r="G353" s="59">
        <v>0</v>
      </c>
      <c r="H353" s="59">
        <v>0</v>
      </c>
      <c r="I353" s="6">
        <f>(G353-H353)*'16-PlantAdditions'!$E$103</f>
        <v>0</v>
      </c>
      <c r="J353" s="6">
        <f>J352+F353-G353-I353</f>
        <v>27649732.780999999</v>
      </c>
      <c r="K353" s="6">
        <f>J353-$J$352</f>
        <v>222148.62099999934</v>
      </c>
    </row>
    <row r="354" spans="1:11">
      <c r="A354" s="2">
        <f t="shared" ref="A354:A377" si="93">A353+1</f>
        <v>265</v>
      </c>
      <c r="B354" s="331" t="s">
        <v>375</v>
      </c>
      <c r="C354" s="332">
        <v>2024</v>
      </c>
      <c r="D354" s="59">
        <v>115280</v>
      </c>
      <c r="E354" s="6">
        <f>D354*'16-PlantAdditions'!$E$103</f>
        <v>8646</v>
      </c>
      <c r="F354" s="6">
        <f t="shared" ref="F354:F373" si="94">E354+D354</f>
        <v>123926</v>
      </c>
      <c r="G354" s="59">
        <v>0</v>
      </c>
      <c r="H354" s="59">
        <v>0</v>
      </c>
      <c r="I354" s="6">
        <f>(G354-H354)*'16-PlantAdditions'!$E$103</f>
        <v>0</v>
      </c>
      <c r="J354" s="6">
        <f t="shared" ref="J354:J373" si="95">J353+F354-G354-I354</f>
        <v>27773658.780999999</v>
      </c>
      <c r="K354" s="6">
        <f t="shared" ref="K354:K376" si="96">J354-$J$352</f>
        <v>346074.62099999934</v>
      </c>
    </row>
    <row r="355" spans="1:11">
      <c r="A355" s="2">
        <f t="shared" si="93"/>
        <v>266</v>
      </c>
      <c r="B355" s="331" t="s">
        <v>376</v>
      </c>
      <c r="C355" s="332">
        <v>2024</v>
      </c>
      <c r="D355" s="59">
        <v>146720</v>
      </c>
      <c r="E355" s="6">
        <f>D355*'16-PlantAdditions'!$E$103</f>
        <v>11004</v>
      </c>
      <c r="F355" s="6">
        <f t="shared" si="94"/>
        <v>157724</v>
      </c>
      <c r="G355" s="59">
        <v>0</v>
      </c>
      <c r="H355" s="59">
        <v>0</v>
      </c>
      <c r="I355" s="6">
        <f>(G355-H355)*'16-PlantAdditions'!$E$103</f>
        <v>0</v>
      </c>
      <c r="J355" s="6">
        <f t="shared" si="95"/>
        <v>27931382.780999999</v>
      </c>
      <c r="K355" s="6">
        <f t="shared" si="96"/>
        <v>503798.62099999934</v>
      </c>
    </row>
    <row r="356" spans="1:11">
      <c r="A356" s="2">
        <f t="shared" si="93"/>
        <v>267</v>
      </c>
      <c r="B356" s="331" t="s">
        <v>377</v>
      </c>
      <c r="C356" s="332">
        <v>2024</v>
      </c>
      <c r="D356" s="59">
        <v>146720</v>
      </c>
      <c r="E356" s="6">
        <f>D356*'16-PlantAdditions'!$E$103</f>
        <v>11004</v>
      </c>
      <c r="F356" s="6">
        <f t="shared" si="94"/>
        <v>157724</v>
      </c>
      <c r="G356" s="59">
        <v>0</v>
      </c>
      <c r="H356" s="59">
        <v>0</v>
      </c>
      <c r="I356" s="6">
        <f>(G356-H356)*'16-PlantAdditions'!$E$103</f>
        <v>0</v>
      </c>
      <c r="J356" s="6">
        <f t="shared" si="95"/>
        <v>28089106.780999999</v>
      </c>
      <c r="K356" s="6">
        <f t="shared" si="96"/>
        <v>661522.62099999934</v>
      </c>
    </row>
    <row r="357" spans="1:11">
      <c r="A357" s="2">
        <f t="shared" si="93"/>
        <v>268</v>
      </c>
      <c r="B357" s="331" t="s">
        <v>378</v>
      </c>
      <c r="C357" s="332">
        <v>2024</v>
      </c>
      <c r="D357" s="59">
        <v>146720</v>
      </c>
      <c r="E357" s="6">
        <f>D357*'16-PlantAdditions'!$E$103</f>
        <v>11004</v>
      </c>
      <c r="F357" s="6">
        <f t="shared" si="94"/>
        <v>157724</v>
      </c>
      <c r="G357" s="59">
        <v>0</v>
      </c>
      <c r="H357" s="59">
        <v>0</v>
      </c>
      <c r="I357" s="6">
        <f>(G357-H357)*'16-PlantAdditions'!$E$103</f>
        <v>0</v>
      </c>
      <c r="J357" s="6">
        <f t="shared" si="95"/>
        <v>28246830.780999999</v>
      </c>
      <c r="K357" s="6">
        <f t="shared" si="96"/>
        <v>819246.62099999934</v>
      </c>
    </row>
    <row r="358" spans="1:11">
      <c r="A358" s="2">
        <f t="shared" si="93"/>
        <v>269</v>
      </c>
      <c r="B358" s="331" t="s">
        <v>587</v>
      </c>
      <c r="C358" s="332">
        <v>2024</v>
      </c>
      <c r="D358" s="59">
        <v>146720</v>
      </c>
      <c r="E358" s="6">
        <f>D358*'16-PlantAdditions'!$E$103</f>
        <v>11004</v>
      </c>
      <c r="F358" s="6">
        <f t="shared" si="94"/>
        <v>157724</v>
      </c>
      <c r="G358" s="59">
        <v>0</v>
      </c>
      <c r="H358" s="59">
        <v>0</v>
      </c>
      <c r="I358" s="6">
        <f>(G358-H358)*'16-PlantAdditions'!$E$103</f>
        <v>0</v>
      </c>
      <c r="J358" s="6">
        <f t="shared" si="95"/>
        <v>28404554.780999999</v>
      </c>
      <c r="K358" s="6">
        <f t="shared" si="96"/>
        <v>976970.62099999934</v>
      </c>
    </row>
    <row r="359" spans="1:11">
      <c r="A359" s="2">
        <f t="shared" si="93"/>
        <v>270</v>
      </c>
      <c r="B359" s="331" t="s">
        <v>380</v>
      </c>
      <c r="C359" s="332">
        <v>2024</v>
      </c>
      <c r="D359" s="59">
        <v>139190.12</v>
      </c>
      <c r="E359" s="6">
        <f>D359*'16-PlantAdditions'!$E$103</f>
        <v>10439.259</v>
      </c>
      <c r="F359" s="6">
        <f t="shared" si="94"/>
        <v>149629.37899999999</v>
      </c>
      <c r="G359" s="59">
        <v>0</v>
      </c>
      <c r="H359" s="59">
        <v>0</v>
      </c>
      <c r="I359" s="6">
        <f>(G359-H359)*'16-PlantAdditions'!$E$103</f>
        <v>0</v>
      </c>
      <c r="J359" s="6">
        <f t="shared" si="95"/>
        <v>28554184.16</v>
      </c>
      <c r="K359" s="6">
        <f t="shared" si="96"/>
        <v>1126600</v>
      </c>
    </row>
    <row r="360" spans="1:11">
      <c r="A360" s="2">
        <f t="shared" si="93"/>
        <v>271</v>
      </c>
      <c r="B360" s="331" t="s">
        <v>381</v>
      </c>
      <c r="C360" s="332">
        <v>2024</v>
      </c>
      <c r="D360" s="59">
        <v>104800.00000000001</v>
      </c>
      <c r="E360" s="6">
        <f>D360*'16-PlantAdditions'!$E$103</f>
        <v>7860.0000000000009</v>
      </c>
      <c r="F360" s="6">
        <f t="shared" si="94"/>
        <v>112660.00000000001</v>
      </c>
      <c r="G360" s="59">
        <v>0</v>
      </c>
      <c r="H360" s="59">
        <v>0</v>
      </c>
      <c r="I360" s="6">
        <f>(G360-H360)*'16-PlantAdditions'!$E$103</f>
        <v>0</v>
      </c>
      <c r="J360" s="6">
        <f t="shared" si="95"/>
        <v>28666844.16</v>
      </c>
      <c r="K360" s="6">
        <f t="shared" si="96"/>
        <v>1239260</v>
      </c>
    </row>
    <row r="361" spans="1:11">
      <c r="A361" s="2">
        <f t="shared" si="93"/>
        <v>272</v>
      </c>
      <c r="B361" s="331" t="s">
        <v>382</v>
      </c>
      <c r="C361" s="332">
        <v>2024</v>
      </c>
      <c r="D361" s="59">
        <v>104800.00000000001</v>
      </c>
      <c r="E361" s="6">
        <f>D361*'16-PlantAdditions'!$E$103</f>
        <v>7860.0000000000009</v>
      </c>
      <c r="F361" s="6">
        <f t="shared" si="94"/>
        <v>112660.00000000001</v>
      </c>
      <c r="G361" s="59">
        <v>0</v>
      </c>
      <c r="H361" s="59">
        <v>0</v>
      </c>
      <c r="I361" s="6">
        <f>(G361-H361)*'16-PlantAdditions'!$E$103</f>
        <v>0</v>
      </c>
      <c r="J361" s="6">
        <f t="shared" si="95"/>
        <v>28779504.16</v>
      </c>
      <c r="K361" s="6">
        <f t="shared" si="96"/>
        <v>1351920</v>
      </c>
    </row>
    <row r="362" spans="1:11">
      <c r="A362" s="2">
        <f t="shared" si="93"/>
        <v>273</v>
      </c>
      <c r="B362" s="331" t="s">
        <v>383</v>
      </c>
      <c r="C362" s="332">
        <v>2024</v>
      </c>
      <c r="D362" s="59">
        <v>104800.00000000001</v>
      </c>
      <c r="E362" s="6">
        <f>D362*'16-PlantAdditions'!$E$103</f>
        <v>7860.0000000000009</v>
      </c>
      <c r="F362" s="6">
        <f t="shared" si="94"/>
        <v>112660.00000000001</v>
      </c>
      <c r="G362" s="59">
        <v>0</v>
      </c>
      <c r="H362" s="59">
        <v>0</v>
      </c>
      <c r="I362" s="6">
        <f>(G362-H362)*'16-PlantAdditions'!$E$103</f>
        <v>0</v>
      </c>
      <c r="J362" s="6">
        <f t="shared" si="95"/>
        <v>28892164.16</v>
      </c>
      <c r="K362" s="6">
        <f t="shared" si="96"/>
        <v>1464580</v>
      </c>
    </row>
    <row r="363" spans="1:11">
      <c r="A363" s="2">
        <f t="shared" si="93"/>
        <v>274</v>
      </c>
      <c r="B363" s="331" t="s">
        <v>384</v>
      </c>
      <c r="C363" s="332">
        <v>2024</v>
      </c>
      <c r="D363" s="59">
        <v>104800.00000000001</v>
      </c>
      <c r="E363" s="6">
        <f>D363*'16-PlantAdditions'!$E$103</f>
        <v>7860.0000000000009</v>
      </c>
      <c r="F363" s="6">
        <f t="shared" si="94"/>
        <v>112660.00000000001</v>
      </c>
      <c r="G363" s="59">
        <v>0</v>
      </c>
      <c r="H363" s="59">
        <v>0</v>
      </c>
      <c r="I363" s="6">
        <f>(G363-H363)*'16-PlantAdditions'!$E$103</f>
        <v>0</v>
      </c>
      <c r="J363" s="6">
        <f t="shared" si="95"/>
        <v>29004824.16</v>
      </c>
      <c r="K363" s="6">
        <f t="shared" si="96"/>
        <v>1577240</v>
      </c>
    </row>
    <row r="364" spans="1:11">
      <c r="A364" s="2">
        <f t="shared" si="93"/>
        <v>275</v>
      </c>
      <c r="B364" s="331" t="s">
        <v>372</v>
      </c>
      <c r="C364" s="332">
        <v>2024</v>
      </c>
      <c r="D364" s="59">
        <v>104800.00000000001</v>
      </c>
      <c r="E364" s="6">
        <f>D364*'16-PlantAdditions'!$E$103</f>
        <v>7860.0000000000009</v>
      </c>
      <c r="F364" s="6">
        <f t="shared" si="94"/>
        <v>112660.00000000001</v>
      </c>
      <c r="G364" s="59">
        <v>0</v>
      </c>
      <c r="H364" s="59">
        <v>0</v>
      </c>
      <c r="I364" s="6">
        <f>(G364-H364)*'16-PlantAdditions'!$E$103</f>
        <v>0</v>
      </c>
      <c r="J364" s="6">
        <f t="shared" si="95"/>
        <v>29117484.16</v>
      </c>
      <c r="K364" s="6">
        <f t="shared" si="96"/>
        <v>1689900</v>
      </c>
    </row>
    <row r="365" spans="1:11">
      <c r="A365" s="2">
        <f t="shared" si="93"/>
        <v>276</v>
      </c>
      <c r="B365" s="331" t="s">
        <v>374</v>
      </c>
      <c r="C365" s="332">
        <v>2025</v>
      </c>
      <c r="D365" s="59">
        <v>0</v>
      </c>
      <c r="E365" s="6">
        <f>D365*'16-PlantAdditions'!$E$103</f>
        <v>0</v>
      </c>
      <c r="F365" s="6">
        <f t="shared" si="94"/>
        <v>0</v>
      </c>
      <c r="G365" s="59">
        <v>0</v>
      </c>
      <c r="H365" s="59">
        <v>0</v>
      </c>
      <c r="I365" s="6">
        <f>(G365-H365)*'16-PlantAdditions'!$E$103</f>
        <v>0</v>
      </c>
      <c r="J365" s="6">
        <f t="shared" si="95"/>
        <v>29117484.16</v>
      </c>
      <c r="K365" s="6">
        <f t="shared" si="96"/>
        <v>1689900</v>
      </c>
    </row>
    <row r="366" spans="1:11">
      <c r="A366" s="2">
        <f t="shared" si="93"/>
        <v>277</v>
      </c>
      <c r="B366" s="331" t="s">
        <v>375</v>
      </c>
      <c r="C366" s="332">
        <v>2025</v>
      </c>
      <c r="D366" s="59">
        <v>0</v>
      </c>
      <c r="E366" s="6">
        <f>D366*'16-PlantAdditions'!$E$103</f>
        <v>0</v>
      </c>
      <c r="F366" s="6">
        <f t="shared" si="94"/>
        <v>0</v>
      </c>
      <c r="G366" s="59">
        <v>0</v>
      </c>
      <c r="H366" s="59">
        <v>0</v>
      </c>
      <c r="I366" s="6">
        <f>(G366-H366)*'16-PlantAdditions'!$E$103</f>
        <v>0</v>
      </c>
      <c r="J366" s="6">
        <f t="shared" si="95"/>
        <v>29117484.16</v>
      </c>
      <c r="K366" s="6">
        <f t="shared" si="96"/>
        <v>1689900</v>
      </c>
    </row>
    <row r="367" spans="1:11">
      <c r="A367" s="2">
        <f t="shared" si="93"/>
        <v>278</v>
      </c>
      <c r="B367" s="331" t="s">
        <v>376</v>
      </c>
      <c r="C367" s="332">
        <v>2025</v>
      </c>
      <c r="D367" s="59">
        <v>0</v>
      </c>
      <c r="E367" s="6">
        <f>D367*'16-PlantAdditions'!$E$103</f>
        <v>0</v>
      </c>
      <c r="F367" s="6">
        <f t="shared" si="94"/>
        <v>0</v>
      </c>
      <c r="G367" s="59">
        <v>0</v>
      </c>
      <c r="H367" s="59">
        <v>0</v>
      </c>
      <c r="I367" s="6">
        <f>(G367-H367)*'16-PlantAdditions'!$E$103</f>
        <v>0</v>
      </c>
      <c r="J367" s="6">
        <f t="shared" si="95"/>
        <v>29117484.16</v>
      </c>
      <c r="K367" s="6">
        <f t="shared" si="96"/>
        <v>1689900</v>
      </c>
    </row>
    <row r="368" spans="1:11">
      <c r="A368" s="2">
        <f t="shared" si="93"/>
        <v>279</v>
      </c>
      <c r="B368" s="331" t="s">
        <v>377</v>
      </c>
      <c r="C368" s="332">
        <v>2025</v>
      </c>
      <c r="D368" s="59">
        <v>0</v>
      </c>
      <c r="E368" s="6">
        <f>D368*'16-PlantAdditions'!$E$103</f>
        <v>0</v>
      </c>
      <c r="F368" s="6">
        <f t="shared" si="94"/>
        <v>0</v>
      </c>
      <c r="G368" s="59">
        <v>0</v>
      </c>
      <c r="H368" s="59">
        <v>0</v>
      </c>
      <c r="I368" s="6">
        <f>(G368-H368)*'16-PlantAdditions'!$E$103</f>
        <v>0</v>
      </c>
      <c r="J368" s="6">
        <f t="shared" si="95"/>
        <v>29117484.16</v>
      </c>
      <c r="K368" s="6">
        <f t="shared" si="96"/>
        <v>1689900</v>
      </c>
    </row>
    <row r="369" spans="1:11">
      <c r="A369" s="2">
        <f t="shared" si="93"/>
        <v>280</v>
      </c>
      <c r="B369" s="331" t="s">
        <v>378</v>
      </c>
      <c r="C369" s="332">
        <v>2025</v>
      </c>
      <c r="D369" s="59">
        <v>0</v>
      </c>
      <c r="E369" s="6">
        <f>D369*'16-PlantAdditions'!$E$103</f>
        <v>0</v>
      </c>
      <c r="F369" s="6">
        <f t="shared" si="94"/>
        <v>0</v>
      </c>
      <c r="G369" s="59">
        <v>0</v>
      </c>
      <c r="H369" s="59">
        <v>0</v>
      </c>
      <c r="I369" s="6">
        <f>(G369-H369)*'16-PlantAdditions'!$E$103</f>
        <v>0</v>
      </c>
      <c r="J369" s="6">
        <f t="shared" si="95"/>
        <v>29117484.16</v>
      </c>
      <c r="K369" s="6">
        <f t="shared" si="96"/>
        <v>1689900</v>
      </c>
    </row>
    <row r="370" spans="1:11">
      <c r="A370" s="2">
        <f t="shared" si="93"/>
        <v>281</v>
      </c>
      <c r="B370" s="331" t="s">
        <v>587</v>
      </c>
      <c r="C370" s="332">
        <v>2025</v>
      </c>
      <c r="D370" s="59">
        <v>0</v>
      </c>
      <c r="E370" s="6">
        <f>D370*'16-PlantAdditions'!$E$103</f>
        <v>0</v>
      </c>
      <c r="F370" s="6">
        <f t="shared" si="94"/>
        <v>0</v>
      </c>
      <c r="G370" s="59">
        <v>0</v>
      </c>
      <c r="H370" s="59">
        <v>0</v>
      </c>
      <c r="I370" s="6">
        <f>(G370-H370)*'16-PlantAdditions'!$E$103</f>
        <v>0</v>
      </c>
      <c r="J370" s="6">
        <f t="shared" si="95"/>
        <v>29117484.16</v>
      </c>
      <c r="K370" s="6">
        <f t="shared" si="96"/>
        <v>1689900</v>
      </c>
    </row>
    <row r="371" spans="1:11">
      <c r="A371" s="2">
        <f t="shared" si="93"/>
        <v>282</v>
      </c>
      <c r="B371" s="331" t="s">
        <v>380</v>
      </c>
      <c r="C371" s="332">
        <v>2025</v>
      </c>
      <c r="D371" s="59">
        <v>0</v>
      </c>
      <c r="E371" s="6">
        <f>D371*'16-PlantAdditions'!$E$103</f>
        <v>0</v>
      </c>
      <c r="F371" s="6">
        <f t="shared" si="94"/>
        <v>0</v>
      </c>
      <c r="G371" s="59">
        <v>0</v>
      </c>
      <c r="H371" s="59">
        <v>0</v>
      </c>
      <c r="I371" s="6">
        <f>(G371-H371)*'16-PlantAdditions'!$E$103</f>
        <v>0</v>
      </c>
      <c r="J371" s="6">
        <f t="shared" si="95"/>
        <v>29117484.16</v>
      </c>
      <c r="K371" s="6">
        <f t="shared" si="96"/>
        <v>1689900</v>
      </c>
    </row>
    <row r="372" spans="1:11">
      <c r="A372" s="2">
        <f t="shared" si="93"/>
        <v>283</v>
      </c>
      <c r="B372" s="331" t="s">
        <v>381</v>
      </c>
      <c r="C372" s="332">
        <v>2025</v>
      </c>
      <c r="D372" s="59">
        <v>0</v>
      </c>
      <c r="E372" s="6">
        <f>D372*'16-PlantAdditions'!$E$103</f>
        <v>0</v>
      </c>
      <c r="F372" s="6">
        <f t="shared" si="94"/>
        <v>0</v>
      </c>
      <c r="G372" s="59">
        <v>0</v>
      </c>
      <c r="H372" s="59">
        <v>0</v>
      </c>
      <c r="I372" s="6">
        <f>(G372-H372)*'16-PlantAdditions'!$E$103</f>
        <v>0</v>
      </c>
      <c r="J372" s="6">
        <f t="shared" si="95"/>
        <v>29117484.16</v>
      </c>
      <c r="K372" s="6">
        <f t="shared" si="96"/>
        <v>1689900</v>
      </c>
    </row>
    <row r="373" spans="1:11">
      <c r="A373" s="2">
        <f t="shared" si="93"/>
        <v>284</v>
      </c>
      <c r="B373" s="331" t="s">
        <v>382</v>
      </c>
      <c r="C373" s="332">
        <v>2025</v>
      </c>
      <c r="D373" s="59">
        <v>0</v>
      </c>
      <c r="E373" s="6">
        <f>D373*'16-PlantAdditions'!$E$103</f>
        <v>0</v>
      </c>
      <c r="F373" s="6">
        <f t="shared" si="94"/>
        <v>0</v>
      </c>
      <c r="G373" s="59">
        <v>0</v>
      </c>
      <c r="H373" s="59">
        <v>0</v>
      </c>
      <c r="I373" s="6">
        <f>(G373-H373)*'16-PlantAdditions'!$E$103</f>
        <v>0</v>
      </c>
      <c r="J373" s="6">
        <f t="shared" si="95"/>
        <v>29117484.16</v>
      </c>
      <c r="K373" s="6">
        <f t="shared" si="96"/>
        <v>1689900</v>
      </c>
    </row>
    <row r="374" spans="1:11">
      <c r="A374" s="2">
        <f t="shared" si="93"/>
        <v>285</v>
      </c>
      <c r="B374" s="331" t="s">
        <v>383</v>
      </c>
      <c r="C374" s="332">
        <v>2025</v>
      </c>
      <c r="D374" s="59">
        <v>0</v>
      </c>
      <c r="E374" s="6">
        <f>D374*'16-PlantAdditions'!$E$103</f>
        <v>0</v>
      </c>
      <c r="F374" s="6">
        <f t="shared" ref="F374:F376" si="97">E374+D374</f>
        <v>0</v>
      </c>
      <c r="G374" s="59">
        <v>0</v>
      </c>
      <c r="H374" s="59">
        <v>0</v>
      </c>
      <c r="I374" s="6">
        <f>(G374-H374)*'16-PlantAdditions'!$E$103</f>
        <v>0</v>
      </c>
      <c r="J374" s="6">
        <f t="shared" ref="J374:J376" si="98">J373+F374-G374-I374</f>
        <v>29117484.16</v>
      </c>
      <c r="K374" s="6">
        <f t="shared" si="96"/>
        <v>1689900</v>
      </c>
    </row>
    <row r="375" spans="1:11">
      <c r="A375" s="2">
        <f t="shared" si="93"/>
        <v>286</v>
      </c>
      <c r="B375" s="331" t="s">
        <v>384</v>
      </c>
      <c r="C375" s="332">
        <v>2025</v>
      </c>
      <c r="D375" s="59">
        <v>0</v>
      </c>
      <c r="E375" s="6">
        <f>D375*'16-PlantAdditions'!$E$103</f>
        <v>0</v>
      </c>
      <c r="F375" s="6">
        <f t="shared" si="97"/>
        <v>0</v>
      </c>
      <c r="G375" s="59">
        <v>0</v>
      </c>
      <c r="H375" s="59">
        <v>0</v>
      </c>
      <c r="I375" s="6">
        <f>(G375-H375)*'16-PlantAdditions'!$E$103</f>
        <v>0</v>
      </c>
      <c r="J375" s="6">
        <f t="shared" si="98"/>
        <v>29117484.16</v>
      </c>
      <c r="K375" s="6">
        <f t="shared" si="96"/>
        <v>1689900</v>
      </c>
    </row>
    <row r="376" spans="1:11">
      <c r="A376" s="2">
        <f t="shared" si="93"/>
        <v>287</v>
      </c>
      <c r="B376" s="331" t="s">
        <v>372</v>
      </c>
      <c r="C376" s="332">
        <v>2025</v>
      </c>
      <c r="D376" s="59">
        <v>1048000</v>
      </c>
      <c r="E376" s="6">
        <f>D376*'16-PlantAdditions'!$E$103</f>
        <v>78600</v>
      </c>
      <c r="F376" s="6">
        <f t="shared" si="97"/>
        <v>1126600</v>
      </c>
      <c r="G376" s="59">
        <v>0</v>
      </c>
      <c r="H376" s="59">
        <v>0</v>
      </c>
      <c r="I376" s="6">
        <f>(G376-H376)*'16-PlantAdditions'!$E$103</f>
        <v>0</v>
      </c>
      <c r="J376" s="6">
        <f t="shared" si="98"/>
        <v>30244084.16</v>
      </c>
      <c r="K376" s="53">
        <f t="shared" si="96"/>
        <v>2816500</v>
      </c>
    </row>
    <row r="377" spans="1:11">
      <c r="A377" s="2">
        <f t="shared" si="93"/>
        <v>288</v>
      </c>
      <c r="C377" s="353" t="s">
        <v>990</v>
      </c>
      <c r="K377" s="42">
        <f>AVERAGE(K364:K376)</f>
        <v>1776561.5384615385</v>
      </c>
    </row>
    <row r="378" spans="1:11">
      <c r="A378" s="2"/>
      <c r="C378" s="353"/>
      <c r="K378" s="42"/>
    </row>
    <row r="379" spans="1:11">
      <c r="B379" s="34" t="s">
        <v>1013</v>
      </c>
      <c r="D379" s="1109" t="s">
        <v>1014</v>
      </c>
      <c r="E379" s="1109"/>
      <c r="F379" s="1110"/>
      <c r="G379" s="1110"/>
    </row>
    <row r="380" spans="1:11">
      <c r="A380" s="3"/>
      <c r="B380" s="3"/>
      <c r="C380" s="3"/>
      <c r="D380" s="3" t="s">
        <v>329</v>
      </c>
      <c r="E380" s="3" t="s">
        <v>330</v>
      </c>
      <c r="F380" s="3" t="s">
        <v>331</v>
      </c>
      <c r="G380" s="3" t="s">
        <v>332</v>
      </c>
      <c r="H380" s="3" t="s">
        <v>333</v>
      </c>
      <c r="I380" s="3" t="s">
        <v>334</v>
      </c>
      <c r="J380" s="3" t="s">
        <v>335</v>
      </c>
      <c r="K380" s="3" t="s">
        <v>336</v>
      </c>
    </row>
    <row r="381" spans="1:11" ht="38.25">
      <c r="D381" s="48"/>
      <c r="E381" s="354" t="s">
        <v>994</v>
      </c>
      <c r="F381" s="241" t="s">
        <v>995</v>
      </c>
      <c r="G381" s="241"/>
      <c r="H381" s="48"/>
      <c r="I381" s="354" t="s">
        <v>996</v>
      </c>
      <c r="J381" s="354" t="s">
        <v>997</v>
      </c>
      <c r="K381" s="354" t="s">
        <v>998</v>
      </c>
    </row>
    <row r="382" spans="1:11">
      <c r="D382" s="48"/>
      <c r="E382" s="354"/>
      <c r="F382" s="241"/>
      <c r="G382" s="4" t="str">
        <f>G51</f>
        <v>Unloaded</v>
      </c>
      <c r="H382" s="48"/>
      <c r="I382" s="354"/>
      <c r="J382" s="354"/>
      <c r="K382" s="354"/>
    </row>
    <row r="383" spans="1:11">
      <c r="A383" s="2"/>
      <c r="B383" s="2"/>
      <c r="C383" s="2"/>
      <c r="D383" s="2" t="str">
        <f>D$52</f>
        <v>Forecast</v>
      </c>
      <c r="E383" s="2" t="str">
        <f t="shared" ref="E383:J383" si="99">E$52</f>
        <v>Corporate</v>
      </c>
      <c r="F383" s="2" t="str">
        <f t="shared" si="99"/>
        <v xml:space="preserve">Total </v>
      </c>
      <c r="G383" s="4" t="str">
        <f>G52</f>
        <v>Total</v>
      </c>
      <c r="H383" s="2" t="str">
        <f t="shared" si="99"/>
        <v>Prior Period</v>
      </c>
      <c r="I383" s="2" t="str">
        <f t="shared" si="99"/>
        <v>Over Heads</v>
      </c>
      <c r="J383" s="2" t="str">
        <f t="shared" si="99"/>
        <v>Forecast</v>
      </c>
      <c r="K383" s="2" t="str">
        <f>K$52</f>
        <v>Forecast Period</v>
      </c>
    </row>
    <row r="384" spans="1:11">
      <c r="A384" s="30" t="s">
        <v>266</v>
      </c>
      <c r="B384" s="330" t="s">
        <v>364</v>
      </c>
      <c r="C384" s="330" t="s">
        <v>365</v>
      </c>
      <c r="D384" s="3" t="str">
        <f>D$53</f>
        <v>Expenditures</v>
      </c>
      <c r="E384" s="3" t="str">
        <f t="shared" ref="E384:J384" si="100">E$53</f>
        <v>Overheads</v>
      </c>
      <c r="F384" s="3" t="str">
        <f t="shared" si="100"/>
        <v>CWIP Exp</v>
      </c>
      <c r="G384" s="48" t="str">
        <f>G53</f>
        <v>Plant Adds</v>
      </c>
      <c r="H384" s="3" t="str">
        <f t="shared" si="100"/>
        <v>CWIP Closed</v>
      </c>
      <c r="I384" s="3" t="str">
        <f t="shared" si="100"/>
        <v>Closed to PIS</v>
      </c>
      <c r="J384" s="3" t="str">
        <f t="shared" si="100"/>
        <v>Period CWIP</v>
      </c>
      <c r="K384" s="3" t="str">
        <f>K$53</f>
        <v>Incremental CWIP</v>
      </c>
    </row>
    <row r="385" spans="1:11">
      <c r="A385" s="2">
        <f>A377+1</f>
        <v>289</v>
      </c>
      <c r="B385" s="331" t="s">
        <v>372</v>
      </c>
      <c r="C385" s="332">
        <v>2023</v>
      </c>
      <c r="D385" s="241" t="s">
        <v>373</v>
      </c>
      <c r="E385" s="241" t="s">
        <v>373</v>
      </c>
      <c r="F385" s="241" t="s">
        <v>373</v>
      </c>
      <c r="G385" s="241" t="s">
        <v>373</v>
      </c>
      <c r="H385" s="241" t="s">
        <v>373</v>
      </c>
      <c r="I385" s="241" t="s">
        <v>373</v>
      </c>
      <c r="J385" s="6">
        <f>H45</f>
        <v>235446401.27000001</v>
      </c>
      <c r="K385" s="241" t="s">
        <v>373</v>
      </c>
    </row>
    <row r="386" spans="1:11">
      <c r="A386" s="2">
        <f>A385+1</f>
        <v>290</v>
      </c>
      <c r="B386" s="331" t="s">
        <v>374</v>
      </c>
      <c r="C386" s="332">
        <v>2024</v>
      </c>
      <c r="D386" s="59">
        <v>346754</v>
      </c>
      <c r="E386" s="6">
        <f>D386*'16-PlantAdditions'!$E$103</f>
        <v>26006.55</v>
      </c>
      <c r="F386" s="6">
        <f>E386+D386</f>
        <v>372760.55</v>
      </c>
      <c r="G386" s="59">
        <v>3550</v>
      </c>
      <c r="H386" s="59">
        <v>0</v>
      </c>
      <c r="I386" s="6">
        <f>(G386-H386)*'16-PlantAdditions'!$E$103</f>
        <v>266.25</v>
      </c>
      <c r="J386" s="6">
        <f>J385+F386-G386-I386</f>
        <v>235815345.57000002</v>
      </c>
      <c r="K386" s="6">
        <f>J386-$J$385</f>
        <v>368944.30000001192</v>
      </c>
    </row>
    <row r="387" spans="1:11">
      <c r="A387" s="2">
        <f t="shared" ref="A387:A410" si="101">A386+1</f>
        <v>291</v>
      </c>
      <c r="B387" s="331" t="s">
        <v>375</v>
      </c>
      <c r="C387" s="332">
        <v>2024</v>
      </c>
      <c r="D387" s="59">
        <v>522000</v>
      </c>
      <c r="E387" s="6">
        <f>D387*'16-PlantAdditions'!$E$103</f>
        <v>39150</v>
      </c>
      <c r="F387" s="6">
        <f>E387+D387</f>
        <v>561150</v>
      </c>
      <c r="G387" s="59">
        <v>12000</v>
      </c>
      <c r="H387" s="59">
        <v>0</v>
      </c>
      <c r="I387" s="6">
        <f>(G387-H387)*'16-PlantAdditions'!$E$103</f>
        <v>900</v>
      </c>
      <c r="J387" s="6">
        <f>J386+F387-G387-I387</f>
        <v>236363595.57000002</v>
      </c>
      <c r="K387" s="6">
        <f t="shared" ref="K387:K409" si="102">J387-$J$385</f>
        <v>917194.30000001192</v>
      </c>
    </row>
    <row r="388" spans="1:11">
      <c r="A388" s="2">
        <f t="shared" si="101"/>
        <v>292</v>
      </c>
      <c r="B388" s="331" t="s">
        <v>376</v>
      </c>
      <c r="C388" s="332">
        <v>2024</v>
      </c>
      <c r="D388" s="59">
        <v>515000</v>
      </c>
      <c r="E388" s="6">
        <f>D388*'16-PlantAdditions'!$E$103</f>
        <v>38625</v>
      </c>
      <c r="F388" s="6">
        <f t="shared" ref="F388:F406" si="103">E388+D388</f>
        <v>553625</v>
      </c>
      <c r="G388" s="59">
        <v>12000</v>
      </c>
      <c r="H388" s="59">
        <v>0</v>
      </c>
      <c r="I388" s="6">
        <f>(G388-H388)*'16-PlantAdditions'!$E$103</f>
        <v>900</v>
      </c>
      <c r="J388" s="6">
        <f t="shared" ref="J388:J406" si="104">J387+F388-G388-I388</f>
        <v>236904320.57000002</v>
      </c>
      <c r="K388" s="6">
        <f t="shared" si="102"/>
        <v>1457919.3000000119</v>
      </c>
    </row>
    <row r="389" spans="1:11">
      <c r="A389" s="2">
        <f t="shared" si="101"/>
        <v>293</v>
      </c>
      <c r="B389" s="331" t="s">
        <v>377</v>
      </c>
      <c r="C389" s="332">
        <v>2024</v>
      </c>
      <c r="D389" s="59">
        <v>1470000</v>
      </c>
      <c r="E389" s="6">
        <f>D389*'16-PlantAdditions'!$E$103</f>
        <v>110250</v>
      </c>
      <c r="F389" s="6">
        <f t="shared" si="103"/>
        <v>1580250</v>
      </c>
      <c r="G389" s="59">
        <v>34012155.620000005</v>
      </c>
      <c r="H389" s="59">
        <v>33332539.620000005</v>
      </c>
      <c r="I389" s="6">
        <f>(G389-H389)*'16-PlantAdditions'!$E$103</f>
        <v>50971.199999999997</v>
      </c>
      <c r="J389" s="6">
        <f t="shared" si="104"/>
        <v>204421443.75000003</v>
      </c>
      <c r="K389" s="6">
        <f t="shared" si="102"/>
        <v>-31024957.519999981</v>
      </c>
    </row>
    <row r="390" spans="1:11">
      <c r="A390" s="2">
        <f t="shared" si="101"/>
        <v>294</v>
      </c>
      <c r="B390" s="331" t="s">
        <v>378</v>
      </c>
      <c r="C390" s="332">
        <v>2024</v>
      </c>
      <c r="D390" s="59">
        <v>1485000</v>
      </c>
      <c r="E390" s="6">
        <f>D390*'16-PlantAdditions'!$E$103</f>
        <v>111375</v>
      </c>
      <c r="F390" s="6">
        <f t="shared" si="103"/>
        <v>1596375</v>
      </c>
      <c r="G390" s="59">
        <v>79468502.479999989</v>
      </c>
      <c r="H390" s="59">
        <v>77501603.479999989</v>
      </c>
      <c r="I390" s="6">
        <f>(G390-H390)*'16-PlantAdditions'!$E$103</f>
        <v>147517.42499999999</v>
      </c>
      <c r="J390" s="6">
        <f t="shared" si="104"/>
        <v>126401798.84500004</v>
      </c>
      <c r="K390" s="6">
        <f t="shared" si="102"/>
        <v>-109044602.42499997</v>
      </c>
    </row>
    <row r="391" spans="1:11">
      <c r="A391" s="2">
        <f t="shared" si="101"/>
        <v>295</v>
      </c>
      <c r="B391" s="331" t="s">
        <v>587</v>
      </c>
      <c r="C391" s="332">
        <v>2024</v>
      </c>
      <c r="D391" s="59">
        <v>1467000</v>
      </c>
      <c r="E391" s="6">
        <f>D391*'16-PlantAdditions'!$E$103</f>
        <v>110025</v>
      </c>
      <c r="F391" s="6">
        <f t="shared" si="103"/>
        <v>1577025</v>
      </c>
      <c r="G391" s="59">
        <v>9384431.5700000003</v>
      </c>
      <c r="H391" s="59">
        <v>8458431.5700000003</v>
      </c>
      <c r="I391" s="6">
        <f>(G391-H391)*'16-PlantAdditions'!$E$103</f>
        <v>69450</v>
      </c>
      <c r="J391" s="6">
        <f t="shared" si="104"/>
        <v>118524942.27500004</v>
      </c>
      <c r="K391" s="6">
        <f t="shared" si="102"/>
        <v>-116921458.99499997</v>
      </c>
    </row>
    <row r="392" spans="1:11">
      <c r="A392" s="2">
        <f t="shared" si="101"/>
        <v>296</v>
      </c>
      <c r="B392" s="331" t="s">
        <v>380</v>
      </c>
      <c r="C392" s="332">
        <v>2024</v>
      </c>
      <c r="D392" s="59">
        <v>1274000</v>
      </c>
      <c r="E392" s="6">
        <f>D392*'16-PlantAdditions'!$E$103</f>
        <v>95550</v>
      </c>
      <c r="F392" s="6">
        <f t="shared" si="103"/>
        <v>1369550</v>
      </c>
      <c r="G392" s="59">
        <v>37546159.869999997</v>
      </c>
      <c r="H392" s="59">
        <v>35518621.869999997</v>
      </c>
      <c r="I392" s="6">
        <f>(G392-H392)*'16-PlantAdditions'!$E$103</f>
        <v>152065.35</v>
      </c>
      <c r="J392" s="6">
        <f t="shared" si="104"/>
        <v>82196267.055000037</v>
      </c>
      <c r="K392" s="6">
        <f t="shared" si="102"/>
        <v>-153250134.21499997</v>
      </c>
    </row>
    <row r="393" spans="1:11">
      <c r="A393" s="2">
        <f t="shared" si="101"/>
        <v>297</v>
      </c>
      <c r="B393" s="331" t="s">
        <v>381</v>
      </c>
      <c r="C393" s="332">
        <v>2024</v>
      </c>
      <c r="D393" s="59">
        <v>1245000</v>
      </c>
      <c r="E393" s="6">
        <f>D393*'16-PlantAdditions'!$E$103</f>
        <v>93375</v>
      </c>
      <c r="F393" s="6">
        <f t="shared" si="103"/>
        <v>1338375</v>
      </c>
      <c r="G393" s="59">
        <v>902000</v>
      </c>
      <c r="H393" s="59">
        <v>0</v>
      </c>
      <c r="I393" s="6">
        <f>(G393-H393)*'16-PlantAdditions'!$E$103</f>
        <v>67650</v>
      </c>
      <c r="J393" s="6">
        <f t="shared" si="104"/>
        <v>82564992.055000037</v>
      </c>
      <c r="K393" s="6">
        <f t="shared" si="102"/>
        <v>-152881409.21499997</v>
      </c>
    </row>
    <row r="394" spans="1:11">
      <c r="A394" s="2">
        <f t="shared" si="101"/>
        <v>298</v>
      </c>
      <c r="B394" s="331" t="s">
        <v>382</v>
      </c>
      <c r="C394" s="332">
        <v>2024</v>
      </c>
      <c r="D394" s="59">
        <v>1331000</v>
      </c>
      <c r="E394" s="6">
        <f>D394*'16-PlantAdditions'!$E$103</f>
        <v>99825</v>
      </c>
      <c r="F394" s="6">
        <f t="shared" si="103"/>
        <v>1430825</v>
      </c>
      <c r="G394" s="59">
        <v>235000</v>
      </c>
      <c r="H394" s="59">
        <v>0</v>
      </c>
      <c r="I394" s="6">
        <f>(G394-H394)*'16-PlantAdditions'!$E$103</f>
        <v>17625</v>
      </c>
      <c r="J394" s="6">
        <f t="shared" si="104"/>
        <v>83743192.055000037</v>
      </c>
      <c r="K394" s="6">
        <f t="shared" si="102"/>
        <v>-151703209.21499997</v>
      </c>
    </row>
    <row r="395" spans="1:11">
      <c r="A395" s="2">
        <f t="shared" si="101"/>
        <v>299</v>
      </c>
      <c r="B395" s="331" t="s">
        <v>383</v>
      </c>
      <c r="C395" s="332">
        <v>2024</v>
      </c>
      <c r="D395" s="59">
        <v>1550000</v>
      </c>
      <c r="E395" s="6">
        <f>D395*'16-PlantAdditions'!$E$103</f>
        <v>116250</v>
      </c>
      <c r="F395" s="6">
        <f t="shared" si="103"/>
        <v>1666250</v>
      </c>
      <c r="G395" s="59">
        <v>454000</v>
      </c>
      <c r="H395" s="59">
        <v>0</v>
      </c>
      <c r="I395" s="6">
        <f>(G395-H395)*'16-PlantAdditions'!$E$103</f>
        <v>34050</v>
      </c>
      <c r="J395" s="6">
        <f t="shared" si="104"/>
        <v>84921392.055000037</v>
      </c>
      <c r="K395" s="6">
        <f t="shared" si="102"/>
        <v>-150525009.21499997</v>
      </c>
    </row>
    <row r="396" spans="1:11">
      <c r="A396" s="2">
        <f t="shared" si="101"/>
        <v>300</v>
      </c>
      <c r="B396" s="331" t="s">
        <v>384</v>
      </c>
      <c r="C396" s="332">
        <v>2024</v>
      </c>
      <c r="D396" s="59">
        <v>12761000</v>
      </c>
      <c r="E396" s="6">
        <f>D396*'16-PlantAdditions'!$E$103</f>
        <v>957075</v>
      </c>
      <c r="F396" s="6">
        <f t="shared" si="103"/>
        <v>13718075</v>
      </c>
      <c r="G396" s="59">
        <v>665000</v>
      </c>
      <c r="H396" s="59">
        <v>0</v>
      </c>
      <c r="I396" s="6">
        <f>(G396-H396)*'16-PlantAdditions'!$E$103</f>
        <v>49875</v>
      </c>
      <c r="J396" s="6">
        <f t="shared" si="104"/>
        <v>97924592.055000037</v>
      </c>
      <c r="K396" s="6">
        <f t="shared" si="102"/>
        <v>-137521809.21499997</v>
      </c>
    </row>
    <row r="397" spans="1:11">
      <c r="A397" s="2">
        <f t="shared" si="101"/>
        <v>301</v>
      </c>
      <c r="B397" s="331" t="s">
        <v>372</v>
      </c>
      <c r="C397" s="332">
        <v>2024</v>
      </c>
      <c r="D397" s="59">
        <v>13912246</v>
      </c>
      <c r="E397" s="6">
        <f>D397*'16-PlantAdditions'!$E$103</f>
        <v>1043418.45</v>
      </c>
      <c r="F397" s="6">
        <f t="shared" si="103"/>
        <v>14955664.449999999</v>
      </c>
      <c r="G397" s="59">
        <v>47336707.979999982</v>
      </c>
      <c r="H397" s="59">
        <v>44574310.979999997</v>
      </c>
      <c r="I397" s="6">
        <f>(G397-H397)*'16-PlantAdditions'!$E$103</f>
        <v>207179.77499999889</v>
      </c>
      <c r="J397" s="6">
        <f t="shared" si="104"/>
        <v>65336368.75000006</v>
      </c>
      <c r="K397" s="6">
        <f t="shared" si="102"/>
        <v>-170110032.51999995</v>
      </c>
    </row>
    <row r="398" spans="1:11">
      <c r="A398" s="2">
        <f t="shared" si="101"/>
        <v>302</v>
      </c>
      <c r="B398" s="331" t="s">
        <v>374</v>
      </c>
      <c r="C398" s="332">
        <v>2025</v>
      </c>
      <c r="D398" s="59">
        <v>442000</v>
      </c>
      <c r="E398" s="6">
        <f>D398*'16-PlantAdditions'!$E$103</f>
        <v>33150</v>
      </c>
      <c r="F398" s="6">
        <f t="shared" si="103"/>
        <v>475150</v>
      </c>
      <c r="G398" s="59">
        <v>383000</v>
      </c>
      <c r="H398" s="59">
        <v>0</v>
      </c>
      <c r="I398" s="6">
        <f>(G398-H398)*'16-PlantAdditions'!$E$103</f>
        <v>28725</v>
      </c>
      <c r="J398" s="6">
        <f t="shared" si="104"/>
        <v>65399793.75000006</v>
      </c>
      <c r="K398" s="6">
        <f t="shared" si="102"/>
        <v>-170046607.51999995</v>
      </c>
    </row>
    <row r="399" spans="1:11">
      <c r="A399" s="2">
        <f t="shared" si="101"/>
        <v>303</v>
      </c>
      <c r="B399" s="331" t="s">
        <v>375</v>
      </c>
      <c r="C399" s="332">
        <v>2025</v>
      </c>
      <c r="D399" s="59">
        <v>1476974</v>
      </c>
      <c r="E399" s="6">
        <f>D399*'16-PlantAdditions'!$E$103</f>
        <v>110773.05</v>
      </c>
      <c r="F399" s="6">
        <f t="shared" si="103"/>
        <v>1587747.05</v>
      </c>
      <c r="G399" s="59">
        <v>64829867.750000007</v>
      </c>
      <c r="H399" s="59">
        <v>36060893.75</v>
      </c>
      <c r="I399" s="6">
        <f>(G399-H399)*'16-PlantAdditions'!$E$103</f>
        <v>2157673.0500000003</v>
      </c>
      <c r="J399" s="6">
        <f t="shared" si="104"/>
        <v>4.8894435167312622E-8</v>
      </c>
      <c r="K399" s="6">
        <f t="shared" si="102"/>
        <v>-235446401.26999995</v>
      </c>
    </row>
    <row r="400" spans="1:11">
      <c r="A400" s="2">
        <f t="shared" si="101"/>
        <v>304</v>
      </c>
      <c r="B400" s="331" t="s">
        <v>376</v>
      </c>
      <c r="C400" s="332">
        <v>2025</v>
      </c>
      <c r="D400" s="59">
        <v>1479974</v>
      </c>
      <c r="E400" s="6">
        <f>D400*'16-PlantAdditions'!$E$103</f>
        <v>110998.05</v>
      </c>
      <c r="F400" s="6">
        <f t="shared" si="103"/>
        <v>1590972.05</v>
      </c>
      <c r="G400" s="59">
        <v>1479974</v>
      </c>
      <c r="H400" s="59">
        <v>0</v>
      </c>
      <c r="I400" s="6">
        <f>(G400-H400)*'16-PlantAdditions'!$E$103</f>
        <v>110998.05</v>
      </c>
      <c r="J400" s="6">
        <f t="shared" si="104"/>
        <v>4.8938090912997723E-8</v>
      </c>
      <c r="K400" s="6">
        <f t="shared" si="102"/>
        <v>-235446401.26999995</v>
      </c>
    </row>
    <row r="401" spans="1:11">
      <c r="A401" s="2">
        <f t="shared" si="101"/>
        <v>305</v>
      </c>
      <c r="B401" s="331" t="s">
        <v>377</v>
      </c>
      <c r="C401" s="332">
        <v>2025</v>
      </c>
      <c r="D401" s="59">
        <v>1290389.0000000002</v>
      </c>
      <c r="E401" s="6">
        <f>D401*'16-PlantAdditions'!$E$103</f>
        <v>96779.175000000017</v>
      </c>
      <c r="F401" s="6">
        <f t="shared" si="103"/>
        <v>1387168.1750000003</v>
      </c>
      <c r="G401" s="59">
        <v>1290389.0000000002</v>
      </c>
      <c r="H401" s="59">
        <v>0</v>
      </c>
      <c r="I401" s="6">
        <f>(G401-H401)*'16-PlantAdditions'!$E$103</f>
        <v>96779.175000000017</v>
      </c>
      <c r="J401" s="6">
        <f t="shared" si="104"/>
        <v>4.8923538997769356E-8</v>
      </c>
      <c r="K401" s="6">
        <f t="shared" si="102"/>
        <v>-235446401.26999995</v>
      </c>
    </row>
    <row r="402" spans="1:11">
      <c r="A402" s="2">
        <f t="shared" si="101"/>
        <v>306</v>
      </c>
      <c r="B402" s="331" t="s">
        <v>378</v>
      </c>
      <c r="C402" s="332">
        <v>2025</v>
      </c>
      <c r="D402" s="59">
        <v>1290389.0000000002</v>
      </c>
      <c r="E402" s="6">
        <f>D402*'16-PlantAdditions'!$E$103</f>
        <v>96779.175000000017</v>
      </c>
      <c r="F402" s="6">
        <f t="shared" si="103"/>
        <v>1387168.1750000003</v>
      </c>
      <c r="G402" s="59">
        <v>1290389.0000000002</v>
      </c>
      <c r="H402" s="59">
        <v>0</v>
      </c>
      <c r="I402" s="6">
        <f>(G402-H402)*'16-PlantAdditions'!$E$103</f>
        <v>96779.175000000017</v>
      </c>
      <c r="J402" s="6">
        <f t="shared" si="104"/>
        <v>4.8923538997769356E-8</v>
      </c>
      <c r="K402" s="6">
        <f t="shared" si="102"/>
        <v>-235446401.26999995</v>
      </c>
    </row>
    <row r="403" spans="1:11">
      <c r="A403" s="2">
        <f t="shared" si="101"/>
        <v>307</v>
      </c>
      <c r="B403" s="331" t="s">
        <v>587</v>
      </c>
      <c r="C403" s="332">
        <v>2025</v>
      </c>
      <c r="D403" s="59">
        <v>1291389.0000000002</v>
      </c>
      <c r="E403" s="6">
        <f>D403*'16-PlantAdditions'!$E$103</f>
        <v>96854.175000000017</v>
      </c>
      <c r="F403" s="6">
        <f t="shared" si="103"/>
        <v>1388243.1750000003</v>
      </c>
      <c r="G403" s="59">
        <v>1291389.0000000002</v>
      </c>
      <c r="H403" s="59">
        <v>0</v>
      </c>
      <c r="I403" s="6">
        <f>(G403-H403)*'16-PlantAdditions'!$E$103</f>
        <v>96854.175000000017</v>
      </c>
      <c r="J403" s="6">
        <f t="shared" si="104"/>
        <v>4.8923538997769356E-8</v>
      </c>
      <c r="K403" s="6">
        <f t="shared" si="102"/>
        <v>-235446401.26999995</v>
      </c>
    </row>
    <row r="404" spans="1:11">
      <c r="A404" s="2">
        <f t="shared" si="101"/>
        <v>308</v>
      </c>
      <c r="B404" s="331" t="s">
        <v>380</v>
      </c>
      <c r="C404" s="332">
        <v>2025</v>
      </c>
      <c r="D404" s="59">
        <v>4775041</v>
      </c>
      <c r="E404" s="6">
        <f>D404*'16-PlantAdditions'!$E$103</f>
        <v>358128.07500000001</v>
      </c>
      <c r="F404" s="6">
        <f t="shared" si="103"/>
        <v>5133169.0750000002</v>
      </c>
      <c r="G404" s="59">
        <v>4775041</v>
      </c>
      <c r="H404" s="59">
        <v>0</v>
      </c>
      <c r="I404" s="6">
        <f>(G404-H404)*'16-PlantAdditions'!$E$103</f>
        <v>358128.07500000001</v>
      </c>
      <c r="J404" s="6">
        <f t="shared" si="104"/>
        <v>4.9534719437360764E-8</v>
      </c>
      <c r="K404" s="6">
        <f t="shared" si="102"/>
        <v>-235446401.26999995</v>
      </c>
    </row>
    <row r="405" spans="1:11">
      <c r="A405" s="2">
        <f t="shared" si="101"/>
        <v>309</v>
      </c>
      <c r="B405" s="331" t="s">
        <v>381</v>
      </c>
      <c r="C405" s="332">
        <v>2025</v>
      </c>
      <c r="D405" s="59">
        <v>383000</v>
      </c>
      <c r="E405" s="6">
        <f>D405*'16-PlantAdditions'!$E$103</f>
        <v>28725</v>
      </c>
      <c r="F405" s="6">
        <f t="shared" si="103"/>
        <v>411725</v>
      </c>
      <c r="G405" s="59">
        <v>383000</v>
      </c>
      <c r="H405" s="59">
        <v>0</v>
      </c>
      <c r="I405" s="6">
        <f>(G405-H405)*'16-PlantAdditions'!$E$103</f>
        <v>28725</v>
      </c>
      <c r="J405" s="6">
        <f t="shared" si="104"/>
        <v>4.9534719437360764E-8</v>
      </c>
      <c r="K405" s="6">
        <f t="shared" si="102"/>
        <v>-235446401.26999995</v>
      </c>
    </row>
    <row r="406" spans="1:11">
      <c r="A406" s="2">
        <f t="shared" si="101"/>
        <v>310</v>
      </c>
      <c r="B406" s="331" t="s">
        <v>382</v>
      </c>
      <c r="C406" s="332">
        <v>2025</v>
      </c>
      <c r="D406" s="59">
        <v>354000</v>
      </c>
      <c r="E406" s="6">
        <f>D406*'16-PlantAdditions'!$E$103</f>
        <v>26550</v>
      </c>
      <c r="F406" s="6">
        <f t="shared" si="103"/>
        <v>380550</v>
      </c>
      <c r="G406" s="59">
        <v>354000</v>
      </c>
      <c r="H406" s="59">
        <v>0</v>
      </c>
      <c r="I406" s="6">
        <f>(G406-H406)*'16-PlantAdditions'!$E$103</f>
        <v>26550</v>
      </c>
      <c r="J406" s="6">
        <f t="shared" si="104"/>
        <v>4.9534719437360764E-8</v>
      </c>
      <c r="K406" s="6">
        <f t="shared" si="102"/>
        <v>-235446401.26999995</v>
      </c>
    </row>
    <row r="407" spans="1:11">
      <c r="A407" s="2">
        <f t="shared" si="101"/>
        <v>311</v>
      </c>
      <c r="B407" s="331" t="s">
        <v>383</v>
      </c>
      <c r="C407" s="332">
        <v>2025</v>
      </c>
      <c r="D407" s="59">
        <v>354000</v>
      </c>
      <c r="E407" s="6">
        <f>D407*'16-PlantAdditions'!$E$103</f>
        <v>26550</v>
      </c>
      <c r="F407" s="6">
        <f t="shared" ref="F407:F409" si="105">E407+D407</f>
        <v>380550</v>
      </c>
      <c r="G407" s="59">
        <v>354000</v>
      </c>
      <c r="H407" s="59">
        <v>0</v>
      </c>
      <c r="I407" s="6">
        <f>(G407-H407)*'16-PlantAdditions'!$E$103</f>
        <v>26550</v>
      </c>
      <c r="J407" s="6">
        <f t="shared" ref="J407:J408" si="106">J406+F407-G407-I407</f>
        <v>4.9534719437360764E-8</v>
      </c>
      <c r="K407" s="6">
        <f t="shared" si="102"/>
        <v>-235446401.26999995</v>
      </c>
    </row>
    <row r="408" spans="1:11">
      <c r="A408" s="2">
        <f t="shared" si="101"/>
        <v>312</v>
      </c>
      <c r="B408" s="331" t="s">
        <v>384</v>
      </c>
      <c r="C408" s="332">
        <v>2025</v>
      </c>
      <c r="D408" s="59">
        <v>2354000</v>
      </c>
      <c r="E408" s="6">
        <f>D408*'16-PlantAdditions'!$E$103</f>
        <v>176550</v>
      </c>
      <c r="F408" s="6">
        <f t="shared" si="105"/>
        <v>2530550</v>
      </c>
      <c r="G408" s="59">
        <v>2354000</v>
      </c>
      <c r="H408" s="59">
        <v>0</v>
      </c>
      <c r="I408" s="6">
        <f>(G408-H408)*'16-PlantAdditions'!$E$103</f>
        <v>176550</v>
      </c>
      <c r="J408" s="6">
        <f t="shared" si="106"/>
        <v>4.9360096454620361E-8</v>
      </c>
      <c r="K408" s="6">
        <f t="shared" si="102"/>
        <v>-235446401.26999995</v>
      </c>
    </row>
    <row r="409" spans="1:11">
      <c r="A409" s="2">
        <f t="shared" si="101"/>
        <v>313</v>
      </c>
      <c r="B409" s="331" t="s">
        <v>372</v>
      </c>
      <c r="C409" s="332">
        <v>2025</v>
      </c>
      <c r="D409" s="59">
        <v>4698844</v>
      </c>
      <c r="E409" s="6">
        <f>D409*'16-PlantAdditions'!$E$103</f>
        <v>352413.3</v>
      </c>
      <c r="F409" s="6">
        <f t="shared" si="105"/>
        <v>5051257.3</v>
      </c>
      <c r="G409" s="59">
        <v>4698844</v>
      </c>
      <c r="H409" s="59">
        <v>0</v>
      </c>
      <c r="I409" s="6">
        <f>(G409-H409)*'16-PlantAdditions'!$E$103</f>
        <v>352413.3</v>
      </c>
      <c r="J409" s="6">
        <f>J408+F409-G409-I409</f>
        <v>4.9185473471879959E-8</v>
      </c>
      <c r="K409" s="53">
        <f t="shared" si="102"/>
        <v>-235446401.26999995</v>
      </c>
    </row>
    <row r="410" spans="1:11">
      <c r="A410" s="2">
        <f t="shared" si="101"/>
        <v>314</v>
      </c>
      <c r="C410" s="353" t="s">
        <v>990</v>
      </c>
      <c r="H410" s="241"/>
      <c r="I410" s="241"/>
      <c r="K410" s="42">
        <f>AVERAGE(K397:K409)</f>
        <v>-225389773.38538456</v>
      </c>
    </row>
    <row r="411" spans="1:11">
      <c r="A411" s="2"/>
      <c r="C411" s="353"/>
      <c r="H411" s="241"/>
      <c r="I411" s="241"/>
      <c r="K411" s="42"/>
    </row>
    <row r="412" spans="1:11">
      <c r="B412" s="34" t="s">
        <v>1015</v>
      </c>
      <c r="D412" s="1109" t="s">
        <v>973</v>
      </c>
      <c r="E412" s="1109"/>
    </row>
    <row r="413" spans="1:11">
      <c r="A413" s="3"/>
      <c r="B413" s="3"/>
      <c r="C413" s="3"/>
      <c r="D413" s="3" t="s">
        <v>329</v>
      </c>
      <c r="E413" s="3" t="s">
        <v>330</v>
      </c>
      <c r="F413" s="3" t="s">
        <v>331</v>
      </c>
      <c r="G413" s="3" t="s">
        <v>332</v>
      </c>
      <c r="H413" s="3" t="s">
        <v>333</v>
      </c>
      <c r="I413" s="3" t="s">
        <v>334</v>
      </c>
      <c r="J413" s="3" t="s">
        <v>335</v>
      </c>
      <c r="K413" s="3" t="s">
        <v>336</v>
      </c>
    </row>
    <row r="414" spans="1:11" ht="38.25">
      <c r="D414" s="48"/>
      <c r="E414" s="354" t="s">
        <v>994</v>
      </c>
      <c r="F414" s="241" t="s">
        <v>995</v>
      </c>
      <c r="G414" s="241"/>
      <c r="H414" s="48"/>
      <c r="I414" s="354" t="s">
        <v>996</v>
      </c>
      <c r="J414" s="354" t="s">
        <v>997</v>
      </c>
      <c r="K414" s="354" t="s">
        <v>998</v>
      </c>
    </row>
    <row r="415" spans="1:11">
      <c r="D415" s="48"/>
      <c r="E415" s="354"/>
      <c r="F415" s="241"/>
      <c r="G415" s="4" t="str">
        <f>G85</f>
        <v>Unloaded</v>
      </c>
      <c r="H415" s="48"/>
      <c r="I415" s="354"/>
      <c r="J415" s="354"/>
      <c r="K415" s="354"/>
    </row>
    <row r="416" spans="1:11">
      <c r="A416" s="2"/>
      <c r="B416" s="2"/>
      <c r="C416" s="2"/>
      <c r="D416" s="2" t="str">
        <f>D$52</f>
        <v>Forecast</v>
      </c>
      <c r="E416" s="2" t="str">
        <f t="shared" ref="E416:J416" si="107">E$52</f>
        <v>Corporate</v>
      </c>
      <c r="F416" s="2" t="str">
        <f t="shared" si="107"/>
        <v xml:space="preserve">Total </v>
      </c>
      <c r="G416" s="4" t="str">
        <f>G86</f>
        <v>Total</v>
      </c>
      <c r="H416" s="2" t="str">
        <f t="shared" si="107"/>
        <v>Prior Period</v>
      </c>
      <c r="I416" s="2" t="str">
        <f t="shared" si="107"/>
        <v>Over Heads</v>
      </c>
      <c r="J416" s="2" t="str">
        <f t="shared" si="107"/>
        <v>Forecast</v>
      </c>
      <c r="K416" s="2" t="str">
        <f>K$52</f>
        <v>Forecast Period</v>
      </c>
    </row>
    <row r="417" spans="1:11">
      <c r="A417" s="30" t="s">
        <v>266</v>
      </c>
      <c r="B417" s="330" t="s">
        <v>364</v>
      </c>
      <c r="C417" s="330" t="s">
        <v>365</v>
      </c>
      <c r="D417" s="3" t="str">
        <f>D$53</f>
        <v>Expenditures</v>
      </c>
      <c r="E417" s="3" t="str">
        <f t="shared" ref="E417:J417" si="108">E$53</f>
        <v>Overheads</v>
      </c>
      <c r="F417" s="3" t="str">
        <f t="shared" si="108"/>
        <v>CWIP Exp</v>
      </c>
      <c r="G417" s="48" t="str">
        <f>G87</f>
        <v>Plant Adds</v>
      </c>
      <c r="H417" s="3" t="str">
        <f t="shared" si="108"/>
        <v>CWIP Closed</v>
      </c>
      <c r="I417" s="3" t="str">
        <f t="shared" si="108"/>
        <v>Closed to PIS</v>
      </c>
      <c r="J417" s="3" t="str">
        <f t="shared" si="108"/>
        <v>Period CWIP</v>
      </c>
      <c r="K417" s="3" t="str">
        <f>K$53</f>
        <v>Incremental CWIP</v>
      </c>
    </row>
    <row r="418" spans="1:11">
      <c r="A418" s="2">
        <f>A410+1</f>
        <v>315</v>
      </c>
      <c r="B418" s="331" t="s">
        <v>372</v>
      </c>
      <c r="C418" s="332">
        <v>2023</v>
      </c>
      <c r="D418" s="241" t="s">
        <v>373</v>
      </c>
      <c r="E418" s="241" t="s">
        <v>373</v>
      </c>
      <c r="F418" s="241" t="s">
        <v>373</v>
      </c>
      <c r="G418" s="241" t="s">
        <v>373</v>
      </c>
      <c r="H418" s="241" t="s">
        <v>373</v>
      </c>
      <c r="I418" s="241" t="s">
        <v>373</v>
      </c>
      <c r="J418" s="6">
        <f>I45</f>
        <v>33737373.600000001</v>
      </c>
      <c r="K418" s="241" t="s">
        <v>373</v>
      </c>
    </row>
    <row r="419" spans="1:11">
      <c r="A419" s="2">
        <f>A418+1</f>
        <v>316</v>
      </c>
      <c r="B419" s="331" t="s">
        <v>374</v>
      </c>
      <c r="C419" s="332">
        <v>2024</v>
      </c>
      <c r="D419" s="59">
        <v>6358.0000000000009</v>
      </c>
      <c r="E419" s="6">
        <f>D419*'16-PlantAdditions'!$E$103</f>
        <v>476.85</v>
      </c>
      <c r="F419" s="6">
        <f>E419+D419</f>
        <v>6834.8500000000013</v>
      </c>
      <c r="G419" s="59">
        <v>0</v>
      </c>
      <c r="H419" s="59">
        <v>0</v>
      </c>
      <c r="I419" s="6">
        <f>(G419-H419)*'16-PlantAdditions'!$E$103</f>
        <v>0</v>
      </c>
      <c r="J419" s="6">
        <f t="shared" ref="J419:J442" si="109">J418+F419-G419-I419</f>
        <v>33744208.450000003</v>
      </c>
      <c r="K419" s="6">
        <f>J419-$J$418</f>
        <v>6834.8500000014901</v>
      </c>
    </row>
    <row r="420" spans="1:11">
      <c r="A420" s="2">
        <f t="shared" ref="A420:A443" si="110">A419+1</f>
        <v>317</v>
      </c>
      <c r="B420" s="331" t="s">
        <v>375</v>
      </c>
      <c r="C420" s="332">
        <v>2024</v>
      </c>
      <c r="D420" s="59">
        <v>74884</v>
      </c>
      <c r="E420" s="6">
        <f>D420*'16-PlantAdditions'!$E$103</f>
        <v>5616.3</v>
      </c>
      <c r="F420" s="6">
        <f t="shared" ref="F420:F442" si="111">E420+D420</f>
        <v>80500.3</v>
      </c>
      <c r="G420" s="59">
        <v>0</v>
      </c>
      <c r="H420" s="59">
        <v>0</v>
      </c>
      <c r="I420" s="6">
        <f>(G420-H420)*'16-PlantAdditions'!$E$103</f>
        <v>0</v>
      </c>
      <c r="J420" s="6">
        <f t="shared" si="109"/>
        <v>33824708.75</v>
      </c>
      <c r="K420" s="6">
        <f t="shared" ref="K420:K442" si="112">J420-$J$418</f>
        <v>87335.14999999851</v>
      </c>
    </row>
    <row r="421" spans="1:11">
      <c r="A421" s="2">
        <f t="shared" si="110"/>
        <v>318</v>
      </c>
      <c r="B421" s="331" t="s">
        <v>376</v>
      </c>
      <c r="C421" s="332">
        <v>2024</v>
      </c>
      <c r="D421" s="59">
        <v>74884</v>
      </c>
      <c r="E421" s="6">
        <f>D421*'16-PlantAdditions'!$E$103</f>
        <v>5616.3</v>
      </c>
      <c r="F421" s="6">
        <f t="shared" si="111"/>
        <v>80500.3</v>
      </c>
      <c r="G421" s="59">
        <v>0</v>
      </c>
      <c r="H421" s="59">
        <v>0</v>
      </c>
      <c r="I421" s="6">
        <f>(G421-H421)*'16-PlantAdditions'!$E$103</f>
        <v>0</v>
      </c>
      <c r="J421" s="6">
        <f t="shared" si="109"/>
        <v>33905209.049999997</v>
      </c>
      <c r="K421" s="6">
        <f t="shared" si="112"/>
        <v>167835.44999999553</v>
      </c>
    </row>
    <row r="422" spans="1:11">
      <c r="A422" s="2">
        <f t="shared" si="110"/>
        <v>319</v>
      </c>
      <c r="B422" s="331" t="s">
        <v>377</v>
      </c>
      <c r="C422" s="332">
        <v>2024</v>
      </c>
      <c r="D422" s="59">
        <v>74884</v>
      </c>
      <c r="E422" s="6">
        <f>D422*'16-PlantAdditions'!$E$103</f>
        <v>5616.3</v>
      </c>
      <c r="F422" s="6">
        <f t="shared" si="111"/>
        <v>80500.3</v>
      </c>
      <c r="G422" s="59">
        <v>0</v>
      </c>
      <c r="H422" s="59">
        <v>0</v>
      </c>
      <c r="I422" s="6">
        <f>(G422-H422)*'16-PlantAdditions'!$E$103</f>
        <v>0</v>
      </c>
      <c r="J422" s="6">
        <f t="shared" si="109"/>
        <v>33985709.349999994</v>
      </c>
      <c r="K422" s="6">
        <f t="shared" si="112"/>
        <v>248335.74999999255</v>
      </c>
    </row>
    <row r="423" spans="1:11">
      <c r="A423" s="2">
        <f t="shared" si="110"/>
        <v>320</v>
      </c>
      <c r="B423" s="331" t="s">
        <v>378</v>
      </c>
      <c r="C423" s="332">
        <v>2024</v>
      </c>
      <c r="D423" s="59">
        <v>74884</v>
      </c>
      <c r="E423" s="6">
        <f>D423*'16-PlantAdditions'!$E$103</f>
        <v>5616.3</v>
      </c>
      <c r="F423" s="6">
        <f t="shared" si="111"/>
        <v>80500.3</v>
      </c>
      <c r="G423" s="59">
        <v>0</v>
      </c>
      <c r="H423" s="59">
        <v>0</v>
      </c>
      <c r="I423" s="6">
        <f>(G423-H423)*'16-PlantAdditions'!$E$103</f>
        <v>0</v>
      </c>
      <c r="J423" s="6">
        <f t="shared" si="109"/>
        <v>34066209.649999991</v>
      </c>
      <c r="K423" s="6">
        <f t="shared" si="112"/>
        <v>328836.04999998957</v>
      </c>
    </row>
    <row r="424" spans="1:11">
      <c r="A424" s="2">
        <f t="shared" si="110"/>
        <v>321</v>
      </c>
      <c r="B424" s="331" t="s">
        <v>587</v>
      </c>
      <c r="C424" s="332">
        <v>2024</v>
      </c>
      <c r="D424" s="59">
        <v>74884</v>
      </c>
      <c r="E424" s="6">
        <f>D424*'16-PlantAdditions'!$E$103</f>
        <v>5616.3</v>
      </c>
      <c r="F424" s="6">
        <f t="shared" si="111"/>
        <v>80500.3</v>
      </c>
      <c r="G424" s="59">
        <v>0</v>
      </c>
      <c r="H424" s="59">
        <v>0</v>
      </c>
      <c r="I424" s="6">
        <f>(G424-H424)*'16-PlantAdditions'!$E$103</f>
        <v>0</v>
      </c>
      <c r="J424" s="6">
        <f t="shared" si="109"/>
        <v>34146709.949999988</v>
      </c>
      <c r="K424" s="6">
        <f t="shared" si="112"/>
        <v>409336.34999998659</v>
      </c>
    </row>
    <row r="425" spans="1:11">
      <c r="A425" s="2">
        <f t="shared" si="110"/>
        <v>322</v>
      </c>
      <c r="B425" s="331" t="s">
        <v>380</v>
      </c>
      <c r="C425" s="332">
        <v>2024</v>
      </c>
      <c r="D425" s="59">
        <v>74884</v>
      </c>
      <c r="E425" s="6">
        <f>D425*'16-PlantAdditions'!$E$103</f>
        <v>5616.3</v>
      </c>
      <c r="F425" s="6">
        <f t="shared" si="111"/>
        <v>80500.3</v>
      </c>
      <c r="G425" s="59">
        <v>0</v>
      </c>
      <c r="H425" s="59">
        <v>0</v>
      </c>
      <c r="I425" s="6">
        <f>(G425-H425)*'16-PlantAdditions'!$E$103</f>
        <v>0</v>
      </c>
      <c r="J425" s="6">
        <f t="shared" si="109"/>
        <v>34227210.249999985</v>
      </c>
      <c r="K425" s="6">
        <f t="shared" si="112"/>
        <v>489836.64999998361</v>
      </c>
    </row>
    <row r="426" spans="1:11">
      <c r="A426" s="2">
        <f t="shared" si="110"/>
        <v>323</v>
      </c>
      <c r="B426" s="331" t="s">
        <v>381</v>
      </c>
      <c r="C426" s="332">
        <v>2024</v>
      </c>
      <c r="D426" s="59">
        <v>74884</v>
      </c>
      <c r="E426" s="6">
        <f>D426*'16-PlantAdditions'!$E$103</f>
        <v>5616.3</v>
      </c>
      <c r="F426" s="6">
        <f t="shared" si="111"/>
        <v>80500.3</v>
      </c>
      <c r="G426" s="59">
        <v>0</v>
      </c>
      <c r="H426" s="59">
        <v>0</v>
      </c>
      <c r="I426" s="6">
        <f>(G426-H426)*'16-PlantAdditions'!$E$103</f>
        <v>0</v>
      </c>
      <c r="J426" s="6">
        <f t="shared" si="109"/>
        <v>34307710.549999982</v>
      </c>
      <c r="K426" s="6">
        <f t="shared" si="112"/>
        <v>570336.94999998063</v>
      </c>
    </row>
    <row r="427" spans="1:11">
      <c r="A427" s="2">
        <f t="shared" si="110"/>
        <v>324</v>
      </c>
      <c r="B427" s="331" t="s">
        <v>382</v>
      </c>
      <c r="C427" s="332">
        <v>2024</v>
      </c>
      <c r="D427" s="59">
        <v>74884</v>
      </c>
      <c r="E427" s="6">
        <f>D427*'16-PlantAdditions'!$E$103</f>
        <v>5616.3</v>
      </c>
      <c r="F427" s="6">
        <f t="shared" si="111"/>
        <v>80500.3</v>
      </c>
      <c r="G427" s="59">
        <v>0</v>
      </c>
      <c r="H427" s="59">
        <v>0</v>
      </c>
      <c r="I427" s="6">
        <f>(G427-H427)*'16-PlantAdditions'!$E$103</f>
        <v>0</v>
      </c>
      <c r="J427" s="6">
        <f t="shared" si="109"/>
        <v>34388210.849999979</v>
      </c>
      <c r="K427" s="6">
        <f t="shared" si="112"/>
        <v>650837.24999997765</v>
      </c>
    </row>
    <row r="428" spans="1:11">
      <c r="A428" s="2">
        <f t="shared" si="110"/>
        <v>325</v>
      </c>
      <c r="B428" s="331" t="s">
        <v>383</v>
      </c>
      <c r="C428" s="332">
        <v>2024</v>
      </c>
      <c r="D428" s="59">
        <v>74884</v>
      </c>
      <c r="E428" s="6">
        <f>D428*'16-PlantAdditions'!$E$103</f>
        <v>5616.3</v>
      </c>
      <c r="F428" s="6">
        <f t="shared" si="111"/>
        <v>80500.3</v>
      </c>
      <c r="G428" s="59">
        <v>0</v>
      </c>
      <c r="H428" s="59">
        <v>0</v>
      </c>
      <c r="I428" s="6">
        <f>(G428-H428)*'16-PlantAdditions'!$E$103</f>
        <v>0</v>
      </c>
      <c r="J428" s="6">
        <f t="shared" si="109"/>
        <v>34468711.149999976</v>
      </c>
      <c r="K428" s="6">
        <f t="shared" si="112"/>
        <v>731337.54999997467</v>
      </c>
    </row>
    <row r="429" spans="1:11">
      <c r="A429" s="2">
        <f t="shared" si="110"/>
        <v>326</v>
      </c>
      <c r="B429" s="331" t="s">
        <v>384</v>
      </c>
      <c r="C429" s="332">
        <v>2024</v>
      </c>
      <c r="D429" s="59">
        <v>74884</v>
      </c>
      <c r="E429" s="6">
        <f>D429*'16-PlantAdditions'!$E$103</f>
        <v>5616.3</v>
      </c>
      <c r="F429" s="6">
        <f t="shared" si="111"/>
        <v>80500.3</v>
      </c>
      <c r="G429" s="59">
        <v>0</v>
      </c>
      <c r="H429" s="59">
        <v>0</v>
      </c>
      <c r="I429" s="6">
        <f>(G429-H429)*'16-PlantAdditions'!$E$103</f>
        <v>0</v>
      </c>
      <c r="J429" s="6">
        <f t="shared" si="109"/>
        <v>34549211.449999973</v>
      </c>
      <c r="K429" s="6">
        <f t="shared" si="112"/>
        <v>811837.84999997169</v>
      </c>
    </row>
    <row r="430" spans="1:11">
      <c r="A430" s="2">
        <f t="shared" si="110"/>
        <v>327</v>
      </c>
      <c r="B430" s="331" t="s">
        <v>372</v>
      </c>
      <c r="C430" s="332">
        <v>2024</v>
      </c>
      <c r="D430" s="59">
        <v>143427.00000000003</v>
      </c>
      <c r="E430" s="6">
        <f>D430*'16-PlantAdditions'!$E$103</f>
        <v>10757.025000000001</v>
      </c>
      <c r="F430" s="6">
        <f t="shared" si="111"/>
        <v>154184.02500000002</v>
      </c>
      <c r="G430" s="59">
        <v>0</v>
      </c>
      <c r="H430" s="59">
        <v>0</v>
      </c>
      <c r="I430" s="6">
        <f>(G430-H430)*'16-PlantAdditions'!$E$103</f>
        <v>0</v>
      </c>
      <c r="J430" s="6">
        <f t="shared" si="109"/>
        <v>34703395.474999972</v>
      </c>
      <c r="K430" s="6">
        <f t="shared" si="112"/>
        <v>966021.8749999702</v>
      </c>
    </row>
    <row r="431" spans="1:11">
      <c r="A431" s="2">
        <f t="shared" si="110"/>
        <v>328</v>
      </c>
      <c r="B431" s="331" t="s">
        <v>374</v>
      </c>
      <c r="C431" s="332">
        <v>2025</v>
      </c>
      <c r="D431" s="59">
        <v>6266496.3900000006</v>
      </c>
      <c r="E431" s="6">
        <f>D431*'16-PlantAdditions'!$E$103</f>
        <v>469987.22925000003</v>
      </c>
      <c r="F431" s="6">
        <f t="shared" si="111"/>
        <v>6736483.6192500005</v>
      </c>
      <c r="G431" s="59">
        <v>0</v>
      </c>
      <c r="H431" s="59">
        <v>0</v>
      </c>
      <c r="I431" s="6">
        <f>(G431-H431)*'16-PlantAdditions'!$E$103</f>
        <v>0</v>
      </c>
      <c r="J431" s="6">
        <f t="shared" si="109"/>
        <v>41439879.094249971</v>
      </c>
      <c r="K431" s="6">
        <f t="shared" si="112"/>
        <v>7702505.4942499697</v>
      </c>
    </row>
    <row r="432" spans="1:11">
      <c r="A432" s="2">
        <f t="shared" si="110"/>
        <v>329</v>
      </c>
      <c r="B432" s="331" t="s">
        <v>375</v>
      </c>
      <c r="C432" s="332">
        <v>2025</v>
      </c>
      <c r="D432" s="59">
        <v>6266496.3900000006</v>
      </c>
      <c r="E432" s="6">
        <f>D432*'16-PlantAdditions'!$E$103</f>
        <v>469987.22925000003</v>
      </c>
      <c r="F432" s="6">
        <f t="shared" si="111"/>
        <v>6736483.6192500005</v>
      </c>
      <c r="G432" s="59">
        <v>0</v>
      </c>
      <c r="H432" s="59">
        <v>0</v>
      </c>
      <c r="I432" s="6">
        <f>(G432-H432)*'16-PlantAdditions'!$E$103</f>
        <v>0</v>
      </c>
      <c r="J432" s="6">
        <f t="shared" si="109"/>
        <v>48176362.713499971</v>
      </c>
      <c r="K432" s="6">
        <f t="shared" si="112"/>
        <v>14438989.113499969</v>
      </c>
    </row>
    <row r="433" spans="1:11">
      <c r="A433" s="2">
        <f t="shared" si="110"/>
        <v>330</v>
      </c>
      <c r="B433" s="331" t="s">
        <v>376</v>
      </c>
      <c r="C433" s="332">
        <v>2025</v>
      </c>
      <c r="D433" s="59">
        <v>6266496.3900000006</v>
      </c>
      <c r="E433" s="6">
        <f>D433*'16-PlantAdditions'!$E$103</f>
        <v>469987.22925000003</v>
      </c>
      <c r="F433" s="6">
        <f t="shared" si="111"/>
        <v>6736483.6192500005</v>
      </c>
      <c r="G433" s="59">
        <v>0</v>
      </c>
      <c r="H433" s="59">
        <v>0</v>
      </c>
      <c r="I433" s="6">
        <f>(G433-H433)*'16-PlantAdditions'!$E$103</f>
        <v>0</v>
      </c>
      <c r="J433" s="6">
        <f t="shared" si="109"/>
        <v>54912846.33274997</v>
      </c>
      <c r="K433" s="6">
        <f t="shared" si="112"/>
        <v>21175472.732749969</v>
      </c>
    </row>
    <row r="434" spans="1:11">
      <c r="A434" s="2">
        <f t="shared" si="110"/>
        <v>331</v>
      </c>
      <c r="B434" s="331" t="s">
        <v>377</v>
      </c>
      <c r="C434" s="332">
        <v>2025</v>
      </c>
      <c r="D434" s="59">
        <v>6266496.3900000006</v>
      </c>
      <c r="E434" s="6">
        <f>D434*'16-PlantAdditions'!$E$103</f>
        <v>469987.22925000003</v>
      </c>
      <c r="F434" s="6">
        <f t="shared" si="111"/>
        <v>6736483.6192500005</v>
      </c>
      <c r="G434" s="59">
        <v>0</v>
      </c>
      <c r="H434" s="59">
        <v>0</v>
      </c>
      <c r="I434" s="6">
        <f>(G434-H434)*'16-PlantAdditions'!$E$103</f>
        <v>0</v>
      </c>
      <c r="J434" s="6">
        <f t="shared" si="109"/>
        <v>61649329.95199997</v>
      </c>
      <c r="K434" s="6">
        <f t="shared" si="112"/>
        <v>27911956.351999968</v>
      </c>
    </row>
    <row r="435" spans="1:11">
      <c r="A435" s="2">
        <f t="shared" si="110"/>
        <v>332</v>
      </c>
      <c r="B435" s="331" t="s">
        <v>378</v>
      </c>
      <c r="C435" s="332">
        <v>2025</v>
      </c>
      <c r="D435" s="59">
        <v>6266496.3900000006</v>
      </c>
      <c r="E435" s="6">
        <f>D435*'16-PlantAdditions'!$E$103</f>
        <v>469987.22925000003</v>
      </c>
      <c r="F435" s="6">
        <f t="shared" si="111"/>
        <v>6736483.6192500005</v>
      </c>
      <c r="G435" s="59">
        <v>0</v>
      </c>
      <c r="H435" s="59">
        <v>0</v>
      </c>
      <c r="I435" s="6">
        <f>(G435-H435)*'16-PlantAdditions'!$E$103</f>
        <v>0</v>
      </c>
      <c r="J435" s="6">
        <f t="shared" si="109"/>
        <v>68385813.571249977</v>
      </c>
      <c r="K435" s="6">
        <f t="shared" si="112"/>
        <v>34648439.971249975</v>
      </c>
    </row>
    <row r="436" spans="1:11">
      <c r="A436" s="2">
        <f t="shared" si="110"/>
        <v>333</v>
      </c>
      <c r="B436" s="331" t="s">
        <v>587</v>
      </c>
      <c r="C436" s="332">
        <v>2025</v>
      </c>
      <c r="D436" s="59">
        <v>6266496.3900000006</v>
      </c>
      <c r="E436" s="6">
        <f>D436*'16-PlantAdditions'!$E$103</f>
        <v>469987.22925000003</v>
      </c>
      <c r="F436" s="6">
        <f t="shared" si="111"/>
        <v>6736483.6192500005</v>
      </c>
      <c r="G436" s="59">
        <v>0</v>
      </c>
      <c r="H436" s="59">
        <v>0</v>
      </c>
      <c r="I436" s="6">
        <f>(G436-H436)*'16-PlantAdditions'!$E$103</f>
        <v>0</v>
      </c>
      <c r="J436" s="6">
        <f t="shared" si="109"/>
        <v>75122297.190499976</v>
      </c>
      <c r="K436" s="6">
        <f t="shared" si="112"/>
        <v>41384923.590499975</v>
      </c>
    </row>
    <row r="437" spans="1:11">
      <c r="A437" s="2">
        <f t="shared" si="110"/>
        <v>334</v>
      </c>
      <c r="B437" s="331" t="s">
        <v>380</v>
      </c>
      <c r="C437" s="332">
        <v>2025</v>
      </c>
      <c r="D437" s="59">
        <v>6266496.3900000006</v>
      </c>
      <c r="E437" s="6">
        <f>D437*'16-PlantAdditions'!$E$103</f>
        <v>469987.22925000003</v>
      </c>
      <c r="F437" s="6">
        <f t="shared" si="111"/>
        <v>6736483.6192500005</v>
      </c>
      <c r="G437" s="59">
        <v>0</v>
      </c>
      <c r="H437" s="59">
        <v>0</v>
      </c>
      <c r="I437" s="6">
        <f>(G437-H437)*'16-PlantAdditions'!$E$103</f>
        <v>0</v>
      </c>
      <c r="J437" s="6">
        <f t="shared" si="109"/>
        <v>81858780.809749976</v>
      </c>
      <c r="K437" s="6">
        <f t="shared" si="112"/>
        <v>48121407.209749974</v>
      </c>
    </row>
    <row r="438" spans="1:11">
      <c r="A438" s="2">
        <f t="shared" si="110"/>
        <v>335</v>
      </c>
      <c r="B438" s="331" t="s">
        <v>381</v>
      </c>
      <c r="C438" s="332">
        <v>2025</v>
      </c>
      <c r="D438" s="59">
        <v>6266496.3900000006</v>
      </c>
      <c r="E438" s="6">
        <f>D438*'16-PlantAdditions'!$E$103</f>
        <v>469987.22925000003</v>
      </c>
      <c r="F438" s="6">
        <f t="shared" si="111"/>
        <v>6736483.6192500005</v>
      </c>
      <c r="G438" s="59">
        <v>0</v>
      </c>
      <c r="H438" s="59">
        <v>0</v>
      </c>
      <c r="I438" s="6">
        <f>(G438-H438)*'16-PlantAdditions'!$E$103</f>
        <v>0</v>
      </c>
      <c r="J438" s="6">
        <f t="shared" si="109"/>
        <v>88595264.428999975</v>
      </c>
      <c r="K438" s="6">
        <f t="shared" si="112"/>
        <v>54857890.828999974</v>
      </c>
    </row>
    <row r="439" spans="1:11">
      <c r="A439" s="2">
        <f t="shared" si="110"/>
        <v>336</v>
      </c>
      <c r="B439" s="331" t="s">
        <v>382</v>
      </c>
      <c r="C439" s="332">
        <v>2025</v>
      </c>
      <c r="D439" s="59">
        <v>6266496.3900000006</v>
      </c>
      <c r="E439" s="6">
        <f>D439*'16-PlantAdditions'!$E$103</f>
        <v>469987.22925000003</v>
      </c>
      <c r="F439" s="6">
        <f t="shared" si="111"/>
        <v>6736483.6192500005</v>
      </c>
      <c r="G439" s="59">
        <v>0</v>
      </c>
      <c r="H439" s="59">
        <v>0</v>
      </c>
      <c r="I439" s="6">
        <f>(G439-H439)*'16-PlantAdditions'!$E$103</f>
        <v>0</v>
      </c>
      <c r="J439" s="6">
        <f t="shared" si="109"/>
        <v>95331748.048249975</v>
      </c>
      <c r="K439" s="6">
        <f t="shared" si="112"/>
        <v>61594374.448249973</v>
      </c>
    </row>
    <row r="440" spans="1:11">
      <c r="A440" s="2">
        <f t="shared" si="110"/>
        <v>337</v>
      </c>
      <c r="B440" s="331" t="s">
        <v>383</v>
      </c>
      <c r="C440" s="332">
        <v>2025</v>
      </c>
      <c r="D440" s="59">
        <v>6266496.3900000006</v>
      </c>
      <c r="E440" s="6">
        <f>D440*'16-PlantAdditions'!$E$103</f>
        <v>469987.22925000003</v>
      </c>
      <c r="F440" s="6">
        <f t="shared" si="111"/>
        <v>6736483.6192500005</v>
      </c>
      <c r="G440" s="59">
        <v>0</v>
      </c>
      <c r="H440" s="59">
        <v>0</v>
      </c>
      <c r="I440" s="6">
        <f>(G440-H440)*'16-PlantAdditions'!$E$103</f>
        <v>0</v>
      </c>
      <c r="J440" s="6">
        <f t="shared" si="109"/>
        <v>102068231.66749997</v>
      </c>
      <c r="K440" s="6">
        <f t="shared" si="112"/>
        <v>68330858.067499965</v>
      </c>
    </row>
    <row r="441" spans="1:11">
      <c r="A441" s="2">
        <f t="shared" si="110"/>
        <v>338</v>
      </c>
      <c r="B441" s="331" t="s">
        <v>384</v>
      </c>
      <c r="C441" s="332">
        <v>2025</v>
      </c>
      <c r="D441" s="59">
        <v>6266496.3900000006</v>
      </c>
      <c r="E441" s="6">
        <f>D441*'16-PlantAdditions'!$E$103</f>
        <v>469987.22925000003</v>
      </c>
      <c r="F441" s="6">
        <f t="shared" si="111"/>
        <v>6736483.6192500005</v>
      </c>
      <c r="G441" s="59">
        <v>0</v>
      </c>
      <c r="H441" s="59">
        <v>0</v>
      </c>
      <c r="I441" s="6">
        <f>(G441-H441)*'16-PlantAdditions'!$E$103</f>
        <v>0</v>
      </c>
      <c r="J441" s="6">
        <f t="shared" si="109"/>
        <v>108804715.28674997</v>
      </c>
      <c r="K441" s="6">
        <f t="shared" si="112"/>
        <v>75067341.686749965</v>
      </c>
    </row>
    <row r="442" spans="1:11">
      <c r="A442" s="2">
        <f t="shared" si="110"/>
        <v>339</v>
      </c>
      <c r="B442" s="331" t="s">
        <v>372</v>
      </c>
      <c r="C442" s="332">
        <v>2025</v>
      </c>
      <c r="D442" s="59">
        <v>6266495.3899999997</v>
      </c>
      <c r="E442" s="6">
        <f>D442*'16-PlantAdditions'!$E$103</f>
        <v>469987.15424999996</v>
      </c>
      <c r="F442" s="6">
        <f t="shared" si="111"/>
        <v>6736482.5442499993</v>
      </c>
      <c r="G442" s="59">
        <v>0</v>
      </c>
      <c r="H442" s="59">
        <v>0</v>
      </c>
      <c r="I442" s="6">
        <f>(G442-H442)*'16-PlantAdditions'!$E$103</f>
        <v>0</v>
      </c>
      <c r="J442" s="6">
        <f t="shared" si="109"/>
        <v>115541197.83099997</v>
      </c>
      <c r="K442" s="53">
        <f t="shared" si="112"/>
        <v>81803824.230999976</v>
      </c>
    </row>
    <row r="443" spans="1:11">
      <c r="A443" s="2">
        <f t="shared" si="110"/>
        <v>340</v>
      </c>
      <c r="C443" s="353" t="s">
        <v>990</v>
      </c>
      <c r="H443" s="241"/>
      <c r="I443" s="241"/>
      <c r="K443" s="42">
        <f>AVERAGE(K430:K442)</f>
        <v>41384923.507807657</v>
      </c>
    </row>
    <row r="445" spans="1:11">
      <c r="B445" s="34" t="s">
        <v>1016</v>
      </c>
      <c r="D445" s="1109" t="s">
        <v>2957</v>
      </c>
      <c r="E445" s="1109"/>
    </row>
    <row r="446" spans="1:11">
      <c r="A446" s="3"/>
      <c r="B446" s="3"/>
      <c r="C446" s="3"/>
      <c r="D446" s="3" t="s">
        <v>329</v>
      </c>
      <c r="E446" s="3" t="s">
        <v>330</v>
      </c>
      <c r="F446" s="3" t="s">
        <v>331</v>
      </c>
      <c r="G446" s="3" t="s">
        <v>332</v>
      </c>
      <c r="H446" s="3" t="s">
        <v>333</v>
      </c>
      <c r="I446" s="3" t="s">
        <v>334</v>
      </c>
      <c r="J446" s="3" t="s">
        <v>335</v>
      </c>
      <c r="K446" s="3" t="s">
        <v>336</v>
      </c>
    </row>
    <row r="447" spans="1:11" ht="38.25">
      <c r="D447" s="48"/>
      <c r="E447" s="354" t="s">
        <v>994</v>
      </c>
      <c r="F447" s="241" t="s">
        <v>995</v>
      </c>
      <c r="G447" s="241"/>
      <c r="H447" s="48"/>
      <c r="I447" s="354" t="s">
        <v>996</v>
      </c>
      <c r="J447" s="354" t="s">
        <v>997</v>
      </c>
      <c r="K447" s="354" t="s">
        <v>998</v>
      </c>
    </row>
    <row r="448" spans="1:11">
      <c r="D448" s="48"/>
      <c r="E448" s="354"/>
      <c r="F448" s="241"/>
      <c r="G448" s="4" t="str">
        <f>G118</f>
        <v>Unloaded</v>
      </c>
      <c r="H448" s="48"/>
      <c r="I448" s="354"/>
      <c r="J448" s="354"/>
      <c r="K448" s="354"/>
    </row>
    <row r="449" spans="1:11">
      <c r="A449" s="2"/>
      <c r="B449" s="2"/>
      <c r="C449" s="2"/>
      <c r="D449" s="2" t="str">
        <f>D$52</f>
        <v>Forecast</v>
      </c>
      <c r="E449" s="2" t="str">
        <f t="shared" ref="E449:J449" si="113">E$52</f>
        <v>Corporate</v>
      </c>
      <c r="F449" s="2" t="str">
        <f t="shared" si="113"/>
        <v xml:space="preserve">Total </v>
      </c>
      <c r="G449" s="4" t="str">
        <f>G119</f>
        <v>Total</v>
      </c>
      <c r="H449" s="2" t="str">
        <f t="shared" si="113"/>
        <v>Prior Period</v>
      </c>
      <c r="I449" s="2" t="str">
        <f t="shared" si="113"/>
        <v>Over Heads</v>
      </c>
      <c r="J449" s="2" t="str">
        <f t="shared" si="113"/>
        <v>Forecast</v>
      </c>
      <c r="K449" s="2" t="str">
        <f>K$52</f>
        <v>Forecast Period</v>
      </c>
    </row>
    <row r="450" spans="1:11">
      <c r="A450" s="30" t="s">
        <v>266</v>
      </c>
      <c r="B450" s="330" t="s">
        <v>364</v>
      </c>
      <c r="C450" s="330" t="s">
        <v>365</v>
      </c>
      <c r="D450" s="3" t="str">
        <f>D$53</f>
        <v>Expenditures</v>
      </c>
      <c r="E450" s="3" t="str">
        <f t="shared" ref="E450:J450" si="114">E$53</f>
        <v>Overheads</v>
      </c>
      <c r="F450" s="3" t="str">
        <f t="shared" si="114"/>
        <v>CWIP Exp</v>
      </c>
      <c r="G450" s="48" t="str">
        <f>G120</f>
        <v>Plant Adds</v>
      </c>
      <c r="H450" s="3" t="str">
        <f t="shared" si="114"/>
        <v>CWIP Closed</v>
      </c>
      <c r="I450" s="3" t="str">
        <f t="shared" si="114"/>
        <v>Closed to PIS</v>
      </c>
      <c r="J450" s="3" t="str">
        <f t="shared" si="114"/>
        <v>Period CWIP</v>
      </c>
      <c r="K450" s="3" t="str">
        <f>K$53</f>
        <v>Incremental CWIP</v>
      </c>
    </row>
    <row r="451" spans="1:11">
      <c r="A451" s="2">
        <f>A443+1</f>
        <v>341</v>
      </c>
      <c r="B451" s="331" t="s">
        <v>372</v>
      </c>
      <c r="C451" s="332">
        <v>2023</v>
      </c>
      <c r="D451" s="241" t="s">
        <v>373</v>
      </c>
      <c r="E451" s="241" t="s">
        <v>373</v>
      </c>
      <c r="F451" s="241" t="s">
        <v>373</v>
      </c>
      <c r="G451" s="241" t="s">
        <v>373</v>
      </c>
      <c r="H451" s="241" t="s">
        <v>373</v>
      </c>
      <c r="I451" s="241" t="s">
        <v>373</v>
      </c>
      <c r="J451" s="6">
        <v>0</v>
      </c>
      <c r="K451" s="241" t="s">
        <v>373</v>
      </c>
    </row>
    <row r="452" spans="1:11">
      <c r="A452" s="2">
        <f>A451+1</f>
        <v>342</v>
      </c>
      <c r="B452" s="331" t="s">
        <v>374</v>
      </c>
      <c r="C452" s="332">
        <v>2024</v>
      </c>
      <c r="D452" s="59"/>
      <c r="E452" s="6">
        <f>D452*'16-PlantAdditions'!$E$103</f>
        <v>0</v>
      </c>
      <c r="F452" s="6">
        <f>E452+D452</f>
        <v>0</v>
      </c>
      <c r="G452" s="59"/>
      <c r="H452" s="59"/>
      <c r="I452" s="6">
        <f>(G452-H452)*'16-PlantAdditions'!$E$103</f>
        <v>0</v>
      </c>
      <c r="J452" s="6">
        <f>J451+F452-G452-I452</f>
        <v>0</v>
      </c>
      <c r="K452" s="6">
        <f>J452-$J$451</f>
        <v>0</v>
      </c>
    </row>
    <row r="453" spans="1:11">
      <c r="A453" s="2">
        <f t="shared" ref="A453:A476" si="115">A452+1</f>
        <v>343</v>
      </c>
      <c r="B453" s="331" t="s">
        <v>375</v>
      </c>
      <c r="C453" s="332">
        <v>2024</v>
      </c>
      <c r="D453" s="59"/>
      <c r="E453" s="6">
        <f>D453*'16-PlantAdditions'!$E$103</f>
        <v>0</v>
      </c>
      <c r="F453" s="6">
        <f t="shared" ref="F453:F475" si="116">E453+D453</f>
        <v>0</v>
      </c>
      <c r="G453" s="59"/>
      <c r="H453" s="59"/>
      <c r="I453" s="6">
        <f>(G453-H453)*'16-PlantAdditions'!$E$103</f>
        <v>0</v>
      </c>
      <c r="J453" s="6">
        <f t="shared" ref="J453:J475" si="117">J452+F453-G453-I453</f>
        <v>0</v>
      </c>
      <c r="K453" s="6">
        <f t="shared" ref="K453:K475" si="118">J453-$J$451</f>
        <v>0</v>
      </c>
    </row>
    <row r="454" spans="1:11">
      <c r="A454" s="2">
        <f t="shared" si="115"/>
        <v>344</v>
      </c>
      <c r="B454" s="331" t="s">
        <v>376</v>
      </c>
      <c r="C454" s="332">
        <v>2024</v>
      </c>
      <c r="D454" s="59"/>
      <c r="E454" s="6">
        <f>D454*'16-PlantAdditions'!$E$103</f>
        <v>0</v>
      </c>
      <c r="F454" s="6">
        <f t="shared" si="116"/>
        <v>0</v>
      </c>
      <c r="G454" s="59"/>
      <c r="H454" s="59"/>
      <c r="I454" s="6">
        <f>(G454-H454)*'16-PlantAdditions'!$E$103</f>
        <v>0</v>
      </c>
      <c r="J454" s="6">
        <f t="shared" si="117"/>
        <v>0</v>
      </c>
      <c r="K454" s="6">
        <f t="shared" si="118"/>
        <v>0</v>
      </c>
    </row>
    <row r="455" spans="1:11">
      <c r="A455" s="2">
        <f t="shared" si="115"/>
        <v>345</v>
      </c>
      <c r="B455" s="331" t="s">
        <v>377</v>
      </c>
      <c r="C455" s="332">
        <v>2024</v>
      </c>
      <c r="D455" s="59"/>
      <c r="E455" s="6">
        <f>D455*'16-PlantAdditions'!$E$103</f>
        <v>0</v>
      </c>
      <c r="F455" s="6">
        <f t="shared" si="116"/>
        <v>0</v>
      </c>
      <c r="G455" s="59"/>
      <c r="H455" s="59"/>
      <c r="I455" s="6">
        <f>(G455-H455)*'16-PlantAdditions'!$E$103</f>
        <v>0</v>
      </c>
      <c r="J455" s="6">
        <f t="shared" si="117"/>
        <v>0</v>
      </c>
      <c r="K455" s="6">
        <f t="shared" si="118"/>
        <v>0</v>
      </c>
    </row>
    <row r="456" spans="1:11">
      <c r="A456" s="2">
        <f t="shared" si="115"/>
        <v>346</v>
      </c>
      <c r="B456" s="331" t="s">
        <v>378</v>
      </c>
      <c r="C456" s="332">
        <v>2024</v>
      </c>
      <c r="D456" s="59"/>
      <c r="E456" s="6">
        <f>D456*'16-PlantAdditions'!$E$103</f>
        <v>0</v>
      </c>
      <c r="F456" s="6">
        <f t="shared" si="116"/>
        <v>0</v>
      </c>
      <c r="G456" s="59"/>
      <c r="H456" s="59"/>
      <c r="I456" s="6">
        <f>(G456-H456)*'16-PlantAdditions'!$E$103</f>
        <v>0</v>
      </c>
      <c r="J456" s="6">
        <f t="shared" si="117"/>
        <v>0</v>
      </c>
      <c r="K456" s="6">
        <f t="shared" si="118"/>
        <v>0</v>
      </c>
    </row>
    <row r="457" spans="1:11">
      <c r="A457" s="2">
        <f t="shared" si="115"/>
        <v>347</v>
      </c>
      <c r="B457" s="331" t="s">
        <v>587</v>
      </c>
      <c r="C457" s="332">
        <v>2024</v>
      </c>
      <c r="D457" s="59"/>
      <c r="E457" s="6">
        <f>D457*'16-PlantAdditions'!$E$103</f>
        <v>0</v>
      </c>
      <c r="F457" s="6">
        <f t="shared" si="116"/>
        <v>0</v>
      </c>
      <c r="G457" s="59"/>
      <c r="H457" s="59"/>
      <c r="I457" s="6">
        <f>(G457-H457)*'16-PlantAdditions'!$E$103</f>
        <v>0</v>
      </c>
      <c r="J457" s="6">
        <f t="shared" si="117"/>
        <v>0</v>
      </c>
      <c r="K457" s="6">
        <f t="shared" si="118"/>
        <v>0</v>
      </c>
    </row>
    <row r="458" spans="1:11">
      <c r="A458" s="2">
        <f t="shared" si="115"/>
        <v>348</v>
      </c>
      <c r="B458" s="331" t="s">
        <v>380</v>
      </c>
      <c r="C458" s="332">
        <v>2024</v>
      </c>
      <c r="D458" s="59"/>
      <c r="E458" s="6">
        <f>D458*'16-PlantAdditions'!$E$103</f>
        <v>0</v>
      </c>
      <c r="F458" s="6">
        <f t="shared" si="116"/>
        <v>0</v>
      </c>
      <c r="G458" s="59"/>
      <c r="H458" s="59"/>
      <c r="I458" s="6">
        <f>(G458-H458)*'16-PlantAdditions'!$E$103</f>
        <v>0</v>
      </c>
      <c r="J458" s="6">
        <f t="shared" si="117"/>
        <v>0</v>
      </c>
      <c r="K458" s="6">
        <f t="shared" si="118"/>
        <v>0</v>
      </c>
    </row>
    <row r="459" spans="1:11">
      <c r="A459" s="2">
        <f t="shared" si="115"/>
        <v>349</v>
      </c>
      <c r="B459" s="331" t="s">
        <v>381</v>
      </c>
      <c r="C459" s="332">
        <v>2024</v>
      </c>
      <c r="D459" s="59"/>
      <c r="E459" s="6">
        <f>D459*'16-PlantAdditions'!$E$103</f>
        <v>0</v>
      </c>
      <c r="F459" s="6">
        <f t="shared" si="116"/>
        <v>0</v>
      </c>
      <c r="G459" s="59"/>
      <c r="H459" s="59"/>
      <c r="I459" s="6">
        <f>(G459-H459)*'16-PlantAdditions'!$E$103</f>
        <v>0</v>
      </c>
      <c r="J459" s="6">
        <f t="shared" si="117"/>
        <v>0</v>
      </c>
      <c r="K459" s="6">
        <f t="shared" si="118"/>
        <v>0</v>
      </c>
    </row>
    <row r="460" spans="1:11">
      <c r="A460" s="2">
        <f t="shared" si="115"/>
        <v>350</v>
      </c>
      <c r="B460" s="331" t="s">
        <v>382</v>
      </c>
      <c r="C460" s="332">
        <v>2024</v>
      </c>
      <c r="D460" s="59"/>
      <c r="E460" s="6">
        <f>D460*'16-PlantAdditions'!$E$103</f>
        <v>0</v>
      </c>
      <c r="F460" s="6">
        <f t="shared" si="116"/>
        <v>0</v>
      </c>
      <c r="G460" s="59"/>
      <c r="H460" s="59"/>
      <c r="I460" s="6">
        <f>(G460-H460)*'16-PlantAdditions'!$E$103</f>
        <v>0</v>
      </c>
      <c r="J460" s="6">
        <f t="shared" si="117"/>
        <v>0</v>
      </c>
      <c r="K460" s="6">
        <f t="shared" si="118"/>
        <v>0</v>
      </c>
    </row>
    <row r="461" spans="1:11">
      <c r="A461" s="2">
        <f t="shared" si="115"/>
        <v>351</v>
      </c>
      <c r="B461" s="331" t="s">
        <v>383</v>
      </c>
      <c r="C461" s="332">
        <v>2024</v>
      </c>
      <c r="D461" s="59"/>
      <c r="E461" s="6">
        <f>D461*'16-PlantAdditions'!$E$103</f>
        <v>0</v>
      </c>
      <c r="F461" s="6">
        <f t="shared" si="116"/>
        <v>0</v>
      </c>
      <c r="G461" s="59"/>
      <c r="H461" s="59"/>
      <c r="I461" s="6">
        <f>(G461-H461)*'16-PlantAdditions'!$E$103</f>
        <v>0</v>
      </c>
      <c r="J461" s="6">
        <f t="shared" si="117"/>
        <v>0</v>
      </c>
      <c r="K461" s="6">
        <f t="shared" si="118"/>
        <v>0</v>
      </c>
    </row>
    <row r="462" spans="1:11">
      <c r="A462" s="2">
        <f t="shared" si="115"/>
        <v>352</v>
      </c>
      <c r="B462" s="331" t="s">
        <v>384</v>
      </c>
      <c r="C462" s="332">
        <v>2024</v>
      </c>
      <c r="D462" s="59"/>
      <c r="E462" s="6">
        <f>D462*'16-PlantAdditions'!$E$103</f>
        <v>0</v>
      </c>
      <c r="F462" s="6">
        <f t="shared" si="116"/>
        <v>0</v>
      </c>
      <c r="G462" s="59"/>
      <c r="H462" s="59"/>
      <c r="I462" s="6">
        <f>(G462-H462)*'16-PlantAdditions'!$E$103</f>
        <v>0</v>
      </c>
      <c r="J462" s="6">
        <f t="shared" si="117"/>
        <v>0</v>
      </c>
      <c r="K462" s="6">
        <f t="shared" si="118"/>
        <v>0</v>
      </c>
    </row>
    <row r="463" spans="1:11">
      <c r="A463" s="2">
        <f t="shared" si="115"/>
        <v>353</v>
      </c>
      <c r="B463" s="331" t="s">
        <v>372</v>
      </c>
      <c r="C463" s="332">
        <v>2024</v>
      </c>
      <c r="D463" s="59"/>
      <c r="E463" s="6">
        <f>D463*'16-PlantAdditions'!$E$103</f>
        <v>0</v>
      </c>
      <c r="F463" s="6">
        <f t="shared" si="116"/>
        <v>0</v>
      </c>
      <c r="G463" s="59"/>
      <c r="H463" s="59"/>
      <c r="I463" s="6">
        <f>(G463-H463)*'16-PlantAdditions'!$E$103</f>
        <v>0</v>
      </c>
      <c r="J463" s="6">
        <f t="shared" si="117"/>
        <v>0</v>
      </c>
      <c r="K463" s="6">
        <f t="shared" si="118"/>
        <v>0</v>
      </c>
    </row>
    <row r="464" spans="1:11">
      <c r="A464" s="2">
        <f t="shared" si="115"/>
        <v>354</v>
      </c>
      <c r="B464" s="331" t="s">
        <v>374</v>
      </c>
      <c r="C464" s="332">
        <v>2025</v>
      </c>
      <c r="D464" s="59"/>
      <c r="E464" s="6">
        <f>D464*'16-PlantAdditions'!$E$103</f>
        <v>0</v>
      </c>
      <c r="F464" s="6">
        <f t="shared" si="116"/>
        <v>0</v>
      </c>
      <c r="G464" s="59"/>
      <c r="H464" s="59"/>
      <c r="I464" s="6">
        <f>(G464-H464)*'16-PlantAdditions'!$E$103</f>
        <v>0</v>
      </c>
      <c r="J464" s="6">
        <f t="shared" si="117"/>
        <v>0</v>
      </c>
      <c r="K464" s="6">
        <f t="shared" si="118"/>
        <v>0</v>
      </c>
    </row>
    <row r="465" spans="1:12">
      <c r="A465" s="2">
        <f t="shared" si="115"/>
        <v>355</v>
      </c>
      <c r="B465" s="331" t="s">
        <v>375</v>
      </c>
      <c r="C465" s="332">
        <v>2025</v>
      </c>
      <c r="D465" s="59"/>
      <c r="E465" s="6">
        <f>D465*'16-PlantAdditions'!$E$103</f>
        <v>0</v>
      </c>
      <c r="F465" s="6">
        <f t="shared" si="116"/>
        <v>0</v>
      </c>
      <c r="G465" s="59"/>
      <c r="H465" s="59"/>
      <c r="I465" s="6">
        <f>(G465-H465)*'16-PlantAdditions'!$E$103</f>
        <v>0</v>
      </c>
      <c r="J465" s="6">
        <f t="shared" si="117"/>
        <v>0</v>
      </c>
      <c r="K465" s="6">
        <f t="shared" si="118"/>
        <v>0</v>
      </c>
    </row>
    <row r="466" spans="1:12">
      <c r="A466" s="2">
        <f t="shared" si="115"/>
        <v>356</v>
      </c>
      <c r="B466" s="331" t="s">
        <v>376</v>
      </c>
      <c r="C466" s="332">
        <v>2025</v>
      </c>
      <c r="D466" s="59"/>
      <c r="E466" s="6">
        <f>D466*'16-PlantAdditions'!$E$103</f>
        <v>0</v>
      </c>
      <c r="F466" s="6">
        <f t="shared" si="116"/>
        <v>0</v>
      </c>
      <c r="G466" s="59"/>
      <c r="H466" s="59"/>
      <c r="I466" s="6">
        <f>(G466-H466)*'16-PlantAdditions'!$E$103</f>
        <v>0</v>
      </c>
      <c r="J466" s="6">
        <f t="shared" si="117"/>
        <v>0</v>
      </c>
      <c r="K466" s="6">
        <f t="shared" si="118"/>
        <v>0</v>
      </c>
    </row>
    <row r="467" spans="1:12">
      <c r="A467" s="2">
        <f t="shared" si="115"/>
        <v>357</v>
      </c>
      <c r="B467" s="331" t="s">
        <v>377</v>
      </c>
      <c r="C467" s="332">
        <v>2025</v>
      </c>
      <c r="D467" s="59"/>
      <c r="E467" s="6">
        <f>D467*'16-PlantAdditions'!$E$103</f>
        <v>0</v>
      </c>
      <c r="F467" s="6">
        <f t="shared" si="116"/>
        <v>0</v>
      </c>
      <c r="G467" s="59"/>
      <c r="H467" s="59"/>
      <c r="I467" s="6">
        <f>(G467-H467)*'16-PlantAdditions'!$E$103</f>
        <v>0</v>
      </c>
      <c r="J467" s="6">
        <f t="shared" si="117"/>
        <v>0</v>
      </c>
      <c r="K467" s="6">
        <f t="shared" si="118"/>
        <v>0</v>
      </c>
    </row>
    <row r="468" spans="1:12">
      <c r="A468" s="2">
        <f t="shared" si="115"/>
        <v>358</v>
      </c>
      <c r="B468" s="331" t="s">
        <v>378</v>
      </c>
      <c r="C468" s="332">
        <v>2025</v>
      </c>
      <c r="D468" s="59"/>
      <c r="E468" s="6">
        <f>D468*'16-PlantAdditions'!$E$103</f>
        <v>0</v>
      </c>
      <c r="F468" s="6">
        <f t="shared" si="116"/>
        <v>0</v>
      </c>
      <c r="G468" s="59"/>
      <c r="H468" s="59"/>
      <c r="I468" s="6">
        <f>(G468-H468)*'16-PlantAdditions'!$E$103</f>
        <v>0</v>
      </c>
      <c r="J468" s="6">
        <f t="shared" si="117"/>
        <v>0</v>
      </c>
      <c r="K468" s="6">
        <f t="shared" si="118"/>
        <v>0</v>
      </c>
    </row>
    <row r="469" spans="1:12">
      <c r="A469" s="2">
        <f t="shared" si="115"/>
        <v>359</v>
      </c>
      <c r="B469" s="331" t="s">
        <v>587</v>
      </c>
      <c r="C469" s="332">
        <v>2025</v>
      </c>
      <c r="D469" s="59"/>
      <c r="E469" s="6">
        <f>D469*'16-PlantAdditions'!$E$103</f>
        <v>0</v>
      </c>
      <c r="F469" s="6">
        <f t="shared" si="116"/>
        <v>0</v>
      </c>
      <c r="G469" s="59"/>
      <c r="H469" s="59"/>
      <c r="I469" s="6">
        <f>(G469-H469)*'16-PlantAdditions'!$E$103</f>
        <v>0</v>
      </c>
      <c r="J469" s="6">
        <f t="shared" si="117"/>
        <v>0</v>
      </c>
      <c r="K469" s="6">
        <f t="shared" si="118"/>
        <v>0</v>
      </c>
    </row>
    <row r="470" spans="1:12">
      <c r="A470" s="2">
        <f t="shared" si="115"/>
        <v>360</v>
      </c>
      <c r="B470" s="331" t="s">
        <v>380</v>
      </c>
      <c r="C470" s="332">
        <v>2025</v>
      </c>
      <c r="D470" s="59"/>
      <c r="E470" s="6">
        <f>D470*'16-PlantAdditions'!$E$103</f>
        <v>0</v>
      </c>
      <c r="F470" s="6">
        <f t="shared" si="116"/>
        <v>0</v>
      </c>
      <c r="G470" s="59"/>
      <c r="H470" s="59"/>
      <c r="I470" s="6">
        <f>(G470-H470)*'16-PlantAdditions'!$E$103</f>
        <v>0</v>
      </c>
      <c r="J470" s="6">
        <f t="shared" si="117"/>
        <v>0</v>
      </c>
      <c r="K470" s="6">
        <f t="shared" si="118"/>
        <v>0</v>
      </c>
    </row>
    <row r="471" spans="1:12">
      <c r="A471" s="2">
        <f t="shared" si="115"/>
        <v>361</v>
      </c>
      <c r="B471" s="331" t="s">
        <v>381</v>
      </c>
      <c r="C471" s="332">
        <v>2025</v>
      </c>
      <c r="D471" s="59"/>
      <c r="E471" s="6">
        <f>D471*'16-PlantAdditions'!$E$103</f>
        <v>0</v>
      </c>
      <c r="F471" s="6">
        <f t="shared" si="116"/>
        <v>0</v>
      </c>
      <c r="G471" s="59"/>
      <c r="H471" s="59"/>
      <c r="I471" s="6">
        <f>(G471-H471)*'16-PlantAdditions'!$E$103</f>
        <v>0</v>
      </c>
      <c r="J471" s="6">
        <f t="shared" si="117"/>
        <v>0</v>
      </c>
      <c r="K471" s="6">
        <f t="shared" si="118"/>
        <v>0</v>
      </c>
    </row>
    <row r="472" spans="1:12">
      <c r="A472" s="2">
        <f t="shared" si="115"/>
        <v>362</v>
      </c>
      <c r="B472" s="331" t="s">
        <v>382</v>
      </c>
      <c r="C472" s="332">
        <v>2025</v>
      </c>
      <c r="D472" s="59"/>
      <c r="E472" s="6">
        <f>D472*'16-PlantAdditions'!$E$103</f>
        <v>0</v>
      </c>
      <c r="F472" s="6">
        <f t="shared" si="116"/>
        <v>0</v>
      </c>
      <c r="G472" s="59"/>
      <c r="H472" s="59"/>
      <c r="I472" s="6">
        <f>(G472-H472)*'16-PlantAdditions'!$E$103</f>
        <v>0</v>
      </c>
      <c r="J472" s="6">
        <f t="shared" si="117"/>
        <v>0</v>
      </c>
      <c r="K472" s="6">
        <f t="shared" si="118"/>
        <v>0</v>
      </c>
    </row>
    <row r="473" spans="1:12">
      <c r="A473" s="2">
        <f t="shared" si="115"/>
        <v>363</v>
      </c>
      <c r="B473" s="331" t="s">
        <v>383</v>
      </c>
      <c r="C473" s="332">
        <v>2025</v>
      </c>
      <c r="D473" s="59"/>
      <c r="E473" s="6">
        <f>D473*'16-PlantAdditions'!$E$103</f>
        <v>0</v>
      </c>
      <c r="F473" s="6">
        <f t="shared" si="116"/>
        <v>0</v>
      </c>
      <c r="G473" s="59"/>
      <c r="H473" s="59"/>
      <c r="I473" s="6">
        <f>(G473-H473)*'16-PlantAdditions'!$E$103</f>
        <v>0</v>
      </c>
      <c r="J473" s="6">
        <f t="shared" si="117"/>
        <v>0</v>
      </c>
      <c r="K473" s="6">
        <f t="shared" si="118"/>
        <v>0</v>
      </c>
    </row>
    <row r="474" spans="1:12">
      <c r="A474" s="2">
        <f t="shared" si="115"/>
        <v>364</v>
      </c>
      <c r="B474" s="331" t="s">
        <v>384</v>
      </c>
      <c r="C474" s="332">
        <v>2025</v>
      </c>
      <c r="D474" s="59"/>
      <c r="E474" s="6">
        <f>D474*'16-PlantAdditions'!$E$103</f>
        <v>0</v>
      </c>
      <c r="F474" s="6">
        <f t="shared" si="116"/>
        <v>0</v>
      </c>
      <c r="G474" s="59"/>
      <c r="H474" s="59"/>
      <c r="I474" s="6">
        <f>(G474-H474)*'16-PlantAdditions'!$E$103</f>
        <v>0</v>
      </c>
      <c r="J474" s="6">
        <f t="shared" si="117"/>
        <v>0</v>
      </c>
      <c r="K474" s="6">
        <f t="shared" si="118"/>
        <v>0</v>
      </c>
    </row>
    <row r="475" spans="1:12">
      <c r="A475" s="2">
        <f t="shared" si="115"/>
        <v>365</v>
      </c>
      <c r="B475" s="331" t="s">
        <v>372</v>
      </c>
      <c r="C475" s="332">
        <v>2025</v>
      </c>
      <c r="D475" s="59"/>
      <c r="E475" s="6">
        <f>D475*'16-PlantAdditions'!$E$103</f>
        <v>0</v>
      </c>
      <c r="F475" s="6">
        <f t="shared" si="116"/>
        <v>0</v>
      </c>
      <c r="G475" s="59"/>
      <c r="H475" s="59"/>
      <c r="I475" s="6">
        <f>(G475-H475)*'16-PlantAdditions'!$E$103</f>
        <v>0</v>
      </c>
      <c r="J475" s="6">
        <f t="shared" si="117"/>
        <v>0</v>
      </c>
      <c r="K475" s="53">
        <f t="shared" si="118"/>
        <v>0</v>
      </c>
    </row>
    <row r="476" spans="1:12">
      <c r="A476" s="2">
        <f t="shared" si="115"/>
        <v>366</v>
      </c>
      <c r="C476" s="353" t="s">
        <v>990</v>
      </c>
      <c r="H476" s="241"/>
      <c r="I476" s="241"/>
      <c r="K476" s="42">
        <f>AVERAGE(K463:K475)</f>
        <v>0</v>
      </c>
    </row>
    <row r="477" spans="1:12">
      <c r="A477" s="2"/>
      <c r="C477" s="353"/>
      <c r="H477" s="241"/>
      <c r="I477" s="241"/>
      <c r="K477" s="42"/>
    </row>
    <row r="478" spans="1:12">
      <c r="A478" s="235"/>
      <c r="B478" s="34" t="s">
        <v>2953</v>
      </c>
      <c r="C478" s="235"/>
      <c r="D478" s="1109" t="s">
        <v>2955</v>
      </c>
      <c r="E478" s="1109"/>
      <c r="F478" s="235"/>
      <c r="G478" s="235"/>
      <c r="H478" s="235"/>
      <c r="I478" s="235"/>
      <c r="J478" s="235"/>
      <c r="K478" s="235"/>
      <c r="L478" s="235"/>
    </row>
    <row r="479" spans="1:12">
      <c r="A479" s="3"/>
      <c r="B479" s="3"/>
      <c r="C479" s="3"/>
      <c r="D479" s="3" t="s">
        <v>329</v>
      </c>
      <c r="E479" s="3" t="s">
        <v>330</v>
      </c>
      <c r="F479" s="3" t="s">
        <v>331</v>
      </c>
      <c r="G479" s="3" t="s">
        <v>332</v>
      </c>
      <c r="H479" s="3" t="s">
        <v>333</v>
      </c>
      <c r="I479" s="3" t="s">
        <v>334</v>
      </c>
      <c r="J479" s="3" t="s">
        <v>335</v>
      </c>
      <c r="K479" s="3" t="s">
        <v>336</v>
      </c>
      <c r="L479" s="235"/>
    </row>
    <row r="480" spans="1:12" ht="38.25">
      <c r="A480" s="235"/>
      <c r="B480" s="235"/>
      <c r="C480" s="235"/>
      <c r="D480" s="48"/>
      <c r="E480" s="354" t="s">
        <v>994</v>
      </c>
      <c r="F480" s="241" t="s">
        <v>995</v>
      </c>
      <c r="G480" s="241"/>
      <c r="H480" s="48"/>
      <c r="I480" s="354" t="s">
        <v>996</v>
      </c>
      <c r="J480" s="354" t="s">
        <v>997</v>
      </c>
      <c r="K480" s="354" t="s">
        <v>998</v>
      </c>
      <c r="L480" s="235"/>
    </row>
    <row r="481" spans="1:12">
      <c r="A481" s="235"/>
      <c r="B481" s="235"/>
      <c r="C481" s="235"/>
      <c r="D481" s="48"/>
      <c r="E481" s="354"/>
      <c r="F481" s="241"/>
      <c r="G481" s="4">
        <f>G150</f>
        <v>0</v>
      </c>
      <c r="H481" s="48"/>
      <c r="I481" s="354"/>
      <c r="J481" s="354"/>
      <c r="K481" s="354"/>
      <c r="L481" s="235"/>
    </row>
    <row r="482" spans="1:12">
      <c r="A482" s="2"/>
      <c r="B482" s="2"/>
      <c r="C482" s="2"/>
      <c r="D482" s="2" t="str">
        <f>D$52</f>
        <v>Forecast</v>
      </c>
      <c r="E482" s="2" t="str">
        <f t="shared" ref="E482:J482" si="119">E$52</f>
        <v>Corporate</v>
      </c>
      <c r="F482" s="2" t="str">
        <f t="shared" si="119"/>
        <v xml:space="preserve">Total </v>
      </c>
      <c r="G482" s="4" t="str">
        <f>G151</f>
        <v>Unloaded</v>
      </c>
      <c r="H482" s="2" t="str">
        <f t="shared" si="119"/>
        <v>Prior Period</v>
      </c>
      <c r="I482" s="2" t="str">
        <f t="shared" si="119"/>
        <v>Over Heads</v>
      </c>
      <c r="J482" s="2" t="str">
        <f t="shared" si="119"/>
        <v>Forecast</v>
      </c>
      <c r="K482" s="2" t="str">
        <f>K$52</f>
        <v>Forecast Period</v>
      </c>
      <c r="L482" s="235"/>
    </row>
    <row r="483" spans="1:12">
      <c r="A483" s="30" t="s">
        <v>266</v>
      </c>
      <c r="B483" s="330" t="s">
        <v>364</v>
      </c>
      <c r="C483" s="330" t="s">
        <v>365</v>
      </c>
      <c r="D483" s="3" t="str">
        <f>D$53</f>
        <v>Expenditures</v>
      </c>
      <c r="E483" s="3" t="str">
        <f t="shared" ref="E483:J483" si="120">E$53</f>
        <v>Overheads</v>
      </c>
      <c r="F483" s="3" t="str">
        <f t="shared" si="120"/>
        <v>CWIP Exp</v>
      </c>
      <c r="G483" s="48" t="str">
        <f>G152</f>
        <v>Total</v>
      </c>
      <c r="H483" s="3" t="str">
        <f t="shared" si="120"/>
        <v>CWIP Closed</v>
      </c>
      <c r="I483" s="3" t="str">
        <f t="shared" si="120"/>
        <v>Closed to PIS</v>
      </c>
      <c r="J483" s="3" t="str">
        <f t="shared" si="120"/>
        <v>Period CWIP</v>
      </c>
      <c r="K483" s="3" t="str">
        <f>K$53</f>
        <v>Incremental CWIP</v>
      </c>
      <c r="L483" s="235"/>
    </row>
    <row r="484" spans="1:12">
      <c r="A484" s="2">
        <f>A476+1</f>
        <v>367</v>
      </c>
      <c r="B484" s="331" t="s">
        <v>372</v>
      </c>
      <c r="C484" s="332">
        <v>2023</v>
      </c>
      <c r="D484" s="241" t="s">
        <v>373</v>
      </c>
      <c r="E484" s="241" t="s">
        <v>373</v>
      </c>
      <c r="F484" s="241" t="s">
        <v>373</v>
      </c>
      <c r="G484" s="241" t="s">
        <v>373</v>
      </c>
      <c r="H484" s="241" t="s">
        <v>373</v>
      </c>
      <c r="I484" s="241" t="s">
        <v>373</v>
      </c>
      <c r="J484" s="237">
        <v>0</v>
      </c>
      <c r="K484" s="241" t="s">
        <v>373</v>
      </c>
      <c r="L484" s="235"/>
    </row>
    <row r="485" spans="1:12">
      <c r="A485" s="2">
        <f>A484+1</f>
        <v>368</v>
      </c>
      <c r="B485" s="331" t="s">
        <v>374</v>
      </c>
      <c r="C485" s="332">
        <v>2024</v>
      </c>
      <c r="D485" s="255"/>
      <c r="E485" s="237">
        <f>D485*'16-PlantAdditions'!$E$103</f>
        <v>0</v>
      </c>
      <c r="F485" s="237">
        <f>E485+D485</f>
        <v>0</v>
      </c>
      <c r="G485" s="255"/>
      <c r="H485" s="255"/>
      <c r="I485" s="237">
        <f>(G485-H485)*'16-PlantAdditions'!$E$103</f>
        <v>0</v>
      </c>
      <c r="J485" s="237">
        <f>J484+F485-G485-I485</f>
        <v>0</v>
      </c>
      <c r="K485" s="237">
        <f>J485-$J$451</f>
        <v>0</v>
      </c>
      <c r="L485" s="235"/>
    </row>
    <row r="486" spans="1:12">
      <c r="A486" s="2">
        <f t="shared" ref="A486:A509" si="121">A485+1</f>
        <v>369</v>
      </c>
      <c r="B486" s="331" t="s">
        <v>375</v>
      </c>
      <c r="C486" s="332">
        <v>2024</v>
      </c>
      <c r="D486" s="255"/>
      <c r="E486" s="237">
        <f>D486*'16-PlantAdditions'!$E$103</f>
        <v>0</v>
      </c>
      <c r="F486" s="237">
        <f t="shared" ref="F486:F508" si="122">E486+D486</f>
        <v>0</v>
      </c>
      <c r="G486" s="255"/>
      <c r="H486" s="255"/>
      <c r="I486" s="237">
        <f>(G486-H486)*'16-PlantAdditions'!$E$103</f>
        <v>0</v>
      </c>
      <c r="J486" s="237">
        <f t="shared" ref="J486:J508" si="123">J485+F486-G486-I486</f>
        <v>0</v>
      </c>
      <c r="K486" s="237">
        <f t="shared" ref="K486:K508" si="124">J486-$J$451</f>
        <v>0</v>
      </c>
      <c r="L486" s="235"/>
    </row>
    <row r="487" spans="1:12">
      <c r="A487" s="2">
        <f t="shared" si="121"/>
        <v>370</v>
      </c>
      <c r="B487" s="331" t="s">
        <v>376</v>
      </c>
      <c r="C487" s="332">
        <v>2024</v>
      </c>
      <c r="D487" s="255"/>
      <c r="E487" s="237">
        <f>D487*'16-PlantAdditions'!$E$103</f>
        <v>0</v>
      </c>
      <c r="F487" s="237">
        <f t="shared" si="122"/>
        <v>0</v>
      </c>
      <c r="G487" s="255"/>
      <c r="H487" s="255"/>
      <c r="I487" s="237">
        <f>(G487-H487)*'16-PlantAdditions'!$E$103</f>
        <v>0</v>
      </c>
      <c r="J487" s="237">
        <f t="shared" si="123"/>
        <v>0</v>
      </c>
      <c r="K487" s="237">
        <f t="shared" si="124"/>
        <v>0</v>
      </c>
      <c r="L487" s="235"/>
    </row>
    <row r="488" spans="1:12">
      <c r="A488" s="2">
        <f t="shared" si="121"/>
        <v>371</v>
      </c>
      <c r="B488" s="331" t="s">
        <v>377</v>
      </c>
      <c r="C488" s="332">
        <v>2024</v>
      </c>
      <c r="D488" s="255"/>
      <c r="E488" s="237">
        <f>D488*'16-PlantAdditions'!$E$103</f>
        <v>0</v>
      </c>
      <c r="F488" s="237">
        <f t="shared" si="122"/>
        <v>0</v>
      </c>
      <c r="G488" s="255"/>
      <c r="H488" s="255"/>
      <c r="I488" s="237">
        <f>(G488-H488)*'16-PlantAdditions'!$E$103</f>
        <v>0</v>
      </c>
      <c r="J488" s="237">
        <f t="shared" si="123"/>
        <v>0</v>
      </c>
      <c r="K488" s="237">
        <f t="shared" si="124"/>
        <v>0</v>
      </c>
      <c r="L488" s="235"/>
    </row>
    <row r="489" spans="1:12">
      <c r="A489" s="2">
        <f t="shared" si="121"/>
        <v>372</v>
      </c>
      <c r="B489" s="331" t="s">
        <v>378</v>
      </c>
      <c r="C489" s="332">
        <v>2024</v>
      </c>
      <c r="D489" s="255"/>
      <c r="E489" s="237">
        <f>D489*'16-PlantAdditions'!$E$103</f>
        <v>0</v>
      </c>
      <c r="F489" s="237">
        <f t="shared" si="122"/>
        <v>0</v>
      </c>
      <c r="G489" s="255"/>
      <c r="H489" s="255"/>
      <c r="I489" s="237">
        <f>(G489-H489)*'16-PlantAdditions'!$E$103</f>
        <v>0</v>
      </c>
      <c r="J489" s="237">
        <f t="shared" si="123"/>
        <v>0</v>
      </c>
      <c r="K489" s="237">
        <f t="shared" si="124"/>
        <v>0</v>
      </c>
      <c r="L489" s="235"/>
    </row>
    <row r="490" spans="1:12">
      <c r="A490" s="2">
        <f t="shared" si="121"/>
        <v>373</v>
      </c>
      <c r="B490" s="331" t="s">
        <v>587</v>
      </c>
      <c r="C490" s="332">
        <v>2024</v>
      </c>
      <c r="D490" s="255"/>
      <c r="E490" s="237">
        <f>D490*'16-PlantAdditions'!$E$103</f>
        <v>0</v>
      </c>
      <c r="F490" s="237">
        <f t="shared" si="122"/>
        <v>0</v>
      </c>
      <c r="G490" s="255"/>
      <c r="H490" s="255"/>
      <c r="I490" s="237">
        <f>(G490-H490)*'16-PlantAdditions'!$E$103</f>
        <v>0</v>
      </c>
      <c r="J490" s="237">
        <f t="shared" si="123"/>
        <v>0</v>
      </c>
      <c r="K490" s="237">
        <f t="shared" si="124"/>
        <v>0</v>
      </c>
      <c r="L490" s="235"/>
    </row>
    <row r="491" spans="1:12">
      <c r="A491" s="2">
        <f t="shared" si="121"/>
        <v>374</v>
      </c>
      <c r="B491" s="331" t="s">
        <v>380</v>
      </c>
      <c r="C491" s="332">
        <v>2024</v>
      </c>
      <c r="D491" s="255"/>
      <c r="E491" s="237">
        <f>D491*'16-PlantAdditions'!$E$103</f>
        <v>0</v>
      </c>
      <c r="F491" s="237">
        <f t="shared" si="122"/>
        <v>0</v>
      </c>
      <c r="G491" s="255"/>
      <c r="H491" s="255"/>
      <c r="I491" s="237">
        <f>(G491-H491)*'16-PlantAdditions'!$E$103</f>
        <v>0</v>
      </c>
      <c r="J491" s="237">
        <f t="shared" si="123"/>
        <v>0</v>
      </c>
      <c r="K491" s="237">
        <f t="shared" si="124"/>
        <v>0</v>
      </c>
      <c r="L491" s="235"/>
    </row>
    <row r="492" spans="1:12">
      <c r="A492" s="2">
        <f t="shared" si="121"/>
        <v>375</v>
      </c>
      <c r="B492" s="331" t="s">
        <v>381</v>
      </c>
      <c r="C492" s="332">
        <v>2024</v>
      </c>
      <c r="D492" s="255"/>
      <c r="E492" s="237">
        <f>D492*'16-PlantAdditions'!$E$103</f>
        <v>0</v>
      </c>
      <c r="F492" s="237">
        <f t="shared" si="122"/>
        <v>0</v>
      </c>
      <c r="G492" s="255"/>
      <c r="H492" s="255"/>
      <c r="I492" s="237">
        <f>(G492-H492)*'16-PlantAdditions'!$E$103</f>
        <v>0</v>
      </c>
      <c r="J492" s="237">
        <f t="shared" si="123"/>
        <v>0</v>
      </c>
      <c r="K492" s="237">
        <f t="shared" si="124"/>
        <v>0</v>
      </c>
      <c r="L492" s="235"/>
    </row>
    <row r="493" spans="1:12">
      <c r="A493" s="2">
        <f t="shared" si="121"/>
        <v>376</v>
      </c>
      <c r="B493" s="331" t="s">
        <v>382</v>
      </c>
      <c r="C493" s="332">
        <v>2024</v>
      </c>
      <c r="D493" s="255"/>
      <c r="E493" s="237">
        <f>D493*'16-PlantAdditions'!$E$103</f>
        <v>0</v>
      </c>
      <c r="F493" s="237">
        <f t="shared" si="122"/>
        <v>0</v>
      </c>
      <c r="G493" s="255"/>
      <c r="H493" s="255"/>
      <c r="I493" s="237">
        <f>(G493-H493)*'16-PlantAdditions'!$E$103</f>
        <v>0</v>
      </c>
      <c r="J493" s="237">
        <f t="shared" si="123"/>
        <v>0</v>
      </c>
      <c r="K493" s="237">
        <f t="shared" si="124"/>
        <v>0</v>
      </c>
      <c r="L493" s="235"/>
    </row>
    <row r="494" spans="1:12">
      <c r="A494" s="2">
        <f t="shared" si="121"/>
        <v>377</v>
      </c>
      <c r="B494" s="331" t="s">
        <v>383</v>
      </c>
      <c r="C494" s="332">
        <v>2024</v>
      </c>
      <c r="D494" s="255"/>
      <c r="E494" s="237">
        <f>D494*'16-PlantAdditions'!$E$103</f>
        <v>0</v>
      </c>
      <c r="F494" s="237">
        <f t="shared" si="122"/>
        <v>0</v>
      </c>
      <c r="G494" s="255"/>
      <c r="H494" s="255"/>
      <c r="I494" s="237">
        <f>(G494-H494)*'16-PlantAdditions'!$E$103</f>
        <v>0</v>
      </c>
      <c r="J494" s="237">
        <f t="shared" si="123"/>
        <v>0</v>
      </c>
      <c r="K494" s="237">
        <f t="shared" si="124"/>
        <v>0</v>
      </c>
      <c r="L494" s="235"/>
    </row>
    <row r="495" spans="1:12">
      <c r="A495" s="2">
        <f t="shared" si="121"/>
        <v>378</v>
      </c>
      <c r="B495" s="331" t="s">
        <v>384</v>
      </c>
      <c r="C495" s="332">
        <v>2024</v>
      </c>
      <c r="D495" s="255"/>
      <c r="E495" s="237">
        <f>D495*'16-PlantAdditions'!$E$103</f>
        <v>0</v>
      </c>
      <c r="F495" s="237">
        <f t="shared" si="122"/>
        <v>0</v>
      </c>
      <c r="G495" s="255"/>
      <c r="H495" s="255"/>
      <c r="I495" s="237">
        <f>(G495-H495)*'16-PlantAdditions'!$E$103</f>
        <v>0</v>
      </c>
      <c r="J495" s="237">
        <f t="shared" si="123"/>
        <v>0</v>
      </c>
      <c r="K495" s="237">
        <f t="shared" si="124"/>
        <v>0</v>
      </c>
      <c r="L495" s="235"/>
    </row>
    <row r="496" spans="1:12">
      <c r="A496" s="2">
        <f t="shared" si="121"/>
        <v>379</v>
      </c>
      <c r="B496" s="331" t="s">
        <v>372</v>
      </c>
      <c r="C496" s="332">
        <v>2024</v>
      </c>
      <c r="D496" s="255"/>
      <c r="E496" s="237">
        <f>D496*'16-PlantAdditions'!$E$103</f>
        <v>0</v>
      </c>
      <c r="F496" s="237">
        <f t="shared" si="122"/>
        <v>0</v>
      </c>
      <c r="G496" s="255"/>
      <c r="H496" s="255"/>
      <c r="I496" s="237">
        <f>(G496-H496)*'16-PlantAdditions'!$E$103</f>
        <v>0</v>
      </c>
      <c r="J496" s="237">
        <f t="shared" si="123"/>
        <v>0</v>
      </c>
      <c r="K496" s="237">
        <f t="shared" si="124"/>
        <v>0</v>
      </c>
      <c r="L496" s="235"/>
    </row>
    <row r="497" spans="1:12">
      <c r="A497" s="2">
        <f t="shared" si="121"/>
        <v>380</v>
      </c>
      <c r="B497" s="331" t="s">
        <v>374</v>
      </c>
      <c r="C497" s="332">
        <v>2025</v>
      </c>
      <c r="D497" s="255"/>
      <c r="E497" s="237">
        <f>D497*'16-PlantAdditions'!$E$103</f>
        <v>0</v>
      </c>
      <c r="F497" s="237">
        <f t="shared" si="122"/>
        <v>0</v>
      </c>
      <c r="G497" s="255"/>
      <c r="H497" s="255"/>
      <c r="I497" s="237">
        <f>(G497-H497)*'16-PlantAdditions'!$E$103</f>
        <v>0</v>
      </c>
      <c r="J497" s="237">
        <f t="shared" si="123"/>
        <v>0</v>
      </c>
      <c r="K497" s="237">
        <f t="shared" si="124"/>
        <v>0</v>
      </c>
      <c r="L497" s="235"/>
    </row>
    <row r="498" spans="1:12">
      <c r="A498" s="2">
        <f t="shared" si="121"/>
        <v>381</v>
      </c>
      <c r="B498" s="331" t="s">
        <v>375</v>
      </c>
      <c r="C498" s="332">
        <v>2025</v>
      </c>
      <c r="D498" s="255"/>
      <c r="E498" s="237">
        <f>D498*'16-PlantAdditions'!$E$103</f>
        <v>0</v>
      </c>
      <c r="F498" s="237">
        <f t="shared" si="122"/>
        <v>0</v>
      </c>
      <c r="G498" s="255"/>
      <c r="H498" s="255"/>
      <c r="I498" s="237">
        <f>(G498-H498)*'16-PlantAdditions'!$E$103</f>
        <v>0</v>
      </c>
      <c r="J498" s="237">
        <f t="shared" si="123"/>
        <v>0</v>
      </c>
      <c r="K498" s="237">
        <f t="shared" si="124"/>
        <v>0</v>
      </c>
      <c r="L498" s="235"/>
    </row>
    <row r="499" spans="1:12">
      <c r="A499" s="2">
        <f t="shared" si="121"/>
        <v>382</v>
      </c>
      <c r="B499" s="331" t="s">
        <v>376</v>
      </c>
      <c r="C499" s="332">
        <v>2025</v>
      </c>
      <c r="D499" s="255"/>
      <c r="E499" s="237">
        <f>D499*'16-PlantAdditions'!$E$103</f>
        <v>0</v>
      </c>
      <c r="F499" s="237">
        <f t="shared" si="122"/>
        <v>0</v>
      </c>
      <c r="G499" s="255"/>
      <c r="H499" s="255"/>
      <c r="I499" s="237">
        <f>(G499-H499)*'16-PlantAdditions'!$E$103</f>
        <v>0</v>
      </c>
      <c r="J499" s="237">
        <f t="shared" si="123"/>
        <v>0</v>
      </c>
      <c r="K499" s="237">
        <f t="shared" si="124"/>
        <v>0</v>
      </c>
      <c r="L499" s="235"/>
    </row>
    <row r="500" spans="1:12">
      <c r="A500" s="2">
        <f t="shared" si="121"/>
        <v>383</v>
      </c>
      <c r="B500" s="331" t="s">
        <v>377</v>
      </c>
      <c r="C500" s="332">
        <v>2025</v>
      </c>
      <c r="D500" s="255"/>
      <c r="E500" s="237">
        <f>D500*'16-PlantAdditions'!$E$103</f>
        <v>0</v>
      </c>
      <c r="F500" s="237">
        <f t="shared" si="122"/>
        <v>0</v>
      </c>
      <c r="G500" s="255"/>
      <c r="H500" s="255"/>
      <c r="I500" s="237">
        <f>(G500-H500)*'16-PlantAdditions'!$E$103</f>
        <v>0</v>
      </c>
      <c r="J500" s="237">
        <f t="shared" si="123"/>
        <v>0</v>
      </c>
      <c r="K500" s="237">
        <f t="shared" si="124"/>
        <v>0</v>
      </c>
      <c r="L500" s="235"/>
    </row>
    <row r="501" spans="1:12">
      <c r="A501" s="2">
        <f t="shared" si="121"/>
        <v>384</v>
      </c>
      <c r="B501" s="331" t="s">
        <v>378</v>
      </c>
      <c r="C501" s="332">
        <v>2025</v>
      </c>
      <c r="D501" s="255"/>
      <c r="E501" s="237">
        <f>D501*'16-PlantAdditions'!$E$103</f>
        <v>0</v>
      </c>
      <c r="F501" s="237">
        <f t="shared" si="122"/>
        <v>0</v>
      </c>
      <c r="G501" s="255"/>
      <c r="H501" s="255"/>
      <c r="I501" s="237">
        <f>(G501-H501)*'16-PlantAdditions'!$E$103</f>
        <v>0</v>
      </c>
      <c r="J501" s="237">
        <f t="shared" si="123"/>
        <v>0</v>
      </c>
      <c r="K501" s="237">
        <f t="shared" si="124"/>
        <v>0</v>
      </c>
      <c r="L501" s="235"/>
    </row>
    <row r="502" spans="1:12">
      <c r="A502" s="2">
        <f t="shared" si="121"/>
        <v>385</v>
      </c>
      <c r="B502" s="331" t="s">
        <v>587</v>
      </c>
      <c r="C502" s="332">
        <v>2025</v>
      </c>
      <c r="D502" s="255"/>
      <c r="E502" s="237">
        <f>D502*'16-PlantAdditions'!$E$103</f>
        <v>0</v>
      </c>
      <c r="F502" s="237">
        <f t="shared" si="122"/>
        <v>0</v>
      </c>
      <c r="G502" s="255"/>
      <c r="H502" s="255"/>
      <c r="I502" s="237">
        <f>(G502-H502)*'16-PlantAdditions'!$E$103</f>
        <v>0</v>
      </c>
      <c r="J502" s="237">
        <f t="shared" si="123"/>
        <v>0</v>
      </c>
      <c r="K502" s="237">
        <f t="shared" si="124"/>
        <v>0</v>
      </c>
      <c r="L502" s="235"/>
    </row>
    <row r="503" spans="1:12">
      <c r="A503" s="2">
        <f t="shared" si="121"/>
        <v>386</v>
      </c>
      <c r="B503" s="331" t="s">
        <v>380</v>
      </c>
      <c r="C503" s="332">
        <v>2025</v>
      </c>
      <c r="D503" s="255"/>
      <c r="E503" s="237">
        <f>D503*'16-PlantAdditions'!$E$103</f>
        <v>0</v>
      </c>
      <c r="F503" s="237">
        <f t="shared" si="122"/>
        <v>0</v>
      </c>
      <c r="G503" s="255"/>
      <c r="H503" s="255"/>
      <c r="I503" s="237">
        <f>(G503-H503)*'16-PlantAdditions'!$E$103</f>
        <v>0</v>
      </c>
      <c r="J503" s="237">
        <f t="shared" si="123"/>
        <v>0</v>
      </c>
      <c r="K503" s="237">
        <f t="shared" si="124"/>
        <v>0</v>
      </c>
      <c r="L503" s="235"/>
    </row>
    <row r="504" spans="1:12">
      <c r="A504" s="2">
        <f t="shared" si="121"/>
        <v>387</v>
      </c>
      <c r="B504" s="331" t="s">
        <v>381</v>
      </c>
      <c r="C504" s="332">
        <v>2025</v>
      </c>
      <c r="D504" s="255"/>
      <c r="E504" s="237">
        <f>D504*'16-PlantAdditions'!$E$103</f>
        <v>0</v>
      </c>
      <c r="F504" s="237">
        <f t="shared" si="122"/>
        <v>0</v>
      </c>
      <c r="G504" s="255"/>
      <c r="H504" s="255"/>
      <c r="I504" s="237">
        <f>(G504-H504)*'16-PlantAdditions'!$E$103</f>
        <v>0</v>
      </c>
      <c r="J504" s="237">
        <f t="shared" si="123"/>
        <v>0</v>
      </c>
      <c r="K504" s="237">
        <f t="shared" si="124"/>
        <v>0</v>
      </c>
      <c r="L504" s="235"/>
    </row>
    <row r="505" spans="1:12">
      <c r="A505" s="2">
        <f t="shared" si="121"/>
        <v>388</v>
      </c>
      <c r="B505" s="331" t="s">
        <v>382</v>
      </c>
      <c r="C505" s="332">
        <v>2025</v>
      </c>
      <c r="D505" s="255"/>
      <c r="E505" s="237">
        <f>D505*'16-PlantAdditions'!$E$103</f>
        <v>0</v>
      </c>
      <c r="F505" s="237">
        <f t="shared" si="122"/>
        <v>0</v>
      </c>
      <c r="G505" s="255"/>
      <c r="H505" s="255"/>
      <c r="I505" s="237">
        <f>(G505-H505)*'16-PlantAdditions'!$E$103</f>
        <v>0</v>
      </c>
      <c r="J505" s="237">
        <f t="shared" si="123"/>
        <v>0</v>
      </c>
      <c r="K505" s="237">
        <f t="shared" si="124"/>
        <v>0</v>
      </c>
      <c r="L505" s="235"/>
    </row>
    <row r="506" spans="1:12">
      <c r="A506" s="2">
        <f t="shared" si="121"/>
        <v>389</v>
      </c>
      <c r="B506" s="331" t="s">
        <v>383</v>
      </c>
      <c r="C506" s="332">
        <v>2025</v>
      </c>
      <c r="D506" s="255"/>
      <c r="E506" s="237">
        <f>D506*'16-PlantAdditions'!$E$103</f>
        <v>0</v>
      </c>
      <c r="F506" s="237">
        <f t="shared" si="122"/>
        <v>0</v>
      </c>
      <c r="G506" s="255"/>
      <c r="H506" s="255"/>
      <c r="I506" s="237">
        <f>(G506-H506)*'16-PlantAdditions'!$E$103</f>
        <v>0</v>
      </c>
      <c r="J506" s="237">
        <f t="shared" si="123"/>
        <v>0</v>
      </c>
      <c r="K506" s="237">
        <f t="shared" si="124"/>
        <v>0</v>
      </c>
      <c r="L506" s="235"/>
    </row>
    <row r="507" spans="1:12">
      <c r="A507" s="2">
        <f t="shared" si="121"/>
        <v>390</v>
      </c>
      <c r="B507" s="331" t="s">
        <v>384</v>
      </c>
      <c r="C507" s="332">
        <v>2025</v>
      </c>
      <c r="D507" s="255"/>
      <c r="E507" s="237">
        <f>D507*'16-PlantAdditions'!$E$103</f>
        <v>0</v>
      </c>
      <c r="F507" s="237">
        <f t="shared" si="122"/>
        <v>0</v>
      </c>
      <c r="G507" s="255"/>
      <c r="H507" s="255"/>
      <c r="I507" s="237">
        <f>(G507-H507)*'16-PlantAdditions'!$E$103</f>
        <v>0</v>
      </c>
      <c r="J507" s="237">
        <f t="shared" si="123"/>
        <v>0</v>
      </c>
      <c r="K507" s="237">
        <f t="shared" si="124"/>
        <v>0</v>
      </c>
      <c r="L507" s="235"/>
    </row>
    <row r="508" spans="1:12">
      <c r="A508" s="2">
        <f t="shared" si="121"/>
        <v>391</v>
      </c>
      <c r="B508" s="331" t="s">
        <v>372</v>
      </c>
      <c r="C508" s="332">
        <v>2025</v>
      </c>
      <c r="D508" s="255"/>
      <c r="E508" s="237">
        <f>D508*'16-PlantAdditions'!$E$103</f>
        <v>0</v>
      </c>
      <c r="F508" s="237">
        <f t="shared" si="122"/>
        <v>0</v>
      </c>
      <c r="G508" s="255"/>
      <c r="H508" s="255"/>
      <c r="I508" s="237">
        <f>(G508-H508)*'16-PlantAdditions'!$E$103</f>
        <v>0</v>
      </c>
      <c r="J508" s="237">
        <f t="shared" si="123"/>
        <v>0</v>
      </c>
      <c r="K508" s="53">
        <f t="shared" si="124"/>
        <v>0</v>
      </c>
      <c r="L508" s="235"/>
    </row>
    <row r="509" spans="1:12">
      <c r="A509" s="2">
        <f t="shared" si="121"/>
        <v>392</v>
      </c>
      <c r="B509" s="235"/>
      <c r="C509" s="353" t="s">
        <v>990</v>
      </c>
      <c r="D509" s="235"/>
      <c r="E509" s="235"/>
      <c r="F509" s="235"/>
      <c r="G509" s="235"/>
      <c r="H509" s="241"/>
      <c r="I509" s="241"/>
      <c r="J509" s="235"/>
      <c r="K509" s="42">
        <f>AVERAGE(K496:K508)</f>
        <v>0</v>
      </c>
      <c r="L509" s="235"/>
    </row>
    <row r="510" spans="1:12">
      <c r="A510" s="611"/>
      <c r="B510" s="593"/>
      <c r="C510" s="1079"/>
      <c r="H510" s="241"/>
      <c r="I510" s="241"/>
      <c r="K510" s="42"/>
    </row>
    <row r="511" spans="1:12">
      <c r="B511" s="1093" t="s">
        <v>2954</v>
      </c>
      <c r="C511" s="235"/>
      <c r="D511" s="1092" t="s">
        <v>1017</v>
      </c>
      <c r="E511" s="242"/>
      <c r="F511" s="242"/>
      <c r="G511" s="242"/>
      <c r="H511" s="235"/>
    </row>
    <row r="512" spans="1:12">
      <c r="A512" s="3"/>
      <c r="B512" s="3"/>
      <c r="C512" s="3"/>
      <c r="D512" s="3" t="s">
        <v>329</v>
      </c>
      <c r="E512" s="3" t="s">
        <v>330</v>
      </c>
      <c r="F512" s="3" t="s">
        <v>331</v>
      </c>
      <c r="G512" s="3" t="s">
        <v>332</v>
      </c>
      <c r="H512" s="3" t="s">
        <v>333</v>
      </c>
      <c r="I512" s="3" t="s">
        <v>334</v>
      </c>
      <c r="J512" s="3" t="s">
        <v>335</v>
      </c>
      <c r="K512" s="3" t="s">
        <v>336</v>
      </c>
      <c r="L512" s="235"/>
    </row>
    <row r="513" spans="1:12" ht="38.25">
      <c r="A513" s="235"/>
      <c r="B513" s="235"/>
      <c r="C513" s="235"/>
      <c r="D513" s="48"/>
      <c r="E513" s="354" t="s">
        <v>994</v>
      </c>
      <c r="F513" s="241" t="s">
        <v>995</v>
      </c>
      <c r="G513" s="241"/>
      <c r="H513" s="48"/>
      <c r="I513" s="354" t="s">
        <v>996</v>
      </c>
      <c r="J513" s="354" t="s">
        <v>997</v>
      </c>
      <c r="K513" s="354" t="s">
        <v>998</v>
      </c>
      <c r="L513" s="235"/>
    </row>
    <row r="514" spans="1:12">
      <c r="A514" s="235"/>
      <c r="B514" s="235"/>
      <c r="C514" s="235"/>
      <c r="D514" s="48"/>
      <c r="E514" s="354"/>
      <c r="F514" s="241"/>
      <c r="G514" s="4" t="str">
        <f>G182</f>
        <v>Col 4</v>
      </c>
      <c r="H514" s="48"/>
      <c r="I514" s="354"/>
      <c r="J514" s="354"/>
      <c r="K514" s="354"/>
      <c r="L514" s="235"/>
    </row>
    <row r="515" spans="1:12">
      <c r="A515" s="2"/>
      <c r="B515" s="2"/>
      <c r="C515" s="2"/>
      <c r="D515" s="2" t="str">
        <f>D$52</f>
        <v>Forecast</v>
      </c>
      <c r="E515" s="2" t="str">
        <f t="shared" ref="E515:J515" si="125">E$52</f>
        <v>Corporate</v>
      </c>
      <c r="F515" s="2" t="str">
        <f t="shared" si="125"/>
        <v xml:space="preserve">Total </v>
      </c>
      <c r="G515" s="4">
        <f>G183</f>
        <v>0</v>
      </c>
      <c r="H515" s="2" t="str">
        <f t="shared" si="125"/>
        <v>Prior Period</v>
      </c>
      <c r="I515" s="2" t="str">
        <f t="shared" si="125"/>
        <v>Over Heads</v>
      </c>
      <c r="J515" s="2" t="str">
        <f t="shared" si="125"/>
        <v>Forecast</v>
      </c>
      <c r="K515" s="2" t="str">
        <f>K$52</f>
        <v>Forecast Period</v>
      </c>
      <c r="L515" s="235"/>
    </row>
    <row r="516" spans="1:12">
      <c r="A516" s="30" t="s">
        <v>266</v>
      </c>
      <c r="B516" s="330" t="s">
        <v>364</v>
      </c>
      <c r="C516" s="330" t="s">
        <v>365</v>
      </c>
      <c r="D516" s="3" t="str">
        <f>D$53</f>
        <v>Expenditures</v>
      </c>
      <c r="E516" s="3" t="str">
        <f t="shared" ref="E516:J516" si="126">E$53</f>
        <v>Overheads</v>
      </c>
      <c r="F516" s="3" t="str">
        <f t="shared" si="126"/>
        <v>CWIP Exp</v>
      </c>
      <c r="G516" s="48" t="str">
        <f>G184</f>
        <v>Unloaded</v>
      </c>
      <c r="H516" s="3" t="str">
        <f t="shared" si="126"/>
        <v>CWIP Closed</v>
      </c>
      <c r="I516" s="3" t="str">
        <f t="shared" si="126"/>
        <v>Closed to PIS</v>
      </c>
      <c r="J516" s="3" t="str">
        <f t="shared" si="126"/>
        <v>Period CWIP</v>
      </c>
      <c r="K516" s="3" t="str">
        <f>K$53</f>
        <v>Incremental CWIP</v>
      </c>
      <c r="L516" s="235"/>
    </row>
    <row r="517" spans="1:12">
      <c r="A517" s="2">
        <f>A509+1</f>
        <v>393</v>
      </c>
      <c r="B517" s="331" t="s">
        <v>372</v>
      </c>
      <c r="C517" s="332">
        <v>2023</v>
      </c>
      <c r="D517" s="241" t="s">
        <v>373</v>
      </c>
      <c r="E517" s="241" t="s">
        <v>373</v>
      </c>
      <c r="F517" s="241" t="s">
        <v>373</v>
      </c>
      <c r="G517" s="241" t="s">
        <v>373</v>
      </c>
      <c r="H517" s="241" t="s">
        <v>373</v>
      </c>
      <c r="I517" s="241" t="s">
        <v>373</v>
      </c>
      <c r="J517" s="237">
        <v>0</v>
      </c>
      <c r="K517" s="241" t="s">
        <v>373</v>
      </c>
      <c r="L517" s="235"/>
    </row>
    <row r="518" spans="1:12">
      <c r="A518" s="2">
        <f>A517+1</f>
        <v>394</v>
      </c>
      <c r="B518" s="331" t="s">
        <v>374</v>
      </c>
      <c r="C518" s="332">
        <v>2024</v>
      </c>
      <c r="D518" s="255"/>
      <c r="E518" s="237">
        <f>D518*'16-PlantAdditions'!$E$103</f>
        <v>0</v>
      </c>
      <c r="F518" s="237">
        <f>E518+D518</f>
        <v>0</v>
      </c>
      <c r="G518" s="255"/>
      <c r="H518" s="255"/>
      <c r="I518" s="237">
        <f>(G518-H518)*'16-PlantAdditions'!$E$103</f>
        <v>0</v>
      </c>
      <c r="J518" s="237">
        <f>J517+F518-G518-I518</f>
        <v>0</v>
      </c>
      <c r="K518" s="237">
        <f>J518-$J$451</f>
        <v>0</v>
      </c>
      <c r="L518" s="235"/>
    </row>
    <row r="519" spans="1:12">
      <c r="A519" s="2">
        <f t="shared" ref="A519:A542" si="127">A518+1</f>
        <v>395</v>
      </c>
      <c r="B519" s="331" t="s">
        <v>375</v>
      </c>
      <c r="C519" s="332">
        <v>2024</v>
      </c>
      <c r="D519" s="255"/>
      <c r="E519" s="237">
        <f>D519*'16-PlantAdditions'!$E$103</f>
        <v>0</v>
      </c>
      <c r="F519" s="237">
        <f t="shared" ref="F519:F541" si="128">E519+D519</f>
        <v>0</v>
      </c>
      <c r="G519" s="255"/>
      <c r="H519" s="255"/>
      <c r="I519" s="237">
        <f>(G519-H519)*'16-PlantAdditions'!$E$103</f>
        <v>0</v>
      </c>
      <c r="J519" s="237">
        <f t="shared" ref="J519:J541" si="129">J518+F519-G519-I519</f>
        <v>0</v>
      </c>
      <c r="K519" s="237">
        <f t="shared" ref="K519:K541" si="130">J519-$J$451</f>
        <v>0</v>
      </c>
      <c r="L519" s="235"/>
    </row>
    <row r="520" spans="1:12">
      <c r="A520" s="2">
        <f t="shared" si="127"/>
        <v>396</v>
      </c>
      <c r="B520" s="331" t="s">
        <v>376</v>
      </c>
      <c r="C520" s="332">
        <v>2024</v>
      </c>
      <c r="D520" s="255"/>
      <c r="E520" s="237">
        <f>D520*'16-PlantAdditions'!$E$103</f>
        <v>0</v>
      </c>
      <c r="F520" s="237">
        <f t="shared" si="128"/>
        <v>0</v>
      </c>
      <c r="G520" s="255"/>
      <c r="H520" s="255"/>
      <c r="I520" s="237">
        <f>(G520-H520)*'16-PlantAdditions'!$E$103</f>
        <v>0</v>
      </c>
      <c r="J520" s="237">
        <f t="shared" si="129"/>
        <v>0</v>
      </c>
      <c r="K520" s="237">
        <f t="shared" si="130"/>
        <v>0</v>
      </c>
      <c r="L520" s="235"/>
    </row>
    <row r="521" spans="1:12">
      <c r="A521" s="2">
        <f t="shared" si="127"/>
        <v>397</v>
      </c>
      <c r="B521" s="331" t="s">
        <v>377</v>
      </c>
      <c r="C521" s="332">
        <v>2024</v>
      </c>
      <c r="D521" s="255"/>
      <c r="E521" s="237">
        <f>D521*'16-PlantAdditions'!$E$103</f>
        <v>0</v>
      </c>
      <c r="F521" s="237">
        <f t="shared" si="128"/>
        <v>0</v>
      </c>
      <c r="G521" s="255"/>
      <c r="H521" s="255"/>
      <c r="I521" s="237">
        <f>(G521-H521)*'16-PlantAdditions'!$E$103</f>
        <v>0</v>
      </c>
      <c r="J521" s="237">
        <f t="shared" si="129"/>
        <v>0</v>
      </c>
      <c r="K521" s="237">
        <f t="shared" si="130"/>
        <v>0</v>
      </c>
      <c r="L521" s="235"/>
    </row>
    <row r="522" spans="1:12">
      <c r="A522" s="2">
        <f t="shared" si="127"/>
        <v>398</v>
      </c>
      <c r="B522" s="331" t="s">
        <v>378</v>
      </c>
      <c r="C522" s="332">
        <v>2024</v>
      </c>
      <c r="D522" s="255"/>
      <c r="E522" s="237">
        <f>D522*'16-PlantAdditions'!$E$103</f>
        <v>0</v>
      </c>
      <c r="F522" s="237">
        <f t="shared" si="128"/>
        <v>0</v>
      </c>
      <c r="G522" s="255"/>
      <c r="H522" s="255"/>
      <c r="I522" s="237">
        <f>(G522-H522)*'16-PlantAdditions'!$E$103</f>
        <v>0</v>
      </c>
      <c r="J522" s="237">
        <f t="shared" si="129"/>
        <v>0</v>
      </c>
      <c r="K522" s="237">
        <f t="shared" si="130"/>
        <v>0</v>
      </c>
      <c r="L522" s="235"/>
    </row>
    <row r="523" spans="1:12">
      <c r="A523" s="2">
        <f t="shared" si="127"/>
        <v>399</v>
      </c>
      <c r="B523" s="331" t="s">
        <v>587</v>
      </c>
      <c r="C523" s="332">
        <v>2024</v>
      </c>
      <c r="D523" s="255"/>
      <c r="E523" s="237">
        <f>D523*'16-PlantAdditions'!$E$103</f>
        <v>0</v>
      </c>
      <c r="F523" s="237">
        <f t="shared" si="128"/>
        <v>0</v>
      </c>
      <c r="G523" s="255"/>
      <c r="H523" s="255"/>
      <c r="I523" s="237">
        <f>(G523-H523)*'16-PlantAdditions'!$E$103</f>
        <v>0</v>
      </c>
      <c r="J523" s="237">
        <f t="shared" si="129"/>
        <v>0</v>
      </c>
      <c r="K523" s="237">
        <f t="shared" si="130"/>
        <v>0</v>
      </c>
      <c r="L523" s="235"/>
    </row>
    <row r="524" spans="1:12">
      <c r="A524" s="2">
        <f t="shared" si="127"/>
        <v>400</v>
      </c>
      <c r="B524" s="331" t="s">
        <v>380</v>
      </c>
      <c r="C524" s="332">
        <v>2024</v>
      </c>
      <c r="D524" s="255"/>
      <c r="E524" s="237">
        <f>D524*'16-PlantAdditions'!$E$103</f>
        <v>0</v>
      </c>
      <c r="F524" s="237">
        <f t="shared" si="128"/>
        <v>0</v>
      </c>
      <c r="G524" s="255"/>
      <c r="H524" s="255"/>
      <c r="I524" s="237">
        <f>(G524-H524)*'16-PlantAdditions'!$E$103</f>
        <v>0</v>
      </c>
      <c r="J524" s="237">
        <f t="shared" si="129"/>
        <v>0</v>
      </c>
      <c r="K524" s="237">
        <f t="shared" si="130"/>
        <v>0</v>
      </c>
      <c r="L524" s="235"/>
    </row>
    <row r="525" spans="1:12">
      <c r="A525" s="2">
        <f t="shared" si="127"/>
        <v>401</v>
      </c>
      <c r="B525" s="331" t="s">
        <v>381</v>
      </c>
      <c r="C525" s="332">
        <v>2024</v>
      </c>
      <c r="D525" s="255"/>
      <c r="E525" s="237">
        <f>D525*'16-PlantAdditions'!$E$103</f>
        <v>0</v>
      </c>
      <c r="F525" s="237">
        <f t="shared" si="128"/>
        <v>0</v>
      </c>
      <c r="G525" s="255"/>
      <c r="H525" s="255"/>
      <c r="I525" s="237">
        <f>(G525-H525)*'16-PlantAdditions'!$E$103</f>
        <v>0</v>
      </c>
      <c r="J525" s="237">
        <f t="shared" si="129"/>
        <v>0</v>
      </c>
      <c r="K525" s="237">
        <f t="shared" si="130"/>
        <v>0</v>
      </c>
      <c r="L525" s="235"/>
    </row>
    <row r="526" spans="1:12">
      <c r="A526" s="2">
        <f t="shared" si="127"/>
        <v>402</v>
      </c>
      <c r="B526" s="331" t="s">
        <v>382</v>
      </c>
      <c r="C526" s="332">
        <v>2024</v>
      </c>
      <c r="D526" s="255"/>
      <c r="E526" s="237">
        <f>D526*'16-PlantAdditions'!$E$103</f>
        <v>0</v>
      </c>
      <c r="F526" s="237">
        <f t="shared" si="128"/>
        <v>0</v>
      </c>
      <c r="G526" s="255"/>
      <c r="H526" s="255"/>
      <c r="I526" s="237">
        <f>(G526-H526)*'16-PlantAdditions'!$E$103</f>
        <v>0</v>
      </c>
      <c r="J526" s="237">
        <f t="shared" si="129"/>
        <v>0</v>
      </c>
      <c r="K526" s="237">
        <f t="shared" si="130"/>
        <v>0</v>
      </c>
      <c r="L526" s="235"/>
    </row>
    <row r="527" spans="1:12">
      <c r="A527" s="2">
        <f t="shared" si="127"/>
        <v>403</v>
      </c>
      <c r="B527" s="331" t="s">
        <v>383</v>
      </c>
      <c r="C527" s="332">
        <v>2024</v>
      </c>
      <c r="D527" s="255"/>
      <c r="E527" s="237">
        <f>D527*'16-PlantAdditions'!$E$103</f>
        <v>0</v>
      </c>
      <c r="F527" s="237">
        <f t="shared" si="128"/>
        <v>0</v>
      </c>
      <c r="G527" s="255"/>
      <c r="H527" s="255"/>
      <c r="I527" s="237">
        <f>(G527-H527)*'16-PlantAdditions'!$E$103</f>
        <v>0</v>
      </c>
      <c r="J527" s="237">
        <f t="shared" si="129"/>
        <v>0</v>
      </c>
      <c r="K527" s="237">
        <f t="shared" si="130"/>
        <v>0</v>
      </c>
      <c r="L527" s="235"/>
    </row>
    <row r="528" spans="1:12">
      <c r="A528" s="2">
        <f t="shared" si="127"/>
        <v>404</v>
      </c>
      <c r="B528" s="331" t="s">
        <v>384</v>
      </c>
      <c r="C528" s="332">
        <v>2024</v>
      </c>
      <c r="D528" s="255"/>
      <c r="E528" s="237">
        <f>D528*'16-PlantAdditions'!$E$103</f>
        <v>0</v>
      </c>
      <c r="F528" s="237">
        <f t="shared" si="128"/>
        <v>0</v>
      </c>
      <c r="G528" s="255"/>
      <c r="H528" s="255"/>
      <c r="I528" s="237">
        <f>(G528-H528)*'16-PlantAdditions'!$E$103</f>
        <v>0</v>
      </c>
      <c r="J528" s="237">
        <f t="shared" si="129"/>
        <v>0</v>
      </c>
      <c r="K528" s="237">
        <f t="shared" si="130"/>
        <v>0</v>
      </c>
      <c r="L528" s="235"/>
    </row>
    <row r="529" spans="1:12">
      <c r="A529" s="2">
        <f t="shared" si="127"/>
        <v>405</v>
      </c>
      <c r="B529" s="331" t="s">
        <v>372</v>
      </c>
      <c r="C529" s="332">
        <v>2024</v>
      </c>
      <c r="D529" s="255"/>
      <c r="E529" s="237">
        <f>D529*'16-PlantAdditions'!$E$103</f>
        <v>0</v>
      </c>
      <c r="F529" s="237">
        <f t="shared" si="128"/>
        <v>0</v>
      </c>
      <c r="G529" s="255"/>
      <c r="H529" s="255"/>
      <c r="I529" s="237">
        <f>(G529-H529)*'16-PlantAdditions'!$E$103</f>
        <v>0</v>
      </c>
      <c r="J529" s="237">
        <f t="shared" si="129"/>
        <v>0</v>
      </c>
      <c r="K529" s="237">
        <f t="shared" si="130"/>
        <v>0</v>
      </c>
      <c r="L529" s="235"/>
    </row>
    <row r="530" spans="1:12">
      <c r="A530" s="2">
        <f t="shared" si="127"/>
        <v>406</v>
      </c>
      <c r="B530" s="331" t="s">
        <v>374</v>
      </c>
      <c r="C530" s="332">
        <v>2025</v>
      </c>
      <c r="D530" s="255"/>
      <c r="E530" s="237">
        <f>D530*'16-PlantAdditions'!$E$103</f>
        <v>0</v>
      </c>
      <c r="F530" s="237">
        <f t="shared" si="128"/>
        <v>0</v>
      </c>
      <c r="G530" s="255"/>
      <c r="H530" s="255"/>
      <c r="I530" s="237">
        <f>(G530-H530)*'16-PlantAdditions'!$E$103</f>
        <v>0</v>
      </c>
      <c r="J530" s="237">
        <f t="shared" si="129"/>
        <v>0</v>
      </c>
      <c r="K530" s="237">
        <f t="shared" si="130"/>
        <v>0</v>
      </c>
      <c r="L530" s="235"/>
    </row>
    <row r="531" spans="1:12">
      <c r="A531" s="2">
        <f t="shared" si="127"/>
        <v>407</v>
      </c>
      <c r="B531" s="331" t="s">
        <v>375</v>
      </c>
      <c r="C531" s="332">
        <v>2025</v>
      </c>
      <c r="D531" s="255"/>
      <c r="E531" s="237">
        <f>D531*'16-PlantAdditions'!$E$103</f>
        <v>0</v>
      </c>
      <c r="F531" s="237">
        <f t="shared" si="128"/>
        <v>0</v>
      </c>
      <c r="G531" s="255"/>
      <c r="H531" s="255"/>
      <c r="I531" s="237">
        <f>(G531-H531)*'16-PlantAdditions'!$E$103</f>
        <v>0</v>
      </c>
      <c r="J531" s="237">
        <f t="shared" si="129"/>
        <v>0</v>
      </c>
      <c r="K531" s="237">
        <f t="shared" si="130"/>
        <v>0</v>
      </c>
      <c r="L531" s="235"/>
    </row>
    <row r="532" spans="1:12">
      <c r="A532" s="2">
        <f t="shared" si="127"/>
        <v>408</v>
      </c>
      <c r="B532" s="331" t="s">
        <v>376</v>
      </c>
      <c r="C532" s="332">
        <v>2025</v>
      </c>
      <c r="D532" s="255"/>
      <c r="E532" s="237">
        <f>D532*'16-PlantAdditions'!$E$103</f>
        <v>0</v>
      </c>
      <c r="F532" s="237">
        <f t="shared" si="128"/>
        <v>0</v>
      </c>
      <c r="G532" s="255"/>
      <c r="H532" s="255"/>
      <c r="I532" s="237">
        <f>(G532-H532)*'16-PlantAdditions'!$E$103</f>
        <v>0</v>
      </c>
      <c r="J532" s="237">
        <f t="shared" si="129"/>
        <v>0</v>
      </c>
      <c r="K532" s="237">
        <f t="shared" si="130"/>
        <v>0</v>
      </c>
      <c r="L532" s="235"/>
    </row>
    <row r="533" spans="1:12">
      <c r="A533" s="2">
        <f t="shared" si="127"/>
        <v>409</v>
      </c>
      <c r="B533" s="331" t="s">
        <v>377</v>
      </c>
      <c r="C533" s="332">
        <v>2025</v>
      </c>
      <c r="D533" s="255"/>
      <c r="E533" s="237">
        <f>D533*'16-PlantAdditions'!$E$103</f>
        <v>0</v>
      </c>
      <c r="F533" s="237">
        <f t="shared" si="128"/>
        <v>0</v>
      </c>
      <c r="G533" s="255"/>
      <c r="H533" s="255"/>
      <c r="I533" s="237">
        <f>(G533-H533)*'16-PlantAdditions'!$E$103</f>
        <v>0</v>
      </c>
      <c r="J533" s="237">
        <f t="shared" si="129"/>
        <v>0</v>
      </c>
      <c r="K533" s="237">
        <f t="shared" si="130"/>
        <v>0</v>
      </c>
      <c r="L533" s="235"/>
    </row>
    <row r="534" spans="1:12">
      <c r="A534" s="2">
        <f t="shared" si="127"/>
        <v>410</v>
      </c>
      <c r="B534" s="331" t="s">
        <v>378</v>
      </c>
      <c r="C534" s="332">
        <v>2025</v>
      </c>
      <c r="D534" s="255"/>
      <c r="E534" s="237">
        <f>D534*'16-PlantAdditions'!$E$103</f>
        <v>0</v>
      </c>
      <c r="F534" s="237">
        <f t="shared" si="128"/>
        <v>0</v>
      </c>
      <c r="G534" s="255"/>
      <c r="H534" s="255"/>
      <c r="I534" s="237">
        <f>(G534-H534)*'16-PlantAdditions'!$E$103</f>
        <v>0</v>
      </c>
      <c r="J534" s="237">
        <f t="shared" si="129"/>
        <v>0</v>
      </c>
      <c r="K534" s="237">
        <f t="shared" si="130"/>
        <v>0</v>
      </c>
      <c r="L534" s="235"/>
    </row>
    <row r="535" spans="1:12">
      <c r="A535" s="2">
        <f t="shared" si="127"/>
        <v>411</v>
      </c>
      <c r="B535" s="331" t="s">
        <v>587</v>
      </c>
      <c r="C535" s="332">
        <v>2025</v>
      </c>
      <c r="D535" s="255"/>
      <c r="E535" s="237">
        <f>D535*'16-PlantAdditions'!$E$103</f>
        <v>0</v>
      </c>
      <c r="F535" s="237">
        <f t="shared" si="128"/>
        <v>0</v>
      </c>
      <c r="G535" s="255"/>
      <c r="H535" s="255"/>
      <c r="I535" s="237">
        <f>(G535-H535)*'16-PlantAdditions'!$E$103</f>
        <v>0</v>
      </c>
      <c r="J535" s="237">
        <f t="shared" si="129"/>
        <v>0</v>
      </c>
      <c r="K535" s="237">
        <f t="shared" si="130"/>
        <v>0</v>
      </c>
      <c r="L535" s="235"/>
    </row>
    <row r="536" spans="1:12">
      <c r="A536" s="2">
        <f t="shared" si="127"/>
        <v>412</v>
      </c>
      <c r="B536" s="331" t="s">
        <v>380</v>
      </c>
      <c r="C536" s="332">
        <v>2025</v>
      </c>
      <c r="D536" s="255"/>
      <c r="E536" s="237">
        <f>D536*'16-PlantAdditions'!$E$103</f>
        <v>0</v>
      </c>
      <c r="F536" s="237">
        <f t="shared" si="128"/>
        <v>0</v>
      </c>
      <c r="G536" s="255"/>
      <c r="H536" s="255"/>
      <c r="I536" s="237">
        <f>(G536-H536)*'16-PlantAdditions'!$E$103</f>
        <v>0</v>
      </c>
      <c r="J536" s="237">
        <f t="shared" si="129"/>
        <v>0</v>
      </c>
      <c r="K536" s="237">
        <f t="shared" si="130"/>
        <v>0</v>
      </c>
      <c r="L536" s="235"/>
    </row>
    <row r="537" spans="1:12">
      <c r="A537" s="2">
        <f t="shared" si="127"/>
        <v>413</v>
      </c>
      <c r="B537" s="331" t="s">
        <v>381</v>
      </c>
      <c r="C537" s="332">
        <v>2025</v>
      </c>
      <c r="D537" s="255"/>
      <c r="E537" s="237">
        <f>D537*'16-PlantAdditions'!$E$103</f>
        <v>0</v>
      </c>
      <c r="F537" s="237">
        <f t="shared" si="128"/>
        <v>0</v>
      </c>
      <c r="G537" s="255"/>
      <c r="H537" s="255"/>
      <c r="I537" s="237">
        <f>(G537-H537)*'16-PlantAdditions'!$E$103</f>
        <v>0</v>
      </c>
      <c r="J537" s="237">
        <f t="shared" si="129"/>
        <v>0</v>
      </c>
      <c r="K537" s="237">
        <f t="shared" si="130"/>
        <v>0</v>
      </c>
      <c r="L537" s="235"/>
    </row>
    <row r="538" spans="1:12">
      <c r="A538" s="2">
        <f t="shared" si="127"/>
        <v>414</v>
      </c>
      <c r="B538" s="331" t="s">
        <v>382</v>
      </c>
      <c r="C538" s="332">
        <v>2025</v>
      </c>
      <c r="D538" s="255"/>
      <c r="E538" s="237">
        <f>D538*'16-PlantAdditions'!$E$103</f>
        <v>0</v>
      </c>
      <c r="F538" s="237">
        <f t="shared" si="128"/>
        <v>0</v>
      </c>
      <c r="G538" s="255"/>
      <c r="H538" s="255"/>
      <c r="I538" s="237">
        <f>(G538-H538)*'16-PlantAdditions'!$E$103</f>
        <v>0</v>
      </c>
      <c r="J538" s="237">
        <f t="shared" si="129"/>
        <v>0</v>
      </c>
      <c r="K538" s="237">
        <f t="shared" si="130"/>
        <v>0</v>
      </c>
      <c r="L538" s="235"/>
    </row>
    <row r="539" spans="1:12">
      <c r="A539" s="2">
        <f t="shared" si="127"/>
        <v>415</v>
      </c>
      <c r="B539" s="331" t="s">
        <v>383</v>
      </c>
      <c r="C539" s="332">
        <v>2025</v>
      </c>
      <c r="D539" s="255"/>
      <c r="E539" s="237">
        <f>D539*'16-PlantAdditions'!$E$103</f>
        <v>0</v>
      </c>
      <c r="F539" s="237">
        <f t="shared" si="128"/>
        <v>0</v>
      </c>
      <c r="G539" s="255"/>
      <c r="H539" s="255"/>
      <c r="I539" s="237">
        <f>(G539-H539)*'16-PlantAdditions'!$E$103</f>
        <v>0</v>
      </c>
      <c r="J539" s="237">
        <f t="shared" si="129"/>
        <v>0</v>
      </c>
      <c r="K539" s="237">
        <f t="shared" si="130"/>
        <v>0</v>
      </c>
      <c r="L539" s="235"/>
    </row>
    <row r="540" spans="1:12">
      <c r="A540" s="2">
        <f t="shared" si="127"/>
        <v>416</v>
      </c>
      <c r="B540" s="331" t="s">
        <v>384</v>
      </c>
      <c r="C540" s="332">
        <v>2025</v>
      </c>
      <c r="D540" s="255"/>
      <c r="E540" s="237">
        <f>D540*'16-PlantAdditions'!$E$103</f>
        <v>0</v>
      </c>
      <c r="F540" s="237">
        <f t="shared" si="128"/>
        <v>0</v>
      </c>
      <c r="G540" s="255"/>
      <c r="H540" s="255"/>
      <c r="I540" s="237">
        <f>(G540-H540)*'16-PlantAdditions'!$E$103</f>
        <v>0</v>
      </c>
      <c r="J540" s="237">
        <f t="shared" si="129"/>
        <v>0</v>
      </c>
      <c r="K540" s="237">
        <f t="shared" si="130"/>
        <v>0</v>
      </c>
      <c r="L540" s="235"/>
    </row>
    <row r="541" spans="1:12">
      <c r="A541" s="2">
        <f t="shared" si="127"/>
        <v>417</v>
      </c>
      <c r="B541" s="331" t="s">
        <v>372</v>
      </c>
      <c r="C541" s="332">
        <v>2025</v>
      </c>
      <c r="D541" s="255"/>
      <c r="E541" s="237">
        <f>D541*'16-PlantAdditions'!$E$103</f>
        <v>0</v>
      </c>
      <c r="F541" s="237">
        <f t="shared" si="128"/>
        <v>0</v>
      </c>
      <c r="G541" s="255"/>
      <c r="H541" s="255"/>
      <c r="I541" s="237">
        <f>(G541-H541)*'16-PlantAdditions'!$E$103</f>
        <v>0</v>
      </c>
      <c r="J541" s="237">
        <f t="shared" si="129"/>
        <v>0</v>
      </c>
      <c r="K541" s="53">
        <f t="shared" si="130"/>
        <v>0</v>
      </c>
      <c r="L541" s="235"/>
    </row>
    <row r="542" spans="1:12">
      <c r="A542" s="2">
        <f t="shared" si="127"/>
        <v>418</v>
      </c>
      <c r="B542" s="235"/>
      <c r="C542" s="353" t="s">
        <v>990</v>
      </c>
      <c r="D542" s="235"/>
      <c r="E542" s="235"/>
      <c r="F542" s="235"/>
      <c r="G542" s="235"/>
      <c r="H542" s="241"/>
      <c r="I542" s="241"/>
      <c r="J542" s="235"/>
      <c r="K542" s="42">
        <f>AVERAGE(K529:K541)</f>
        <v>0</v>
      </c>
      <c r="L542" s="235"/>
    </row>
    <row r="543" spans="1:12">
      <c r="A543" s="611"/>
      <c r="B543" s="593"/>
      <c r="C543" s="1079"/>
      <c r="H543" s="241"/>
      <c r="I543" s="241"/>
      <c r="K543" s="42"/>
    </row>
    <row r="544" spans="1:12">
      <c r="B544" s="336" t="s">
        <v>226</v>
      </c>
    </row>
    <row r="545" spans="2:11">
      <c r="B545" s="331" t="s">
        <v>1018</v>
      </c>
    </row>
    <row r="546" spans="2:11">
      <c r="B546" s="331" t="s">
        <v>2963</v>
      </c>
      <c r="C546" s="235"/>
      <c r="D546" s="235"/>
      <c r="E546" s="235"/>
      <c r="F546" s="235"/>
      <c r="G546" s="235"/>
      <c r="H546" s="235"/>
      <c r="I546" s="235"/>
      <c r="J546" s="235"/>
    </row>
    <row r="548" spans="2:11">
      <c r="B548" s="1" t="s">
        <v>426</v>
      </c>
    </row>
    <row r="549" spans="2:11">
      <c r="B549" s="235" t="s">
        <v>1019</v>
      </c>
    </row>
    <row r="550" spans="2:11">
      <c r="B550" s="235" t="s">
        <v>2964</v>
      </c>
      <c r="C550" s="235"/>
      <c r="D550" s="235"/>
      <c r="E550" s="235"/>
      <c r="F550" s="235"/>
      <c r="G550" s="235"/>
      <c r="H550" s="235"/>
      <c r="I550" s="235"/>
      <c r="J550" s="235"/>
      <c r="K550" s="235"/>
    </row>
    <row r="551" spans="2:11">
      <c r="B551" s="235" t="s">
        <v>1020</v>
      </c>
    </row>
  </sheetData>
  <mergeCells count="14">
    <mergeCell ref="D478:E478"/>
    <mergeCell ref="D412:E412"/>
    <mergeCell ref="F379:G379"/>
    <mergeCell ref="D280:E280"/>
    <mergeCell ref="D313:E313"/>
    <mergeCell ref="D346:E346"/>
    <mergeCell ref="D445:E445"/>
    <mergeCell ref="D247:E247"/>
    <mergeCell ref="D379:E379"/>
    <mergeCell ref="D82:E82"/>
    <mergeCell ref="D115:E115"/>
    <mergeCell ref="D148:E148"/>
    <mergeCell ref="D181:E181"/>
    <mergeCell ref="D214:E214"/>
  </mergeCells>
  <pageMargins left="0.7" right="0.7" top="0.75" bottom="0.75" header="0.3" footer="0.3"/>
  <pageSetup scale="50" fitToHeight="0" orientation="landscape" cellComments="asDisplayed" r:id="rId1"/>
  <headerFooter>
    <oddHeader>&amp;CSchedule 10
CWIP
&amp;RTO2025 Annual Update 
Attachment 1</oddHeader>
    <oddFooter>&amp;R&amp;A</oddFooter>
  </headerFooter>
  <rowBreaks count="8" manualBreakCount="8">
    <brk id="47" max="16383" man="1"/>
    <brk id="113" max="11" man="1"/>
    <brk id="179" max="11" man="1"/>
    <brk id="245" max="11" man="1"/>
    <brk id="311" max="11" man="1"/>
    <brk id="377" max="11" man="1"/>
    <brk id="444" max="11" man="1"/>
    <brk id="510"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75"/>
  <cols>
    <col min="1" max="1" width="5" customWidth="1"/>
    <col min="2" max="2" width="22.5703125" customWidth="1"/>
    <col min="3" max="3" width="9.85546875" customWidth="1"/>
    <col min="4" max="5" width="25.5703125" customWidth="1"/>
    <col min="6" max="6" width="22.5703125" customWidth="1"/>
  </cols>
  <sheetData>
    <row r="1" spans="1:6">
      <c r="A1" s="9" t="s">
        <v>1021</v>
      </c>
      <c r="B1" s="63"/>
      <c r="C1" s="10"/>
      <c r="D1" s="10"/>
      <c r="E1" s="10"/>
      <c r="F1" s="10"/>
    </row>
    <row r="2" spans="1:6">
      <c r="A2" s="64"/>
      <c r="C2" s="65"/>
      <c r="D2" s="65"/>
      <c r="F2" s="27" t="s">
        <v>628</v>
      </c>
    </row>
    <row r="3" spans="1:6">
      <c r="A3" s="64"/>
      <c r="B3" s="235" t="s">
        <v>1022</v>
      </c>
      <c r="C3" s="65"/>
      <c r="D3" s="65"/>
      <c r="E3" s="65"/>
    </row>
    <row r="4" spans="1:6">
      <c r="A4" s="64"/>
      <c r="B4" s="235" t="s">
        <v>1023</v>
      </c>
      <c r="C4" s="65"/>
      <c r="D4" s="65"/>
      <c r="E4" s="65"/>
    </row>
    <row r="5" spans="1:6">
      <c r="A5" s="64"/>
      <c r="B5" s="235" t="s">
        <v>1024</v>
      </c>
      <c r="C5" s="65"/>
      <c r="D5" s="65"/>
      <c r="E5" s="65"/>
    </row>
    <row r="6" spans="1:6">
      <c r="A6" s="64"/>
    </row>
    <row r="7" spans="1:6">
      <c r="A7" s="30" t="s">
        <v>266</v>
      </c>
      <c r="C7" s="65"/>
      <c r="D7" s="3" t="s">
        <v>1025</v>
      </c>
      <c r="E7" s="3" t="s">
        <v>1026</v>
      </c>
      <c r="F7" s="3" t="s">
        <v>644</v>
      </c>
    </row>
    <row r="8" spans="1:6">
      <c r="A8" s="2">
        <v>1</v>
      </c>
      <c r="B8" s="235" t="s">
        <v>1027</v>
      </c>
      <c r="D8" s="5">
        <v>25789895</v>
      </c>
      <c r="E8" s="5">
        <v>25789957</v>
      </c>
      <c r="F8" s="234" t="s">
        <v>1028</v>
      </c>
    </row>
    <row r="9" spans="1:6">
      <c r="A9" s="2"/>
      <c r="B9" s="235"/>
      <c r="E9" s="235"/>
    </row>
    <row r="10" spans="1:6">
      <c r="A10" s="2"/>
      <c r="B10" s="235" t="s">
        <v>1029</v>
      </c>
      <c r="E10" s="235"/>
    </row>
    <row r="11" spans="1:6">
      <c r="A11" s="2"/>
      <c r="B11" s="235"/>
      <c r="E11" s="235"/>
    </row>
    <row r="12" spans="1:6">
      <c r="A12" s="2"/>
      <c r="B12" s="48" t="s">
        <v>329</v>
      </c>
      <c r="C12" s="48" t="s">
        <v>330</v>
      </c>
      <c r="D12" s="48" t="s">
        <v>331</v>
      </c>
      <c r="E12" s="48" t="s">
        <v>332</v>
      </c>
      <c r="F12" s="48" t="s">
        <v>333</v>
      </c>
    </row>
    <row r="13" spans="1:6">
      <c r="A13" s="2"/>
      <c r="B13" s="235"/>
      <c r="C13" s="2" t="s">
        <v>1030</v>
      </c>
      <c r="E13" s="235"/>
    </row>
    <row r="14" spans="1:6">
      <c r="A14" s="2"/>
      <c r="B14" s="30" t="s">
        <v>806</v>
      </c>
      <c r="C14" s="3" t="s">
        <v>1031</v>
      </c>
      <c r="D14" s="3" t="s">
        <v>1025</v>
      </c>
      <c r="E14" s="3" t="s">
        <v>1026</v>
      </c>
      <c r="F14" s="3" t="s">
        <v>644</v>
      </c>
    </row>
    <row r="15" spans="1:6">
      <c r="A15" s="2" t="s">
        <v>542</v>
      </c>
      <c r="B15" s="242" t="s">
        <v>971</v>
      </c>
      <c r="C15" s="54" t="s">
        <v>702</v>
      </c>
      <c r="D15" s="5">
        <v>9132042.8139648717</v>
      </c>
      <c r="E15" s="59">
        <v>9132042.8139648717</v>
      </c>
      <c r="F15" s="54" t="s">
        <v>2754</v>
      </c>
    </row>
    <row r="16" spans="1:6">
      <c r="A16" s="2" t="s">
        <v>1032</v>
      </c>
      <c r="B16" s="242"/>
      <c r="C16" s="54"/>
      <c r="D16" s="5"/>
      <c r="E16" s="5"/>
      <c r="F16" s="54"/>
    </row>
    <row r="17" spans="1:6">
      <c r="A17" s="2" t="s">
        <v>1033</v>
      </c>
      <c r="B17" s="242"/>
      <c r="C17" s="54"/>
      <c r="D17" s="5"/>
      <c r="E17" s="5"/>
      <c r="F17" s="54"/>
    </row>
    <row r="18" spans="1:6">
      <c r="A18" s="2" t="s">
        <v>1034</v>
      </c>
      <c r="B18" s="242"/>
      <c r="C18" s="54"/>
      <c r="D18" s="5"/>
      <c r="E18" s="5"/>
      <c r="F18" s="54"/>
    </row>
    <row r="19" spans="1:6">
      <c r="A19" s="2" t="s">
        <v>1035</v>
      </c>
      <c r="B19" s="242"/>
      <c r="C19" s="54"/>
      <c r="D19" s="5"/>
      <c r="E19" s="5"/>
      <c r="F19" s="54"/>
    </row>
    <row r="20" spans="1:6">
      <c r="A20" s="2" t="s">
        <v>1036</v>
      </c>
      <c r="B20" s="242"/>
      <c r="C20" s="54"/>
      <c r="D20" s="5"/>
      <c r="E20" s="5"/>
      <c r="F20" s="54"/>
    </row>
    <row r="21" spans="1:6">
      <c r="A21" s="2" t="s">
        <v>1037</v>
      </c>
      <c r="B21" s="242"/>
      <c r="C21" s="54"/>
      <c r="D21" s="5"/>
      <c r="E21" s="5"/>
      <c r="F21" s="54"/>
    </row>
    <row r="22" spans="1:6">
      <c r="A22" s="2" t="s">
        <v>1038</v>
      </c>
      <c r="B22" s="242"/>
      <c r="C22" s="54"/>
      <c r="D22" s="5"/>
      <c r="E22" s="5"/>
      <c r="F22" s="54"/>
    </row>
    <row r="23" spans="1:6">
      <c r="A23" s="2"/>
      <c r="B23" s="203" t="s">
        <v>815</v>
      </c>
      <c r="C23" s="54"/>
      <c r="D23" s="888"/>
      <c r="E23" s="888"/>
      <c r="F23" s="54"/>
    </row>
    <row r="24" spans="1:6">
      <c r="A24" s="2">
        <v>3</v>
      </c>
      <c r="C24" s="235" t="s">
        <v>402</v>
      </c>
      <c r="D24" s="6">
        <f>SUM(D15:D22)</f>
        <v>9132042.8139648717</v>
      </c>
      <c r="E24" s="6">
        <f>SUM(E15:E22)</f>
        <v>9132042.8139648717</v>
      </c>
      <c r="F24" s="234" t="s">
        <v>1039</v>
      </c>
    </row>
    <row r="25" spans="1:6">
      <c r="C25" s="235"/>
    </row>
    <row r="26" spans="1:6">
      <c r="C26" s="235"/>
      <c r="D26" s="3" t="s">
        <v>1025</v>
      </c>
      <c r="E26" s="3" t="s">
        <v>1026</v>
      </c>
      <c r="F26" s="3" t="s">
        <v>644</v>
      </c>
    </row>
    <row r="27" spans="1:6">
      <c r="A27" s="2">
        <v>4</v>
      </c>
      <c r="B27" s="235" t="s">
        <v>1040</v>
      </c>
      <c r="C27" s="235"/>
      <c r="D27" s="5">
        <v>0</v>
      </c>
      <c r="E27" s="5">
        <v>0</v>
      </c>
      <c r="F27" s="234" t="s">
        <v>1041</v>
      </c>
    </row>
    <row r="28" spans="1:6">
      <c r="A28" s="4" t="s">
        <v>1042</v>
      </c>
      <c r="B28" s="235"/>
      <c r="C28" s="235"/>
      <c r="D28" s="235"/>
      <c r="E28" s="233" t="s">
        <v>1043</v>
      </c>
      <c r="F28" s="266" t="s">
        <v>438</v>
      </c>
    </row>
    <row r="29" spans="1:6">
      <c r="A29" s="2">
        <v>5</v>
      </c>
      <c r="B29" s="235" t="s">
        <v>1044</v>
      </c>
      <c r="D29" s="876">
        <f>'27-Allocators'!G15</f>
        <v>5.8811663225218191E-2</v>
      </c>
      <c r="E29" s="876">
        <f>'27-Allocators'!G15</f>
        <v>5.8811663225218191E-2</v>
      </c>
      <c r="F29" s="234" t="str">
        <f>"27-Allocators, L "&amp;'27-Allocators'!A15&amp;""</f>
        <v>27-Allocators, L 9</v>
      </c>
    </row>
    <row r="30" spans="1:6">
      <c r="A30" s="2">
        <v>6</v>
      </c>
      <c r="B30" s="235" t="s">
        <v>1045</v>
      </c>
      <c r="C30" s="235"/>
      <c r="D30" s="6">
        <f>D27*D29</f>
        <v>0</v>
      </c>
      <c r="E30" s="6">
        <f>E27*E29</f>
        <v>0</v>
      </c>
      <c r="F30" s="234" t="str">
        <f>"L "&amp;A27&amp;" * L "&amp;A29&amp;""</f>
        <v>L 4 * L 5</v>
      </c>
    </row>
    <row r="31" spans="1:6">
      <c r="C31" s="235"/>
    </row>
    <row r="32" spans="1:6">
      <c r="B32" s="235" t="s">
        <v>1046</v>
      </c>
    </row>
    <row r="33" spans="1:6">
      <c r="C33" s="22"/>
      <c r="D33" s="889"/>
      <c r="E33" s="23"/>
    </row>
    <row r="34" spans="1:6">
      <c r="D34" s="3" t="s">
        <v>1025</v>
      </c>
      <c r="E34" s="3" t="s">
        <v>1026</v>
      </c>
      <c r="F34" s="3" t="s">
        <v>644</v>
      </c>
    </row>
    <row r="35" spans="1:6">
      <c r="A35" s="2">
        <v>7</v>
      </c>
      <c r="C35" s="235"/>
      <c r="D35" s="5">
        <v>16657851.706035128</v>
      </c>
      <c r="E35" s="5">
        <v>16657914.386035131</v>
      </c>
      <c r="F35" s="234" t="s">
        <v>144</v>
      </c>
    </row>
    <row r="38" spans="1:6">
      <c r="B38" s="235" t="s">
        <v>1047</v>
      </c>
      <c r="D38" s="3" t="s">
        <v>1025</v>
      </c>
      <c r="E38" s="3" t="s">
        <v>1026</v>
      </c>
      <c r="F38" s="3" t="s">
        <v>644</v>
      </c>
    </row>
    <row r="39" spans="1:6">
      <c r="A39" s="2">
        <v>8</v>
      </c>
      <c r="D39" s="237">
        <f>D24+D30</f>
        <v>9132042.8139648717</v>
      </c>
      <c r="E39" s="237">
        <f>E24+E30</f>
        <v>9132042.8139648717</v>
      </c>
      <c r="F39" s="234" t="str">
        <f>"L "&amp;A24&amp;" + L "&amp;A30&amp;""</f>
        <v>L 3 + L 6</v>
      </c>
    </row>
    <row r="40" spans="1:6">
      <c r="A40" s="2"/>
      <c r="D40" s="237"/>
      <c r="E40" s="237"/>
      <c r="F40" s="234"/>
    </row>
    <row r="41" spans="1:6">
      <c r="B41" t="s">
        <v>1048</v>
      </c>
    </row>
    <row r="42" spans="1:6">
      <c r="A42" s="2">
        <v>9</v>
      </c>
      <c r="B42" s="235" t="s">
        <v>1047</v>
      </c>
      <c r="D42" s="237">
        <f>(D39+E39)/2</f>
        <v>9132042.8139648717</v>
      </c>
      <c r="E42" s="237"/>
      <c r="F42" s="234" t="str">
        <f>"Sum of Line "&amp;A39&amp;" / 2"</f>
        <v>Sum of Line 8 / 2</v>
      </c>
    </row>
    <row r="43" spans="1:6">
      <c r="B43" s="235"/>
    </row>
    <row r="44" spans="1:6">
      <c r="B44" s="1" t="s">
        <v>1049</v>
      </c>
      <c r="C44" s="235"/>
    </row>
    <row r="45" spans="1:6">
      <c r="C45" s="235"/>
    </row>
    <row r="46" spans="1:6">
      <c r="A46" s="2"/>
      <c r="F46" s="3" t="s">
        <v>644</v>
      </c>
    </row>
    <row r="47" spans="1:6">
      <c r="A47" s="2">
        <v>10</v>
      </c>
      <c r="B47" s="235" t="s">
        <v>1050</v>
      </c>
      <c r="E47" s="530">
        <v>0</v>
      </c>
      <c r="F47" s="234" t="s">
        <v>887</v>
      </c>
    </row>
    <row r="50" spans="2:2">
      <c r="B50" s="1" t="s">
        <v>426</v>
      </c>
    </row>
    <row r="51" spans="2:2">
      <c r="B51" s="235" t="s">
        <v>1051</v>
      </c>
    </row>
    <row r="52" spans="2:2">
      <c r="B52" s="235" t="s">
        <v>1052</v>
      </c>
    </row>
    <row r="53" spans="2:2">
      <c r="B53" s="235" t="s">
        <v>1053</v>
      </c>
    </row>
    <row r="54" spans="2:2">
      <c r="B54" s="235" t="s">
        <v>1054</v>
      </c>
    </row>
    <row r="55" spans="2:2">
      <c r="B55" s="235" t="str">
        <f>"2) For any Electric Plant Held for Future Use classified as General note amount on Line "&amp;A27&amp;"."</f>
        <v>2) For any Electric Plant Held for Future Use classified as General note amount on Line 4.</v>
      </c>
    </row>
    <row r="56" spans="2:2">
      <c r="B56" s="235" t="s">
        <v>1055</v>
      </c>
    </row>
    <row r="57" spans="2:2">
      <c r="B57" s="235" t="s">
        <v>1056</v>
      </c>
    </row>
    <row r="58" spans="2:2">
      <c r="B58" s="235" t="s">
        <v>1057</v>
      </c>
    </row>
    <row r="59" spans="2:2">
      <c r="B59" s="235" t="s">
        <v>1058</v>
      </c>
    </row>
    <row r="60" spans="2:2">
      <c r="B60" s="235"/>
    </row>
    <row r="61" spans="2:2">
      <c r="B61" s="1" t="s">
        <v>226</v>
      </c>
    </row>
    <row r="62" spans="2:2">
      <c r="B62" s="235" t="s">
        <v>1059</v>
      </c>
    </row>
  </sheetData>
  <pageMargins left="0.7" right="0.7" top="0.75" bottom="0.75" header="0.3" footer="0.3"/>
  <pageSetup scale="80" orientation="portrait" cellComments="asDisplayed" r:id="rId1"/>
  <headerFooter>
    <oddHeader>&amp;CSchedule 11
Plant Held for Future Use
&amp;RTO2025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75"/>
  <cols>
    <col min="1" max="1" width="4.5703125" customWidth="1"/>
    <col min="2" max="2" width="5.5703125" customWidth="1"/>
    <col min="3" max="10" width="12.5703125" customWidth="1"/>
    <col min="12" max="12" width="9.42578125"/>
  </cols>
  <sheetData>
    <row r="1" spans="1:10">
      <c r="A1" s="1" t="s">
        <v>1060</v>
      </c>
    </row>
    <row r="2" spans="1:10">
      <c r="I2" s="266" t="s">
        <v>1061</v>
      </c>
      <c r="J2" s="266"/>
    </row>
    <row r="3" spans="1:10">
      <c r="B3" t="s">
        <v>1062</v>
      </c>
    </row>
    <row r="5" spans="1:10">
      <c r="B5" t="s">
        <v>1063</v>
      </c>
    </row>
    <row r="6" spans="1:10">
      <c r="B6" t="s">
        <v>1064</v>
      </c>
    </row>
    <row r="7" spans="1:10">
      <c r="F7" s="28" t="s">
        <v>1065</v>
      </c>
      <c r="H7" s="28" t="s">
        <v>1066</v>
      </c>
    </row>
    <row r="8" spans="1:10">
      <c r="B8" t="s">
        <v>1067</v>
      </c>
      <c r="F8" s="242"/>
      <c r="G8" s="54"/>
      <c r="H8" s="242"/>
      <c r="I8" s="54"/>
      <c r="J8" s="54"/>
    </row>
    <row r="9" spans="1:10">
      <c r="F9" s="242"/>
      <c r="G9" s="54"/>
      <c r="H9" s="54"/>
      <c r="I9" s="54"/>
      <c r="J9" s="54"/>
    </row>
    <row r="10" spans="1:10">
      <c r="F10" s="31" t="s">
        <v>815</v>
      </c>
      <c r="H10" s="31" t="s">
        <v>815</v>
      </c>
    </row>
    <row r="12" spans="1:10">
      <c r="B12" s="235" t="s">
        <v>1068</v>
      </c>
    </row>
    <row r="13" spans="1:10">
      <c r="B13" s="235"/>
    </row>
    <row r="14" spans="1:10">
      <c r="B14" s="235" t="s">
        <v>1069</v>
      </c>
    </row>
    <row r="15" spans="1:10">
      <c r="B15" s="235" t="s">
        <v>1070</v>
      </c>
    </row>
    <row r="16" spans="1:10">
      <c r="B16" s="235"/>
      <c r="G16" s="2" t="s">
        <v>1071</v>
      </c>
    </row>
    <row r="17" spans="1:10">
      <c r="A17" s="30" t="s">
        <v>266</v>
      </c>
      <c r="G17" s="3" t="s">
        <v>852</v>
      </c>
      <c r="I17" s="30" t="s">
        <v>400</v>
      </c>
    </row>
    <row r="18" spans="1:10">
      <c r="A18" s="2">
        <v>1</v>
      </c>
      <c r="F18" s="25" t="s">
        <v>1072</v>
      </c>
      <c r="G18" s="6">
        <f>SUM(IF(B31='1-BaseTRR'!$K$4,E31+I31,0),IF(B32='1-BaseTRR'!$K$4,E32+I32,0),IF(B33='1-BaseTRR'!$K$4,E33+I33,0),IF(B34='1-BaseTRR'!$K$4,E34+I34,0),IF(B35='1-BaseTRR'!$K$4,E35+I35,0),IF(B36='1-BaseTRR'!$K$4,E36+I36,0),IF(B37='1-BaseTRR'!$K$4,E37+I37,0),IF(B38='1-BaseTRR'!$K$4,E38+I38,0),IF(B39='1-BaseTRR'!$K$4,E39+I39,0),IF(B40='1-BaseTRR'!$K$4,E40+I40,0),IF(B41='1-BaseTRR'!$K$4,E41+I41,0))</f>
        <v>0</v>
      </c>
      <c r="I18" s="235" t="s">
        <v>1073</v>
      </c>
    </row>
    <row r="19" spans="1:10">
      <c r="A19" s="2">
        <v>2</v>
      </c>
      <c r="F19" s="233" t="s">
        <v>1074</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35" t="s">
        <v>1073</v>
      </c>
    </row>
    <row r="20" spans="1:10">
      <c r="A20" s="2">
        <v>3</v>
      </c>
      <c r="F20" s="25" t="s">
        <v>1075</v>
      </c>
      <c r="G20" s="6">
        <f>SUM(IF(B31='1-BaseTRR'!$K$4,C31+G31,0),IF(B32='1-BaseTRR'!$K$4,C32+G32,0),IF(B33='1-BaseTRR'!$K$4,C33+G33,0),IF(B34='1-BaseTRR'!$K$4,C34+G34,0),IF(B35='1-BaseTRR'!$K$4,C35+G35,0),IF(B36='1-BaseTRR'!$K$4,C36+G36,0),IF(B37='1-BaseTRR'!$K$4,C37+G37,0),IF(B38='1-BaseTRR'!$K$4,C38+G38,0),IF(B39='1-BaseTRR'!$K$4,C39+G39,0),IF(B40='1-BaseTRR'!$K$4,C40+G40,0),IF(B41='1-BaseTRR'!$K$4,C41+G41,0))</f>
        <v>0</v>
      </c>
      <c r="I20" s="235" t="s">
        <v>1073</v>
      </c>
    </row>
    <row r="21" spans="1:10">
      <c r="A21" s="2">
        <v>4</v>
      </c>
      <c r="F21" s="25" t="s">
        <v>1076</v>
      </c>
      <c r="G21" s="6">
        <f>(G19+G20)/2</f>
        <v>0</v>
      </c>
      <c r="I21" s="235" t="str">
        <f>"Average of Lines "&amp;A19&amp;" and "&amp;A20&amp;"."</f>
        <v>Average of Lines 2 and 3.</v>
      </c>
    </row>
    <row r="22" spans="1:10">
      <c r="A22" s="2">
        <v>5</v>
      </c>
      <c r="E22" s="235"/>
      <c r="F22" s="233" t="s">
        <v>1077</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35"/>
      <c r="I22" s="235" t="s">
        <v>1073</v>
      </c>
      <c r="J22" s="235"/>
    </row>
    <row r="23" spans="1:10">
      <c r="I23" s="235"/>
    </row>
    <row r="25" spans="1:10">
      <c r="A25" s="2">
        <v>6</v>
      </c>
      <c r="C25" s="1" t="s">
        <v>1078</v>
      </c>
      <c r="D25" s="242" t="s">
        <v>1079</v>
      </c>
      <c r="G25" s="85" t="s">
        <v>1080</v>
      </c>
      <c r="H25" s="242" t="s">
        <v>1079</v>
      </c>
      <c r="I25" s="85"/>
      <c r="J25" s="235"/>
    </row>
    <row r="26" spans="1:10">
      <c r="A26" s="2"/>
      <c r="C26" s="1"/>
      <c r="D26" s="235"/>
      <c r="G26" s="85"/>
      <c r="H26" s="235"/>
      <c r="I26" s="85"/>
      <c r="J26" s="235"/>
    </row>
    <row r="27" spans="1:10">
      <c r="D27" s="2" t="s">
        <v>1081</v>
      </c>
      <c r="E27" s="2" t="s">
        <v>1082</v>
      </c>
      <c r="H27" s="2" t="s">
        <v>1081</v>
      </c>
      <c r="I27" s="2" t="s">
        <v>1082</v>
      </c>
      <c r="J27" s="2"/>
    </row>
    <row r="28" spans="1:10">
      <c r="C28" s="2" t="s">
        <v>1083</v>
      </c>
      <c r="D28" s="2" t="s">
        <v>1082</v>
      </c>
      <c r="E28" s="2" t="s">
        <v>652</v>
      </c>
      <c r="G28" s="2" t="s">
        <v>1083</v>
      </c>
      <c r="H28" s="2" t="s">
        <v>1082</v>
      </c>
      <c r="I28" s="2" t="s">
        <v>652</v>
      </c>
      <c r="J28" s="2"/>
    </row>
    <row r="29" spans="1:10">
      <c r="C29" s="2" t="s">
        <v>1082</v>
      </c>
      <c r="D29" s="2" t="s">
        <v>652</v>
      </c>
      <c r="E29" s="2" t="s">
        <v>1084</v>
      </c>
      <c r="G29" s="2" t="s">
        <v>1082</v>
      </c>
      <c r="H29" s="2" t="s">
        <v>652</v>
      </c>
      <c r="I29" s="2" t="s">
        <v>1084</v>
      </c>
      <c r="J29" s="2"/>
    </row>
    <row r="30" spans="1:10">
      <c r="A30" s="2"/>
      <c r="B30" s="3" t="s">
        <v>365</v>
      </c>
      <c r="C30" s="3" t="s">
        <v>652</v>
      </c>
      <c r="D30" s="3" t="s">
        <v>1085</v>
      </c>
      <c r="E30" s="3" t="s">
        <v>1086</v>
      </c>
      <c r="G30" s="3" t="s">
        <v>652</v>
      </c>
      <c r="H30" s="3" t="s">
        <v>1085</v>
      </c>
      <c r="I30" s="3" t="s">
        <v>1086</v>
      </c>
      <c r="J30" s="3"/>
    </row>
    <row r="31" spans="1:10">
      <c r="A31" s="2">
        <v>7</v>
      </c>
      <c r="B31">
        <v>2015</v>
      </c>
      <c r="C31" s="557"/>
      <c r="D31" s="557"/>
      <c r="E31" s="557"/>
      <c r="G31" s="54"/>
      <c r="H31" s="54"/>
      <c r="I31" s="54"/>
    </row>
    <row r="32" spans="1:10">
      <c r="A32" s="2">
        <v>8</v>
      </c>
      <c r="B32">
        <v>2016</v>
      </c>
      <c r="C32" s="557"/>
      <c r="D32" s="557"/>
      <c r="E32" s="557"/>
      <c r="G32" s="54"/>
      <c r="H32" s="54"/>
      <c r="I32" s="54"/>
    </row>
    <row r="33" spans="1:9">
      <c r="A33" s="2">
        <v>9</v>
      </c>
      <c r="B33">
        <v>2017</v>
      </c>
      <c r="C33" s="54"/>
      <c r="D33" s="54"/>
      <c r="E33" s="54"/>
      <c r="G33" s="54"/>
      <c r="H33" s="54"/>
      <c r="I33" s="54"/>
    </row>
    <row r="34" spans="1:9">
      <c r="A34" s="2">
        <v>10</v>
      </c>
      <c r="B34">
        <v>2018</v>
      </c>
      <c r="C34" s="54"/>
      <c r="D34" s="54"/>
      <c r="E34" s="54"/>
      <c r="G34" s="54"/>
      <c r="H34" s="54"/>
      <c r="I34" s="54"/>
    </row>
    <row r="35" spans="1:9">
      <c r="A35" s="2">
        <v>11</v>
      </c>
      <c r="B35">
        <v>2019</v>
      </c>
      <c r="C35" s="54"/>
      <c r="D35" s="54"/>
      <c r="E35" s="54"/>
      <c r="G35" s="54"/>
      <c r="H35" s="54"/>
      <c r="I35" s="54"/>
    </row>
    <row r="36" spans="1:9">
      <c r="A36" s="2">
        <v>12</v>
      </c>
      <c r="B36">
        <v>2020</v>
      </c>
      <c r="C36" s="54"/>
      <c r="D36" s="54"/>
      <c r="E36" s="54"/>
      <c r="G36" s="54"/>
      <c r="H36" s="54"/>
      <c r="I36" s="54"/>
    </row>
    <row r="37" spans="1:9">
      <c r="A37" s="2">
        <v>13</v>
      </c>
      <c r="B37">
        <v>2021</v>
      </c>
      <c r="C37" s="54"/>
      <c r="D37" s="54"/>
      <c r="E37" s="54"/>
      <c r="G37" s="54"/>
      <c r="H37" s="54"/>
      <c r="I37" s="54"/>
    </row>
    <row r="38" spans="1:9">
      <c r="A38" s="2">
        <v>14</v>
      </c>
      <c r="B38">
        <v>2022</v>
      </c>
      <c r="C38" s="54"/>
      <c r="D38" s="54"/>
      <c r="E38" s="54"/>
      <c r="G38" s="54"/>
      <c r="H38" s="54"/>
      <c r="I38" s="54"/>
    </row>
    <row r="39" spans="1:9">
      <c r="A39" s="2">
        <v>15</v>
      </c>
      <c r="B39">
        <v>2023</v>
      </c>
      <c r="C39" s="54"/>
      <c r="D39" s="54"/>
      <c r="E39" s="54"/>
      <c r="G39" s="54"/>
      <c r="H39" s="54"/>
      <c r="I39" s="54"/>
    </row>
    <row r="40" spans="1:9">
      <c r="A40" s="2">
        <v>16</v>
      </c>
      <c r="B40">
        <v>2024</v>
      </c>
      <c r="C40" s="54"/>
      <c r="D40" s="54"/>
      <c r="E40" s="54"/>
      <c r="G40" s="54"/>
      <c r="H40" s="54"/>
      <c r="I40" s="54"/>
    </row>
    <row r="41" spans="1:9">
      <c r="A41" s="2">
        <v>17</v>
      </c>
      <c r="B41">
        <v>2025</v>
      </c>
      <c r="C41" s="54"/>
      <c r="D41" s="54"/>
      <c r="E41" s="54"/>
      <c r="G41" s="54"/>
      <c r="H41" s="54"/>
      <c r="I41" s="54"/>
    </row>
    <row r="42" spans="1:9">
      <c r="A42" s="2">
        <v>18</v>
      </c>
      <c r="B42" s="289" t="s">
        <v>815</v>
      </c>
    </row>
    <row r="43" spans="1:9">
      <c r="A43" s="2"/>
      <c r="B43" s="289"/>
    </row>
    <row r="44" spans="1:9">
      <c r="A44" s="2"/>
      <c r="B44" s="1" t="s">
        <v>226</v>
      </c>
    </row>
    <row r="45" spans="1:9">
      <c r="A45" s="2"/>
      <c r="B45" s="235" t="s">
        <v>1087</v>
      </c>
    </row>
    <row r="46" spans="1:9">
      <c r="A46" s="2"/>
    </row>
    <row r="47" spans="1:9">
      <c r="A47" s="2"/>
      <c r="B47" s="1" t="s">
        <v>426</v>
      </c>
    </row>
    <row r="48" spans="1:9">
      <c r="A48" s="2"/>
      <c r="B48" s="235" t="s">
        <v>1088</v>
      </c>
    </row>
    <row r="49" spans="1:2">
      <c r="A49" s="2"/>
      <c r="B49" s="234" t="s">
        <v>1089</v>
      </c>
    </row>
    <row r="50" spans="1:2">
      <c r="A50" s="2"/>
      <c r="B50" s="234" t="s">
        <v>1090</v>
      </c>
    </row>
    <row r="51" spans="1:2">
      <c r="A51" s="2"/>
      <c r="B51" s="234" t="s">
        <v>1091</v>
      </c>
    </row>
    <row r="52" spans="1:2">
      <c r="A52" s="2"/>
      <c r="B52" s="234" t="s">
        <v>1092</v>
      </c>
    </row>
    <row r="53" spans="1:2">
      <c r="B53" s="234" t="s">
        <v>1093</v>
      </c>
    </row>
    <row r="54" spans="1:2">
      <c r="B54" s="281" t="s">
        <v>1094</v>
      </c>
    </row>
    <row r="55" spans="1:2">
      <c r="B55" s="235" t="s">
        <v>1095</v>
      </c>
    </row>
    <row r="56" spans="1:2">
      <c r="B56" s="235" t="s">
        <v>1096</v>
      </c>
    </row>
  </sheetData>
  <pageMargins left="0.7" right="0.7" top="0.75" bottom="0.75" header="0.3" footer="0.3"/>
  <pageSetup scale="80" orientation="portrait" cellComments="asDisplayed" r:id="rId1"/>
  <headerFooter>
    <oddHeader>&amp;CSchedule 12
Abandoned Plant
&amp;RTO2025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75"/>
  <cols>
    <col min="1" max="1" width="4.5703125" customWidth="1"/>
    <col min="2" max="2" width="3.5703125" customWidth="1"/>
    <col min="3" max="3" width="14.5703125" customWidth="1"/>
    <col min="4" max="4" width="8.5703125" customWidth="1"/>
    <col min="5" max="5" width="15.42578125" customWidth="1"/>
    <col min="6" max="6" width="24.5703125" customWidth="1"/>
    <col min="7" max="7" width="35.5703125" customWidth="1"/>
    <col min="11" max="11" width="11.42578125" bestFit="1" customWidth="1"/>
  </cols>
  <sheetData>
    <row r="1" spans="1:7">
      <c r="A1" s="1" t="s">
        <v>1097</v>
      </c>
    </row>
    <row r="2" spans="1:7">
      <c r="C2" s="235"/>
      <c r="F2" s="27" t="s">
        <v>628</v>
      </c>
      <c r="G2" s="667"/>
    </row>
    <row r="3" spans="1:7">
      <c r="B3" s="1" t="s">
        <v>1098</v>
      </c>
      <c r="F3" s="39" t="s">
        <v>193</v>
      </c>
      <c r="G3" s="242" t="s">
        <v>1099</v>
      </c>
    </row>
    <row r="4" spans="1:7">
      <c r="C4" s="235" t="s">
        <v>1100</v>
      </c>
      <c r="E4" s="13"/>
      <c r="F4" s="890"/>
      <c r="G4" s="20"/>
    </row>
    <row r="5" spans="1:7">
      <c r="C5" s="235" t="s">
        <v>1101</v>
      </c>
      <c r="E5" s="13"/>
      <c r="F5" s="890"/>
      <c r="G5" s="20"/>
    </row>
    <row r="6" spans="1:7">
      <c r="E6" s="13"/>
      <c r="F6" s="43"/>
      <c r="G6" s="20"/>
    </row>
    <row r="7" spans="1:7">
      <c r="C7" s="14"/>
      <c r="D7" s="13"/>
      <c r="E7" s="19" t="s">
        <v>651</v>
      </c>
      <c r="F7" s="19" t="s">
        <v>1102</v>
      </c>
      <c r="G7" s="19"/>
    </row>
    <row r="8" spans="1:7">
      <c r="A8" s="32" t="s">
        <v>99</v>
      </c>
      <c r="C8" s="18" t="s">
        <v>364</v>
      </c>
      <c r="D8" s="18" t="s">
        <v>365</v>
      </c>
      <c r="E8" s="18" t="s">
        <v>644</v>
      </c>
      <c r="F8" s="18" t="s">
        <v>1103</v>
      </c>
      <c r="G8" s="18" t="s">
        <v>100</v>
      </c>
    </row>
    <row r="9" spans="1:7">
      <c r="A9" s="2">
        <v>1</v>
      </c>
      <c r="C9" s="13" t="s">
        <v>372</v>
      </c>
      <c r="D9" s="82">
        <v>2022</v>
      </c>
      <c r="E9" s="21" t="s">
        <v>1104</v>
      </c>
      <c r="F9" s="807">
        <v>450721921</v>
      </c>
      <c r="G9" s="21" t="s">
        <v>1105</v>
      </c>
    </row>
    <row r="10" spans="1:7">
      <c r="A10" s="2">
        <f>A9+1</f>
        <v>2</v>
      </c>
      <c r="C10" s="243" t="s">
        <v>374</v>
      </c>
      <c r="D10" s="82">
        <v>2023</v>
      </c>
      <c r="E10" s="257" t="s">
        <v>887</v>
      </c>
      <c r="F10" s="807">
        <v>454583548.20999998</v>
      </c>
      <c r="G10" s="21"/>
    </row>
    <row r="11" spans="1:7">
      <c r="A11" s="2">
        <f t="shared" ref="A11:A21" si="0">A10+1</f>
        <v>3</v>
      </c>
      <c r="C11" s="243" t="s">
        <v>375</v>
      </c>
      <c r="D11" s="82">
        <v>2023</v>
      </c>
      <c r="E11" s="257" t="s">
        <v>887</v>
      </c>
      <c r="F11" s="807">
        <v>466590734.88</v>
      </c>
      <c r="G11" s="21"/>
    </row>
    <row r="12" spans="1:7">
      <c r="A12" s="2">
        <f t="shared" si="0"/>
        <v>4</v>
      </c>
      <c r="C12" s="243" t="s">
        <v>376</v>
      </c>
      <c r="D12" s="82">
        <v>2023</v>
      </c>
      <c r="E12" s="257" t="s">
        <v>887</v>
      </c>
      <c r="F12" s="807">
        <v>494358182.44</v>
      </c>
      <c r="G12" s="21"/>
    </row>
    <row r="13" spans="1:7">
      <c r="A13" s="2">
        <f t="shared" si="0"/>
        <v>5</v>
      </c>
      <c r="C13" s="243" t="s">
        <v>377</v>
      </c>
      <c r="D13" s="82">
        <v>2023</v>
      </c>
      <c r="E13" s="257" t="s">
        <v>887</v>
      </c>
      <c r="F13" s="807">
        <v>503550410.85000002</v>
      </c>
      <c r="G13" s="21"/>
    </row>
    <row r="14" spans="1:7">
      <c r="A14" s="2">
        <f t="shared" si="0"/>
        <v>6</v>
      </c>
      <c r="C14" s="243" t="s">
        <v>378</v>
      </c>
      <c r="D14" s="82">
        <v>2023</v>
      </c>
      <c r="E14" s="257" t="s">
        <v>887</v>
      </c>
      <c r="F14" s="807">
        <v>504061516.75999999</v>
      </c>
      <c r="G14" s="21"/>
    </row>
    <row r="15" spans="1:7">
      <c r="A15" s="2">
        <f t="shared" si="0"/>
        <v>7</v>
      </c>
      <c r="C15" s="243" t="s">
        <v>587</v>
      </c>
      <c r="D15" s="82">
        <v>2023</v>
      </c>
      <c r="E15" s="257" t="s">
        <v>887</v>
      </c>
      <c r="F15" s="807">
        <v>506976082.20999998</v>
      </c>
      <c r="G15" s="21"/>
    </row>
    <row r="16" spans="1:7">
      <c r="A16" s="2">
        <f t="shared" si="0"/>
        <v>8</v>
      </c>
      <c r="C16" s="243" t="s">
        <v>380</v>
      </c>
      <c r="D16" s="82">
        <v>2023</v>
      </c>
      <c r="E16" s="257" t="s">
        <v>887</v>
      </c>
      <c r="F16" s="807">
        <v>505691437.25</v>
      </c>
      <c r="G16" s="21"/>
    </row>
    <row r="17" spans="1:7">
      <c r="A17" s="2">
        <f t="shared" si="0"/>
        <v>9</v>
      </c>
      <c r="C17" s="243" t="s">
        <v>381</v>
      </c>
      <c r="D17" s="82">
        <v>2023</v>
      </c>
      <c r="E17" s="257" t="s">
        <v>887</v>
      </c>
      <c r="F17" s="807">
        <v>504239571.63999999</v>
      </c>
      <c r="G17" s="21"/>
    </row>
    <row r="18" spans="1:7">
      <c r="A18" s="2">
        <f t="shared" si="0"/>
        <v>10</v>
      </c>
      <c r="C18" s="243" t="s">
        <v>382</v>
      </c>
      <c r="D18" s="82">
        <v>2023</v>
      </c>
      <c r="E18" s="257" t="s">
        <v>887</v>
      </c>
      <c r="F18" s="807">
        <v>500204545.37</v>
      </c>
      <c r="G18" s="21"/>
    </row>
    <row r="19" spans="1:7">
      <c r="A19" s="2">
        <f t="shared" si="0"/>
        <v>11</v>
      </c>
      <c r="C19" s="243" t="s">
        <v>383</v>
      </c>
      <c r="D19" s="82">
        <v>2023</v>
      </c>
      <c r="E19" s="257" t="s">
        <v>887</v>
      </c>
      <c r="F19" s="807">
        <v>487912759.82999998</v>
      </c>
      <c r="G19" s="21"/>
    </row>
    <row r="20" spans="1:7">
      <c r="A20" s="2">
        <f t="shared" si="0"/>
        <v>12</v>
      </c>
      <c r="C20" s="243" t="s">
        <v>384</v>
      </c>
      <c r="D20" s="82">
        <v>2023</v>
      </c>
      <c r="E20" s="257" t="s">
        <v>887</v>
      </c>
      <c r="F20" s="255">
        <v>499838303.36000001</v>
      </c>
      <c r="G20" s="21"/>
    </row>
    <row r="21" spans="1:7">
      <c r="A21" s="2">
        <f t="shared" si="0"/>
        <v>13</v>
      </c>
      <c r="C21" s="14" t="s">
        <v>372</v>
      </c>
      <c r="D21" s="82">
        <v>2023</v>
      </c>
      <c r="E21" s="21" t="s">
        <v>1106</v>
      </c>
      <c r="F21" s="807">
        <v>519239379</v>
      </c>
      <c r="G21" s="12" t="s">
        <v>740</v>
      </c>
    </row>
    <row r="22" spans="1:7">
      <c r="C22" s="15"/>
      <c r="D22" s="15"/>
      <c r="E22" s="13"/>
      <c r="G22" s="21"/>
    </row>
    <row r="23" spans="1:7">
      <c r="A23" s="2">
        <f>A21+1</f>
        <v>14</v>
      </c>
      <c r="C23" s="15"/>
      <c r="D23" s="15"/>
      <c r="E23" s="256" t="s">
        <v>1107</v>
      </c>
      <c r="F23" s="889">
        <f>SUM(F9:F21)/13</f>
        <v>492151414.83076924</v>
      </c>
      <c r="G23" s="12" t="str">
        <f>"(Sum Line "&amp;A9&amp;" to Line "&amp;A21&amp;") / 13"</f>
        <v>(Sum Line 1 to Line 13) / 13</v>
      </c>
    </row>
    <row r="24" spans="1:7">
      <c r="A24" s="2">
        <f>A23+1</f>
        <v>15</v>
      </c>
      <c r="C24" s="15"/>
      <c r="D24" s="15"/>
      <c r="E24" s="22" t="s">
        <v>1108</v>
      </c>
      <c r="F24" s="24">
        <f>'27-Allocators'!G15</f>
        <v>5.8811663225218191E-2</v>
      </c>
      <c r="G24" s="12" t="str">
        <f>"27-Allocators, Line "&amp;'27-Allocators'!A15&amp;""</f>
        <v>27-Allocators, Line 9</v>
      </c>
    </row>
    <row r="25" spans="1:7">
      <c r="D25" s="15"/>
      <c r="E25" s="22"/>
      <c r="F25" s="889"/>
      <c r="G25" s="12"/>
    </row>
    <row r="26" spans="1:7">
      <c r="A26" s="2">
        <f>A24+1</f>
        <v>16</v>
      </c>
      <c r="C26" s="15" t="s">
        <v>109</v>
      </c>
      <c r="D26" s="15"/>
      <c r="E26" s="233" t="s">
        <v>646</v>
      </c>
      <c r="F26" s="889">
        <f>F21*F24</f>
        <v>30537331.491019432</v>
      </c>
      <c r="G26" s="234" t="str">
        <f>"Line "&amp;A21&amp;" * Line "&amp;A24&amp;""</f>
        <v>Line 13 * Line 15</v>
      </c>
    </row>
    <row r="27" spans="1:7">
      <c r="A27" s="2">
        <f>A26+1</f>
        <v>17</v>
      </c>
      <c r="C27" s="15"/>
      <c r="D27" s="15"/>
      <c r="E27" s="256" t="s">
        <v>1109</v>
      </c>
      <c r="F27" s="889">
        <f>F23*F24</f>
        <v>28944243.264841855</v>
      </c>
      <c r="G27" s="234" t="str">
        <f>"Line "&amp;A23&amp;" * Line "&amp;A24&amp;""</f>
        <v>Line 14 * Line 15</v>
      </c>
    </row>
    <row r="29" spans="1:7">
      <c r="B29" s="1" t="s">
        <v>1110</v>
      </c>
    </row>
    <row r="30" spans="1:7">
      <c r="C30" t="s">
        <v>1111</v>
      </c>
      <c r="E30" s="13"/>
      <c r="F30" s="890"/>
      <c r="G30" s="20"/>
    </row>
    <row r="31" spans="1:7">
      <c r="C31" t="s">
        <v>1112</v>
      </c>
      <c r="E31" s="13"/>
      <c r="F31" s="890"/>
      <c r="G31" s="20"/>
    </row>
    <row r="32" spans="1:7">
      <c r="C32" s="14"/>
      <c r="D32" s="13"/>
      <c r="E32" s="19" t="s">
        <v>651</v>
      </c>
      <c r="F32" s="43" t="s">
        <v>1113</v>
      </c>
      <c r="G32" s="19"/>
    </row>
    <row r="33" spans="1:11">
      <c r="C33" s="18" t="s">
        <v>364</v>
      </c>
      <c r="D33" s="18" t="s">
        <v>365</v>
      </c>
      <c r="E33" s="18" t="s">
        <v>644</v>
      </c>
      <c r="F33" s="18" t="s">
        <v>654</v>
      </c>
      <c r="G33" s="18" t="s">
        <v>100</v>
      </c>
    </row>
    <row r="34" spans="1:11">
      <c r="A34" s="2">
        <f>A27+1</f>
        <v>18</v>
      </c>
      <c r="C34" s="13" t="s">
        <v>372</v>
      </c>
      <c r="D34" s="82">
        <v>2022</v>
      </c>
      <c r="E34" s="558" t="s">
        <v>1114</v>
      </c>
      <c r="F34" s="6">
        <f>F63</f>
        <v>283844402</v>
      </c>
      <c r="G34" s="558" t="s">
        <v>1115</v>
      </c>
    </row>
    <row r="35" spans="1:11">
      <c r="A35" s="2">
        <f>A34+1</f>
        <v>19</v>
      </c>
      <c r="C35" s="243" t="s">
        <v>374</v>
      </c>
      <c r="D35" s="82">
        <v>2023</v>
      </c>
      <c r="E35" s="257" t="s">
        <v>887</v>
      </c>
      <c r="F35" s="59">
        <v>242133409.28999999</v>
      </c>
      <c r="G35" s="558"/>
      <c r="J35" s="6"/>
      <c r="K35" s="6"/>
    </row>
    <row r="36" spans="1:11">
      <c r="A36" s="2">
        <f t="shared" ref="A36:A46" si="1">A35+1</f>
        <v>20</v>
      </c>
      <c r="C36" s="243" t="s">
        <v>375</v>
      </c>
      <c r="D36" s="82">
        <v>2023</v>
      </c>
      <c r="E36" s="257" t="s">
        <v>887</v>
      </c>
      <c r="F36" s="59">
        <v>235337665.93000001</v>
      </c>
      <c r="G36" s="558"/>
      <c r="J36" s="6"/>
      <c r="K36" s="6"/>
    </row>
    <row r="37" spans="1:11">
      <c r="A37" s="2">
        <f t="shared" si="1"/>
        <v>21</v>
      </c>
      <c r="C37" s="243" t="s">
        <v>376</v>
      </c>
      <c r="D37" s="82">
        <v>2023</v>
      </c>
      <c r="E37" s="257" t="s">
        <v>887</v>
      </c>
      <c r="F37" s="59">
        <v>324739262.31999999</v>
      </c>
      <c r="G37" s="558"/>
      <c r="J37" s="6"/>
      <c r="K37" s="6"/>
    </row>
    <row r="38" spans="1:11">
      <c r="A38" s="2">
        <f t="shared" si="1"/>
        <v>22</v>
      </c>
      <c r="C38" s="243" t="s">
        <v>377</v>
      </c>
      <c r="D38" s="82">
        <v>2023</v>
      </c>
      <c r="E38" s="257" t="s">
        <v>887</v>
      </c>
      <c r="F38" s="59">
        <v>257913131.5</v>
      </c>
      <c r="G38" s="558"/>
      <c r="J38" s="6"/>
      <c r="K38" s="6"/>
    </row>
    <row r="39" spans="1:11">
      <c r="A39" s="2">
        <f t="shared" si="1"/>
        <v>23</v>
      </c>
      <c r="C39" s="243" t="s">
        <v>378</v>
      </c>
      <c r="D39" s="82">
        <v>2023</v>
      </c>
      <c r="E39" s="257" t="s">
        <v>887</v>
      </c>
      <c r="F39" s="59">
        <v>171911983.83000001</v>
      </c>
      <c r="G39" s="558"/>
      <c r="J39" s="6"/>
      <c r="K39" s="6"/>
    </row>
    <row r="40" spans="1:11">
      <c r="A40" s="2">
        <f t="shared" si="1"/>
        <v>24</v>
      </c>
      <c r="C40" s="243" t="s">
        <v>587</v>
      </c>
      <c r="D40" s="82">
        <v>2023</v>
      </c>
      <c r="E40" s="257" t="s">
        <v>887</v>
      </c>
      <c r="F40" s="59">
        <v>78726713.379999995</v>
      </c>
      <c r="G40" s="558"/>
      <c r="J40" s="6"/>
      <c r="K40" s="6"/>
    </row>
    <row r="41" spans="1:11">
      <c r="A41" s="2">
        <f t="shared" si="1"/>
        <v>25</v>
      </c>
      <c r="C41" s="243" t="s">
        <v>380</v>
      </c>
      <c r="D41" s="82">
        <v>2023</v>
      </c>
      <c r="E41" s="257" t="s">
        <v>887</v>
      </c>
      <c r="F41" s="59">
        <v>111075998.56999999</v>
      </c>
      <c r="G41" s="558"/>
      <c r="J41" s="6"/>
      <c r="K41" s="6"/>
    </row>
    <row r="42" spans="1:11">
      <c r="A42" s="2">
        <f t="shared" si="1"/>
        <v>26</v>
      </c>
      <c r="C42" s="243" t="s">
        <v>381</v>
      </c>
      <c r="D42" s="82">
        <v>2023</v>
      </c>
      <c r="E42" s="257" t="s">
        <v>887</v>
      </c>
      <c r="F42" s="59">
        <v>104999175.78</v>
      </c>
      <c r="G42" s="558"/>
      <c r="J42" s="6"/>
      <c r="K42" s="6"/>
    </row>
    <row r="43" spans="1:11">
      <c r="A43" s="2">
        <f t="shared" si="1"/>
        <v>27</v>
      </c>
      <c r="C43" s="243" t="s">
        <v>382</v>
      </c>
      <c r="D43" s="82">
        <v>2023</v>
      </c>
      <c r="E43" s="257" t="s">
        <v>887</v>
      </c>
      <c r="F43" s="59">
        <v>92637597.689999998</v>
      </c>
      <c r="G43" s="558"/>
      <c r="J43" s="6"/>
      <c r="K43" s="6"/>
    </row>
    <row r="44" spans="1:11">
      <c r="A44" s="2">
        <f t="shared" si="1"/>
        <v>28</v>
      </c>
      <c r="C44" s="243" t="s">
        <v>383</v>
      </c>
      <c r="D44" s="82">
        <v>2023</v>
      </c>
      <c r="E44" s="257" t="s">
        <v>887</v>
      </c>
      <c r="F44" s="59">
        <v>80680477.680000007</v>
      </c>
      <c r="G44" s="558"/>
      <c r="J44" s="6"/>
      <c r="K44" s="6"/>
    </row>
    <row r="45" spans="1:11">
      <c r="A45" s="2">
        <f t="shared" si="1"/>
        <v>29</v>
      </c>
      <c r="C45" s="243" t="s">
        <v>384</v>
      </c>
      <c r="D45" s="82">
        <v>2023</v>
      </c>
      <c r="E45" s="257" t="s">
        <v>887</v>
      </c>
      <c r="F45" s="117">
        <v>143135135.19</v>
      </c>
      <c r="G45" s="558"/>
      <c r="J45" s="6"/>
      <c r="K45" s="6"/>
    </row>
    <row r="46" spans="1:11">
      <c r="A46" s="2">
        <f t="shared" si="1"/>
        <v>30</v>
      </c>
      <c r="C46" s="14" t="s">
        <v>372</v>
      </c>
      <c r="D46" s="82">
        <v>2023</v>
      </c>
      <c r="E46" s="558" t="s">
        <v>1116</v>
      </c>
      <c r="F46" s="6">
        <f>F69</f>
        <v>99617531</v>
      </c>
      <c r="G46" s="558" t="s">
        <v>1117</v>
      </c>
    </row>
    <row r="47" spans="1:11">
      <c r="C47" s="14"/>
      <c r="D47" s="17"/>
      <c r="E47" s="16"/>
      <c r="F47" s="889"/>
      <c r="G47" s="12"/>
    </row>
    <row r="48" spans="1:11">
      <c r="C48" s="336" t="s">
        <v>1118</v>
      </c>
      <c r="D48" s="336"/>
      <c r="E48" s="305"/>
      <c r="G48" s="21"/>
    </row>
    <row r="49" spans="1:8">
      <c r="A49" s="2">
        <f>A46+1</f>
        <v>31</v>
      </c>
      <c r="C49" s="15"/>
      <c r="D49" s="15"/>
      <c r="E49" s="356" t="s">
        <v>1109</v>
      </c>
      <c r="F49" s="889">
        <f>SUM(F34:F46)/13</f>
        <v>171288652.62769228</v>
      </c>
      <c r="G49" s="12" t="str">
        <f>"(Sum Line "&amp;A34&amp;" to Line "&amp;A46&amp;") / 13"</f>
        <v>(Sum Line 18 to Line 30) / 13</v>
      </c>
    </row>
    <row r="50" spans="1:8">
      <c r="A50" s="2">
        <f>A49+1</f>
        <v>32</v>
      </c>
      <c r="C50" s="15"/>
      <c r="D50" s="15"/>
      <c r="E50" s="256" t="s">
        <v>1108</v>
      </c>
      <c r="F50" s="24">
        <f>'27-Allocators'!G15</f>
        <v>5.8811663225218191E-2</v>
      </c>
      <c r="G50" s="12" t="str">
        <f>"27-Allocators, Line "&amp;'27-Allocators'!A15&amp;""</f>
        <v>27-Allocators, Line 9</v>
      </c>
    </row>
    <row r="51" spans="1:8">
      <c r="A51" s="2">
        <f>A50+1</f>
        <v>33</v>
      </c>
      <c r="C51" s="15"/>
      <c r="D51" s="15"/>
      <c r="E51" s="22" t="s">
        <v>1119</v>
      </c>
      <c r="F51" s="889">
        <f>F49*F50</f>
        <v>10073770.552641224</v>
      </c>
      <c r="G51" s="234" t="str">
        <f>"Line "&amp;A49&amp;" * Line "&amp;A50&amp;""</f>
        <v>Line 31 * Line 32</v>
      </c>
    </row>
    <row r="52" spans="1:8">
      <c r="C52" s="15" t="s">
        <v>1120</v>
      </c>
      <c r="D52" s="15"/>
      <c r="E52" s="13"/>
      <c r="G52" s="23"/>
    </row>
    <row r="53" spans="1:8">
      <c r="A53" s="2">
        <f>A51+1</f>
        <v>34</v>
      </c>
      <c r="C53" s="15"/>
      <c r="D53" s="15"/>
      <c r="E53" s="22" t="s">
        <v>646</v>
      </c>
      <c r="F53" s="889">
        <f>F46</f>
        <v>99617531</v>
      </c>
      <c r="G53" s="23" t="str">
        <f>"Line "&amp;A46&amp;""</f>
        <v>Line 30</v>
      </c>
    </row>
    <row r="54" spans="1:8">
      <c r="A54" s="2">
        <f>A53+1</f>
        <v>35</v>
      </c>
      <c r="C54" s="15"/>
      <c r="D54" s="15"/>
      <c r="E54" s="22" t="s">
        <v>1108</v>
      </c>
      <c r="F54" s="24">
        <f>'27-Allocators'!G15</f>
        <v>5.8811663225218191E-2</v>
      </c>
      <c r="G54" s="12" t="str">
        <f>"27-Allocators, Line "&amp;'27-Allocators'!A15&amp;""</f>
        <v>27-Allocators, Line 9</v>
      </c>
    </row>
    <row r="55" spans="1:8">
      <c r="A55" s="2">
        <f>A54+1</f>
        <v>36</v>
      </c>
      <c r="C55" s="15"/>
      <c r="D55" s="15"/>
      <c r="E55" s="22" t="s">
        <v>1119</v>
      </c>
      <c r="F55" s="889">
        <f>F53*F54</f>
        <v>5858672.6844997332</v>
      </c>
      <c r="G55" s="234" t="str">
        <f>"Line "&amp;A53&amp;" * Line "&amp;A54&amp;""</f>
        <v>Line 34 * Line 35</v>
      </c>
    </row>
    <row r="56" spans="1:8">
      <c r="B56" s="30" t="s">
        <v>226</v>
      </c>
      <c r="C56" s="235"/>
      <c r="D56" s="235"/>
      <c r="E56" s="235"/>
      <c r="F56" s="235"/>
      <c r="G56" s="235"/>
    </row>
    <row r="57" spans="1:8">
      <c r="B57" s="235" t="s">
        <v>1121</v>
      </c>
      <c r="C57" s="235" t="str">
        <f>"Remove any amounts related to years prior to 2012 on "&amp;B62&amp;" and "&amp;B68&amp;" below."</f>
        <v>Remove any amounts related to years prior to 2012 on b and e below.</v>
      </c>
      <c r="D57" s="235"/>
      <c r="E57" s="235"/>
      <c r="F57" s="235"/>
      <c r="G57" s="235"/>
    </row>
    <row r="58" spans="1:8">
      <c r="A58" s="2"/>
      <c r="B58" s="235"/>
      <c r="C58" s="235"/>
      <c r="D58" s="235"/>
      <c r="E58" s="233"/>
      <c r="F58" s="237"/>
      <c r="G58" s="234"/>
      <c r="H58" s="1"/>
    </row>
    <row r="59" spans="1:8">
      <c r="A59" s="2"/>
      <c r="B59" s="235"/>
      <c r="C59" s="235" t="s">
        <v>1122</v>
      </c>
      <c r="D59" s="235"/>
      <c r="E59" s="233"/>
      <c r="F59" s="559" t="s">
        <v>110</v>
      </c>
      <c r="G59" s="234"/>
    </row>
    <row r="60" spans="1:8">
      <c r="A60" s="2"/>
      <c r="B60" s="235"/>
      <c r="C60" s="235"/>
      <c r="D60" s="235"/>
      <c r="E60" s="233"/>
      <c r="F60" s="330" t="s">
        <v>654</v>
      </c>
      <c r="G60" s="196" t="s">
        <v>644</v>
      </c>
    </row>
    <row r="61" spans="1:8">
      <c r="A61" s="2"/>
      <c r="B61" s="2" t="s">
        <v>508</v>
      </c>
      <c r="C61" s="305"/>
      <c r="D61" s="235"/>
      <c r="E61" s="233" t="s">
        <v>1123</v>
      </c>
      <c r="F61" s="563">
        <v>283844402</v>
      </c>
      <c r="G61" s="558" t="s">
        <v>1124</v>
      </c>
    </row>
    <row r="62" spans="1:8">
      <c r="A62" s="2"/>
      <c r="B62" s="2" t="s">
        <v>511</v>
      </c>
      <c r="C62" s="235"/>
      <c r="D62" s="235"/>
      <c r="E62" s="233" t="s">
        <v>1125</v>
      </c>
      <c r="F62" s="61"/>
      <c r="G62" s="234" t="s">
        <v>144</v>
      </c>
    </row>
    <row r="63" spans="1:8">
      <c r="A63" s="2"/>
      <c r="B63" s="2" t="s">
        <v>514</v>
      </c>
      <c r="C63" s="235"/>
      <c r="D63" s="235"/>
      <c r="E63" s="233" t="s">
        <v>1126</v>
      </c>
      <c r="F63" s="237">
        <f>F61-F62</f>
        <v>283844402</v>
      </c>
      <c r="G63" s="234" t="str">
        <f>""&amp;B61&amp;" - "&amp;B62&amp;""</f>
        <v>a - b</v>
      </c>
    </row>
    <row r="64" spans="1:8">
      <c r="A64" s="2"/>
      <c r="B64" s="235"/>
      <c r="C64" s="235"/>
      <c r="D64" s="235"/>
      <c r="E64" s="235"/>
      <c r="F64" s="235"/>
      <c r="G64" s="235"/>
    </row>
    <row r="65" spans="1:7">
      <c r="A65" s="2"/>
      <c r="B65" s="235"/>
      <c r="C65" s="235" t="s">
        <v>1127</v>
      </c>
      <c r="D65" s="235"/>
      <c r="E65" s="233"/>
      <c r="F65" s="559" t="s">
        <v>110</v>
      </c>
      <c r="G65" s="234"/>
    </row>
    <row r="66" spans="1:7">
      <c r="A66" s="2"/>
      <c r="B66" s="235"/>
      <c r="C66" s="235"/>
      <c r="D66" s="235"/>
      <c r="E66" s="233"/>
      <c r="F66" s="330" t="s">
        <v>654</v>
      </c>
      <c r="G66" s="196" t="s">
        <v>644</v>
      </c>
    </row>
    <row r="67" spans="1:7">
      <c r="A67" s="2"/>
      <c r="B67" s="2" t="s">
        <v>516</v>
      </c>
      <c r="C67" s="305"/>
      <c r="D67" s="235"/>
      <c r="E67" s="233" t="s">
        <v>1123</v>
      </c>
      <c r="F67" s="563">
        <v>99617531</v>
      </c>
      <c r="G67" s="558" t="s">
        <v>1128</v>
      </c>
    </row>
    <row r="68" spans="1:7">
      <c r="A68" s="2"/>
      <c r="B68" s="2" t="s">
        <v>520</v>
      </c>
      <c r="C68" s="235"/>
      <c r="D68" s="235"/>
      <c r="E68" s="233" t="s">
        <v>1125</v>
      </c>
      <c r="F68" s="61"/>
      <c r="G68" s="234" t="s">
        <v>144</v>
      </c>
    </row>
    <row r="69" spans="1:7">
      <c r="A69" s="2"/>
      <c r="B69" s="2" t="s">
        <v>523</v>
      </c>
      <c r="C69" s="235"/>
      <c r="D69" s="235"/>
      <c r="E69" s="233" t="s">
        <v>1129</v>
      </c>
      <c r="F69" s="237">
        <f>F67-F68</f>
        <v>99617531</v>
      </c>
      <c r="G69" s="234" t="str">
        <f>""&amp;B67&amp;" - "&amp;B68&amp;""</f>
        <v>d - e</v>
      </c>
    </row>
    <row r="73" spans="1:7">
      <c r="F73" s="287"/>
    </row>
  </sheetData>
  <phoneticPr fontId="23" type="noConversion"/>
  <pageMargins left="0.75" right="0.75" top="1" bottom="1" header="0.5" footer="0.5"/>
  <pageSetup scale="72" orientation="portrait" cellComments="asDisplayed" r:id="rId1"/>
  <headerFooter alignWithMargins="0">
    <oddHeader>&amp;CSchedule 13
Working Capital
&amp;RTO2025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election activeCell="B1" sqref="A1:B1"/>
    </sheetView>
  </sheetViews>
  <sheetFormatPr defaultRowHeight="12.75"/>
  <cols>
    <col min="1" max="1" width="2.5703125" customWidth="1"/>
    <col min="2" max="2" width="20" customWidth="1"/>
    <col min="3" max="3" width="10.5703125" customWidth="1"/>
    <col min="4" max="4" width="66.5703125" customWidth="1"/>
  </cols>
  <sheetData>
    <row r="1" spans="1:4">
      <c r="A1" s="1" t="s">
        <v>1</v>
      </c>
      <c r="C1" s="1"/>
    </row>
    <row r="3" spans="1:4">
      <c r="B3" s="3" t="s">
        <v>2</v>
      </c>
      <c r="C3" s="3" t="s">
        <v>3</v>
      </c>
      <c r="D3" s="196" t="s">
        <v>4</v>
      </c>
    </row>
    <row r="4" spans="1:4">
      <c r="B4" s="189" t="s">
        <v>0</v>
      </c>
      <c r="C4" s="37"/>
      <c r="D4" s="235" t="s">
        <v>5</v>
      </c>
    </row>
    <row r="5" spans="1:4">
      <c r="B5" s="189" t="s">
        <v>6</v>
      </c>
      <c r="C5" s="37">
        <v>1</v>
      </c>
      <c r="D5" s="235" t="s">
        <v>7</v>
      </c>
    </row>
    <row r="6" spans="1:4">
      <c r="B6" s="189" t="s">
        <v>8</v>
      </c>
      <c r="C6" s="37">
        <v>2</v>
      </c>
      <c r="D6" s="235" t="s">
        <v>9</v>
      </c>
    </row>
    <row r="7" spans="1:4">
      <c r="B7" s="189" t="s">
        <v>10</v>
      </c>
      <c r="C7" s="37">
        <v>3</v>
      </c>
      <c r="D7" s="235" t="s">
        <v>11</v>
      </c>
    </row>
    <row r="8" spans="1:4">
      <c r="B8" s="189" t="s">
        <v>12</v>
      </c>
      <c r="C8" s="37">
        <v>4</v>
      </c>
      <c r="D8" s="235" t="s">
        <v>13</v>
      </c>
    </row>
    <row r="9" spans="1:4">
      <c r="B9" s="189" t="s">
        <v>14</v>
      </c>
      <c r="C9" s="37">
        <v>5</v>
      </c>
      <c r="D9" s="235" t="s">
        <v>15</v>
      </c>
    </row>
    <row r="10" spans="1:4">
      <c r="B10" s="189" t="s">
        <v>16</v>
      </c>
      <c r="C10" s="37">
        <v>6</v>
      </c>
      <c r="D10" s="235" t="s">
        <v>17</v>
      </c>
    </row>
    <row r="11" spans="1:4">
      <c r="B11" s="189" t="s">
        <v>18</v>
      </c>
      <c r="C11" s="37">
        <v>7</v>
      </c>
      <c r="D11" s="235" t="s">
        <v>19</v>
      </c>
    </row>
    <row r="12" spans="1:4">
      <c r="B12" s="189" t="s">
        <v>20</v>
      </c>
      <c r="C12" s="37">
        <v>8</v>
      </c>
      <c r="D12" s="235" t="s">
        <v>21</v>
      </c>
    </row>
    <row r="13" spans="1:4">
      <c r="B13" s="189" t="s">
        <v>22</v>
      </c>
      <c r="C13" s="37">
        <v>9</v>
      </c>
      <c r="D13" s="235" t="s">
        <v>23</v>
      </c>
    </row>
    <row r="14" spans="1:4">
      <c r="B14" s="189" t="s">
        <v>24</v>
      </c>
      <c r="C14" s="37">
        <v>10</v>
      </c>
      <c r="D14" s="235" t="s">
        <v>25</v>
      </c>
    </row>
    <row r="15" spans="1:4">
      <c r="B15" s="189" t="s">
        <v>26</v>
      </c>
      <c r="C15" s="37">
        <v>11</v>
      </c>
      <c r="D15" s="235" t="s">
        <v>27</v>
      </c>
    </row>
    <row r="16" spans="1:4">
      <c r="B16" s="189" t="s">
        <v>28</v>
      </c>
      <c r="C16" s="37">
        <v>12</v>
      </c>
      <c r="D16" s="235" t="s">
        <v>29</v>
      </c>
    </row>
    <row r="17" spans="2:4">
      <c r="B17" s="189" t="s">
        <v>30</v>
      </c>
      <c r="C17" s="37">
        <v>13</v>
      </c>
      <c r="D17" s="235" t="s">
        <v>31</v>
      </c>
    </row>
    <row r="18" spans="2:4">
      <c r="B18" s="189" t="s">
        <v>32</v>
      </c>
      <c r="C18" s="37">
        <v>14</v>
      </c>
      <c r="D18" s="235" t="s">
        <v>33</v>
      </c>
    </row>
    <row r="19" spans="2:4">
      <c r="B19" s="189" t="s">
        <v>34</v>
      </c>
      <c r="C19" s="37">
        <v>15</v>
      </c>
      <c r="D19" s="235" t="s">
        <v>35</v>
      </c>
    </row>
    <row r="20" spans="2:4">
      <c r="B20" s="189" t="s">
        <v>36</v>
      </c>
      <c r="C20" s="37">
        <v>16</v>
      </c>
      <c r="D20" s="235" t="s">
        <v>37</v>
      </c>
    </row>
    <row r="21" spans="2:4">
      <c r="B21" s="189" t="s">
        <v>38</v>
      </c>
      <c r="C21" s="37">
        <v>17</v>
      </c>
      <c r="D21" s="235" t="s">
        <v>39</v>
      </c>
    </row>
    <row r="22" spans="2:4">
      <c r="B22" s="189" t="s">
        <v>40</v>
      </c>
      <c r="C22" s="37">
        <v>18</v>
      </c>
      <c r="D22" s="235" t="s">
        <v>41</v>
      </c>
    </row>
    <row r="23" spans="2:4">
      <c r="B23" s="189" t="s">
        <v>42</v>
      </c>
      <c r="C23" s="37">
        <v>19</v>
      </c>
      <c r="D23" s="235" t="s">
        <v>43</v>
      </c>
    </row>
    <row r="24" spans="2:4">
      <c r="B24" s="189" t="s">
        <v>44</v>
      </c>
      <c r="C24" s="37">
        <v>20</v>
      </c>
      <c r="D24" s="235" t="s">
        <v>45</v>
      </c>
    </row>
    <row r="25" spans="2:4">
      <c r="B25" s="189" t="s">
        <v>46</v>
      </c>
      <c r="C25" s="37">
        <v>21</v>
      </c>
      <c r="D25" s="235" t="s">
        <v>47</v>
      </c>
    </row>
    <row r="26" spans="2:4">
      <c r="B26" s="189" t="s">
        <v>48</v>
      </c>
      <c r="C26" s="37">
        <v>22</v>
      </c>
      <c r="D26" s="235" t="s">
        <v>49</v>
      </c>
    </row>
    <row r="27" spans="2:4">
      <c r="B27" s="189" t="s">
        <v>50</v>
      </c>
      <c r="C27" s="37">
        <v>23</v>
      </c>
      <c r="D27" s="235" t="s">
        <v>51</v>
      </c>
    </row>
    <row r="28" spans="2:4" ht="12.75" customHeight="1">
      <c r="B28" s="189" t="s">
        <v>52</v>
      </c>
      <c r="C28" s="37">
        <v>24</v>
      </c>
      <c r="D28" s="235" t="s">
        <v>53</v>
      </c>
    </row>
    <row r="29" spans="2:4">
      <c r="B29" s="189" t="s">
        <v>54</v>
      </c>
      <c r="C29" s="37">
        <v>25</v>
      </c>
      <c r="D29" s="235" t="s">
        <v>55</v>
      </c>
    </row>
    <row r="30" spans="2:4">
      <c r="B30" s="189" t="s">
        <v>56</v>
      </c>
      <c r="C30" s="37">
        <v>26</v>
      </c>
      <c r="D30" s="235" t="s">
        <v>57</v>
      </c>
    </row>
    <row r="31" spans="2:4">
      <c r="B31" s="189" t="s">
        <v>58</v>
      </c>
      <c r="C31" s="37">
        <v>27</v>
      </c>
      <c r="D31" s="235" t="s">
        <v>59</v>
      </c>
    </row>
    <row r="32" spans="2:4">
      <c r="B32" s="189" t="s">
        <v>60</v>
      </c>
      <c r="C32" s="37">
        <v>28</v>
      </c>
      <c r="D32" s="235" t="s">
        <v>61</v>
      </c>
    </row>
    <row r="33" spans="2:4">
      <c r="B33" s="189" t="s">
        <v>62</v>
      </c>
      <c r="C33" s="37">
        <v>29</v>
      </c>
      <c r="D33" s="235" t="s">
        <v>63</v>
      </c>
    </row>
    <row r="34" spans="2:4">
      <c r="B34" s="189" t="s">
        <v>64</v>
      </c>
      <c r="C34" s="37">
        <v>30</v>
      </c>
      <c r="D34" s="235" t="s">
        <v>65</v>
      </c>
    </row>
    <row r="35" spans="2:4">
      <c r="B35" s="189" t="s">
        <v>66</v>
      </c>
      <c r="C35" s="37">
        <v>31</v>
      </c>
      <c r="D35" s="235" t="s">
        <v>67</v>
      </c>
    </row>
    <row r="36" spans="2:4">
      <c r="B36" s="189" t="s">
        <v>68</v>
      </c>
      <c r="C36" s="37">
        <v>32</v>
      </c>
      <c r="D36" s="235" t="s">
        <v>69</v>
      </c>
    </row>
    <row r="37" spans="2:4">
      <c r="B37" s="189" t="s">
        <v>70</v>
      </c>
      <c r="C37" s="37">
        <v>33</v>
      </c>
      <c r="D37" s="235" t="s">
        <v>71</v>
      </c>
    </row>
    <row r="38" spans="2:4">
      <c r="B38" s="189" t="s">
        <v>72</v>
      </c>
      <c r="C38" s="37">
        <v>34</v>
      </c>
      <c r="D38" s="235" t="s">
        <v>73</v>
      </c>
    </row>
    <row r="39" spans="2:4">
      <c r="B39" s="189" t="s">
        <v>74</v>
      </c>
      <c r="C39" s="236">
        <v>35</v>
      </c>
      <c r="D39" s="235" t="s">
        <v>75</v>
      </c>
    </row>
    <row r="40" spans="2:4">
      <c r="B40" s="235"/>
    </row>
    <row r="41" spans="2:4">
      <c r="B41" s="235"/>
    </row>
    <row r="42" spans="2:4">
      <c r="B42" s="235"/>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&amp;RTO2025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92"/>
  <sheetViews>
    <sheetView zoomScaleNormal="100" zoomScalePageLayoutView="80" workbookViewId="0"/>
  </sheetViews>
  <sheetFormatPr defaultRowHeight="12.75"/>
  <cols>
    <col min="1" max="1" width="4.5703125" customWidth="1"/>
    <col min="2" max="2" width="3.5703125" customWidth="1"/>
    <col min="3" max="3" width="16.5703125" customWidth="1"/>
    <col min="4" max="4" width="9.5703125" customWidth="1"/>
    <col min="5" max="8" width="15.5703125" customWidth="1"/>
    <col min="9" max="11" width="14.5703125" customWidth="1"/>
  </cols>
  <sheetData>
    <row r="1" spans="1:10">
      <c r="A1" s="1" t="s">
        <v>1130</v>
      </c>
    </row>
    <row r="2" spans="1:10">
      <c r="A2" s="1" t="s">
        <v>1131</v>
      </c>
      <c r="E2" s="39" t="s">
        <v>193</v>
      </c>
      <c r="F2" s="242" t="s">
        <v>1132</v>
      </c>
      <c r="G2" s="54"/>
    </row>
    <row r="3" spans="1:10">
      <c r="B3" s="1"/>
      <c r="H3" s="242" t="s">
        <v>1061</v>
      </c>
      <c r="I3" s="54"/>
      <c r="J3" s="35"/>
    </row>
    <row r="4" spans="1:10">
      <c r="B4" s="1" t="s">
        <v>1133</v>
      </c>
      <c r="H4" s="618"/>
    </row>
    <row r="5" spans="1:10">
      <c r="B5" s="34" t="s">
        <v>1134</v>
      </c>
    </row>
    <row r="6" spans="1:10">
      <c r="B6" s="34" t="s">
        <v>1135</v>
      </c>
    </row>
    <row r="7" spans="1:10">
      <c r="B7" s="58" t="s">
        <v>1136</v>
      </c>
    </row>
    <row r="8" spans="1:10">
      <c r="B8" s="58" t="s">
        <v>1137</v>
      </c>
    </row>
    <row r="9" spans="1:10">
      <c r="B9" s="58" t="s">
        <v>1138</v>
      </c>
      <c r="D9" s="1"/>
      <c r="E9" s="1"/>
    </row>
    <row r="10" spans="1:10">
      <c r="B10" s="34"/>
    </row>
    <row r="11" spans="1:10">
      <c r="B11" s="34"/>
      <c r="C11" s="235" t="s">
        <v>1139</v>
      </c>
    </row>
    <row r="12" spans="1:10">
      <c r="B12" s="34"/>
      <c r="C12" s="234" t="s">
        <v>1140</v>
      </c>
    </row>
    <row r="13" spans="1:10">
      <c r="B13" s="34"/>
      <c r="C13" s="234" t="s">
        <v>1141</v>
      </c>
    </row>
    <row r="14" spans="1:10">
      <c r="B14" s="34"/>
      <c r="C14" s="234" t="s">
        <v>1142</v>
      </c>
    </row>
    <row r="15" spans="1:10">
      <c r="B15" s="34"/>
      <c r="C15" s="249" t="s">
        <v>1143</v>
      </c>
    </row>
    <row r="16" spans="1:10">
      <c r="B16" s="34"/>
      <c r="C16" s="234" t="s">
        <v>1144</v>
      </c>
    </row>
    <row r="17" spans="1:10">
      <c r="B17" s="34"/>
      <c r="C17" s="234" t="s">
        <v>1145</v>
      </c>
    </row>
    <row r="18" spans="1:10">
      <c r="B18" s="34"/>
      <c r="C18" s="234"/>
    </row>
    <row r="19" spans="1:10">
      <c r="C19" s="1" t="s">
        <v>1146</v>
      </c>
    </row>
    <row r="20" spans="1:10">
      <c r="C20" s="1"/>
      <c r="E20" s="3" t="s">
        <v>329</v>
      </c>
      <c r="F20" s="3" t="s">
        <v>330</v>
      </c>
      <c r="G20" s="3" t="s">
        <v>331</v>
      </c>
    </row>
    <row r="21" spans="1:10">
      <c r="B21" s="1"/>
      <c r="F21" s="2" t="s">
        <v>852</v>
      </c>
      <c r="G21" s="2" t="s">
        <v>981</v>
      </c>
    </row>
    <row r="22" spans="1:10">
      <c r="B22" s="1"/>
      <c r="E22" s="2" t="s">
        <v>852</v>
      </c>
      <c r="F22" s="4" t="s">
        <v>1147</v>
      </c>
      <c r="G22" s="2" t="s">
        <v>1148</v>
      </c>
    </row>
    <row r="23" spans="1:10">
      <c r="B23" s="1"/>
      <c r="C23" s="235"/>
      <c r="E23" s="2" t="s">
        <v>1149</v>
      </c>
      <c r="F23" s="2" t="s">
        <v>791</v>
      </c>
      <c r="G23" s="2" t="s">
        <v>24</v>
      </c>
    </row>
    <row r="24" spans="1:10">
      <c r="B24" s="1"/>
      <c r="C24" s="2" t="s">
        <v>1150</v>
      </c>
      <c r="E24" s="2" t="s">
        <v>120</v>
      </c>
      <c r="F24" s="2" t="s">
        <v>120</v>
      </c>
      <c r="G24" s="4" t="s">
        <v>466</v>
      </c>
    </row>
    <row r="25" spans="1:10">
      <c r="A25" s="30" t="s">
        <v>266</v>
      </c>
      <c r="B25" s="1"/>
      <c r="C25" s="3" t="s">
        <v>1065</v>
      </c>
      <c r="E25" s="3" t="s">
        <v>79</v>
      </c>
      <c r="F25" s="3" t="s">
        <v>79</v>
      </c>
      <c r="G25" s="3" t="s">
        <v>79</v>
      </c>
      <c r="H25" s="3" t="s">
        <v>226</v>
      </c>
      <c r="I25" s="278"/>
      <c r="J25" s="278"/>
    </row>
    <row r="26" spans="1:10">
      <c r="A26" s="2">
        <v>1</v>
      </c>
      <c r="B26" s="1"/>
      <c r="C26" s="235" t="s">
        <v>1151</v>
      </c>
      <c r="E26" s="6">
        <f>'10-CWIP'!E25</f>
        <v>614003.74</v>
      </c>
      <c r="F26" s="6">
        <f>'10-CWIP'!E26</f>
        <v>575485.73846153845</v>
      </c>
      <c r="G26" s="6">
        <f>'10-CWIP'!K113</f>
        <v>-425079.51230769238</v>
      </c>
      <c r="H26" s="234" t="str">
        <f>"10-CWIP Lines "&amp;'10-CWIP'!A25&amp;", "&amp;'10-CWIP'!A26&amp;", and "&amp;'10-CWIP'!A113&amp;""</f>
        <v>10-CWIP Lines 13, 14, and 80</v>
      </c>
    </row>
    <row r="27" spans="1:10">
      <c r="A27" s="2">
        <f t="shared" ref="A27:A40" si="0">A26+1</f>
        <v>2</v>
      </c>
      <c r="B27" s="1"/>
      <c r="C27" s="235" t="s">
        <v>1152</v>
      </c>
      <c r="E27" s="6">
        <f>'10-CWIP'!F25</f>
        <v>0</v>
      </c>
      <c r="F27" s="6">
        <f>'10-CWIP'!F26</f>
        <v>0</v>
      </c>
      <c r="G27" s="6">
        <f>'10-CWIP'!K146</f>
        <v>0</v>
      </c>
      <c r="H27" s="234" t="str">
        <f>"10-CWIP Lines "&amp;'10-CWIP'!A25&amp;", "&amp;'10-CWIP'!A26&amp;", and "&amp;'10-CWIP'!A146&amp;""</f>
        <v>10-CWIP Lines 13, 14, and 106</v>
      </c>
    </row>
    <row r="28" spans="1:10">
      <c r="A28" s="2">
        <f t="shared" si="0"/>
        <v>3</v>
      </c>
      <c r="B28" s="1"/>
      <c r="C28" s="235" t="s">
        <v>1153</v>
      </c>
      <c r="E28" s="6">
        <f>'10-CWIP'!G25</f>
        <v>6574677.9400000004</v>
      </c>
      <c r="F28" s="6">
        <f>'10-CWIP'!G26</f>
        <v>6420387.616923077</v>
      </c>
      <c r="G28" s="6">
        <f>'10-CWIP'!K179</f>
        <v>2567430.769230769</v>
      </c>
      <c r="H28" s="234" t="str">
        <f>"10-CWIP Lines "&amp;'10-CWIP'!A25&amp;", "&amp;'10-CWIP'!A26&amp;", and "&amp;'10-CWIP'!A179&amp;""</f>
        <v>10-CWIP Lines 13, 14, and 132</v>
      </c>
    </row>
    <row r="29" spans="1:10">
      <c r="A29" s="2">
        <f t="shared" si="0"/>
        <v>4</v>
      </c>
      <c r="B29" s="1"/>
      <c r="C29" s="235" t="s">
        <v>1154</v>
      </c>
      <c r="E29" s="6">
        <f>'10-CWIP'!H25</f>
        <v>6858895.8200000003</v>
      </c>
      <c r="F29" s="6">
        <f>'10-CWIP'!H26</f>
        <v>1559345.7638461539</v>
      </c>
      <c r="G29" s="6">
        <f>'10-CWIP'!K212</f>
        <v>-6858895.8199999994</v>
      </c>
      <c r="H29" s="234" t="str">
        <f>"10-CWIP Lines "&amp;'10-CWIP'!A25&amp;", "&amp;'10-CWIP'!A26&amp;", and "&amp;'10-CWIP'!A212&amp;""</f>
        <v>10-CWIP Lines 13, 14, and 158</v>
      </c>
    </row>
    <row r="30" spans="1:10">
      <c r="A30" s="2">
        <f t="shared" si="0"/>
        <v>5</v>
      </c>
      <c r="B30" s="1"/>
      <c r="C30" s="235" t="s">
        <v>1155</v>
      </c>
      <c r="E30" s="6">
        <f>'10-CWIP'!I25</f>
        <v>0</v>
      </c>
      <c r="F30" s="6">
        <f>'10-CWIP'!I26</f>
        <v>0</v>
      </c>
      <c r="G30" s="6">
        <f>'10-CWIP'!K245</f>
        <v>0</v>
      </c>
      <c r="H30" s="234" t="str">
        <f>"10-CWIP Lines "&amp;'10-CWIP'!A25&amp;", "&amp;'10-CWIP'!A26&amp;", and "&amp;'10-CWIP'!A245&amp;""</f>
        <v>10-CWIP Lines 13, 14, and 184</v>
      </c>
    </row>
    <row r="31" spans="1:10">
      <c r="A31" s="2">
        <f t="shared" si="0"/>
        <v>6</v>
      </c>
      <c r="B31" s="1"/>
      <c r="C31" s="235" t="s">
        <v>1156</v>
      </c>
      <c r="E31" s="6">
        <f>'10-CWIP'!D45</f>
        <v>0</v>
      </c>
      <c r="F31" s="6">
        <f>'10-CWIP'!D46</f>
        <v>0</v>
      </c>
      <c r="G31" s="6">
        <f>'10-CWIP'!K278</f>
        <v>0</v>
      </c>
      <c r="H31" s="234" t="str">
        <f>"10-CWIP Lines "&amp;'10-CWIP'!A45&amp;", "&amp;'10-CWIP'!A46&amp;", and "&amp;'10-CWIP'!A278&amp;""</f>
        <v>10-CWIP Lines 27, 28, and 210</v>
      </c>
    </row>
    <row r="32" spans="1:10">
      <c r="A32" s="2">
        <f t="shared" si="0"/>
        <v>7</v>
      </c>
      <c r="B32" s="1"/>
      <c r="C32" s="235" t="s">
        <v>1157</v>
      </c>
      <c r="E32" s="6">
        <f>'10-CWIP'!E45</f>
        <v>0</v>
      </c>
      <c r="F32" s="6">
        <f>'10-CWIP'!E46</f>
        <v>1.1784615384615384</v>
      </c>
      <c r="G32" s="6">
        <f>'10-CWIP'!K311</f>
        <v>0</v>
      </c>
      <c r="H32" s="234" t="str">
        <f>"10-CWIP Lines "&amp;'10-CWIP'!A45&amp;", "&amp;'10-CWIP'!A46&amp;", and "&amp;'10-CWIP'!A311&amp;""</f>
        <v>10-CWIP Lines 27, 28, and 236</v>
      </c>
    </row>
    <row r="33" spans="1:9">
      <c r="A33" s="2">
        <f t="shared" si="0"/>
        <v>8</v>
      </c>
      <c r="B33" s="1"/>
      <c r="C33" s="235" t="s">
        <v>1158</v>
      </c>
      <c r="E33" s="6">
        <f>'10-CWIP'!F45</f>
        <v>0</v>
      </c>
      <c r="F33" s="6">
        <f>'10-CWIP'!F46</f>
        <v>1192.9884615384615</v>
      </c>
      <c r="G33" s="6">
        <f>'10-CWIP'!K344</f>
        <v>2860326.923076923</v>
      </c>
      <c r="H33" s="234" t="str">
        <f>"10-CWIP Lines "&amp;'10-CWIP'!A45&amp;", "&amp;'10-CWIP'!A46&amp;", and "&amp;'10-CWIP'!A344&amp;""</f>
        <v>10-CWIP Lines 27, 28, and 262</v>
      </c>
    </row>
    <row r="34" spans="1:9">
      <c r="A34" s="2">
        <f t="shared" si="0"/>
        <v>9</v>
      </c>
      <c r="B34" s="1"/>
      <c r="C34" s="235" t="s">
        <v>1159</v>
      </c>
      <c r="E34" s="6">
        <f>'10-CWIP'!G45</f>
        <v>27427584.16</v>
      </c>
      <c r="F34" s="6">
        <f>'10-CWIP'!G46</f>
        <v>26960755.510000005</v>
      </c>
      <c r="G34" s="6">
        <f>'10-CWIP'!K377</f>
        <v>1776561.5384615385</v>
      </c>
      <c r="H34" s="234" t="str">
        <f>"10-CWIP Lines "&amp;'10-CWIP'!A45&amp;", "&amp;'10-CWIP'!A46&amp;", and "&amp;'10-CWIP'!A377&amp;""</f>
        <v>10-CWIP Lines 27, 28, and 288</v>
      </c>
    </row>
    <row r="35" spans="1:9">
      <c r="A35" s="2">
        <f t="shared" si="0"/>
        <v>10</v>
      </c>
      <c r="B35" s="1"/>
      <c r="C35" s="235" t="s">
        <v>1160</v>
      </c>
      <c r="E35" s="6">
        <f>'10-CWIP'!H45</f>
        <v>235446401.27000001</v>
      </c>
      <c r="F35" s="6">
        <f>'10-CWIP'!H46</f>
        <v>225661352.90769228</v>
      </c>
      <c r="G35" s="6">
        <f>'10-CWIP'!K410</f>
        <v>-225389773.38538456</v>
      </c>
      <c r="H35" s="234" t="str">
        <f>"10-CWIP Lines "&amp;'10-CWIP'!A45&amp;", "&amp;'10-CWIP'!A46&amp;", and "&amp;'10-CWIP'!A410&amp;""</f>
        <v>10-CWIP Lines 27, 28, and 314</v>
      </c>
    </row>
    <row r="36" spans="1:9">
      <c r="A36" s="2">
        <f t="shared" si="0"/>
        <v>11</v>
      </c>
      <c r="B36" s="1"/>
      <c r="C36" s="235" t="s">
        <v>1161</v>
      </c>
      <c r="E36" s="6">
        <f>'10-CWIP'!I45</f>
        <v>33737373.600000001</v>
      </c>
      <c r="F36" s="6">
        <f>'10-CWIP'!I46</f>
        <v>35141402.340000004</v>
      </c>
      <c r="G36" s="6">
        <f>'10-CWIP'!K443</f>
        <v>41384923.507807657</v>
      </c>
      <c r="H36" s="234" t="str">
        <f>"10-CWIP Lines "&amp;'10-CWIP'!A45&amp;", "&amp;'10-CWIP'!A46&amp;", and "&amp;'10-CWIP'!A443&amp;""</f>
        <v>10-CWIP Lines 27, 28, and 340</v>
      </c>
    </row>
    <row r="37" spans="1:9">
      <c r="A37" s="2">
        <f t="shared" si="0"/>
        <v>12</v>
      </c>
      <c r="B37" s="1"/>
      <c r="C37" s="1094" t="s">
        <v>2958</v>
      </c>
      <c r="D37" s="242"/>
      <c r="E37" s="237">
        <f>'10-CWIP'!J45</f>
        <v>0</v>
      </c>
      <c r="F37" s="6">
        <f>'10-CWIP'!J46</f>
        <v>0</v>
      </c>
      <c r="G37" s="6">
        <f>'10-CWIP'!K476</f>
        <v>0</v>
      </c>
      <c r="H37" s="234" t="str">
        <f>"10-CWIP Lines "&amp;'10-CWIP'!A45&amp;", "&amp;'10-CWIP'!A46&amp;", and "&amp;'10-CWIP'!A476&amp;""</f>
        <v>10-CWIP Lines 27, 28, and 366</v>
      </c>
      <c r="I37" s="235"/>
    </row>
    <row r="38" spans="1:9">
      <c r="A38" s="2">
        <f t="shared" si="0"/>
        <v>13</v>
      </c>
      <c r="B38" s="1"/>
      <c r="C38" s="1094" t="s">
        <v>2956</v>
      </c>
      <c r="D38" s="242"/>
      <c r="E38" s="237">
        <f>'10-CWIP'!K45</f>
        <v>0</v>
      </c>
      <c r="F38" s="237">
        <f>'10-CWIP'!K46</f>
        <v>0</v>
      </c>
      <c r="G38" s="6">
        <f>'10-CWIP'!K509</f>
        <v>0</v>
      </c>
      <c r="H38" s="234" t="str">
        <f>"10-CWIP Lines "&amp;'10-CWIP'!A45&amp;", "&amp;'10-CWIP'!A46&amp;", and "&amp;'10-CWIP'!A509&amp;""</f>
        <v>10-CWIP Lines 27, 28, and 392</v>
      </c>
      <c r="I38" s="235"/>
    </row>
    <row r="39" spans="1:9">
      <c r="A39" s="2">
        <f t="shared" si="0"/>
        <v>14</v>
      </c>
      <c r="B39" s="1"/>
      <c r="C39" s="1094" t="s">
        <v>2961</v>
      </c>
      <c r="D39" s="242"/>
      <c r="E39" s="36">
        <f>'10-CWIP'!L45</f>
        <v>0</v>
      </c>
      <c r="F39" s="36">
        <f>'10-CWIP'!L46</f>
        <v>0</v>
      </c>
      <c r="G39" s="798">
        <f>'10-CWIP'!K542</f>
        <v>0</v>
      </c>
      <c r="H39" s="234" t="str">
        <f>"10-CWIP Lines "&amp;'10-CWIP'!A45&amp;", "&amp;'10-CWIP'!A46&amp;", and "&amp;'10-CWIP'!A542&amp;""</f>
        <v>10-CWIP Lines 27, 28, and 418</v>
      </c>
      <c r="I39" s="235"/>
    </row>
    <row r="40" spans="1:9">
      <c r="A40" s="2">
        <f t="shared" si="0"/>
        <v>15</v>
      </c>
      <c r="B40" s="1"/>
      <c r="D40" s="25" t="s">
        <v>424</v>
      </c>
      <c r="E40" s="6">
        <f>SUM(E26:E39)</f>
        <v>310658936.53000003</v>
      </c>
      <c r="F40" s="6">
        <f>SUM(F26:F39)</f>
        <v>296319924.04384613</v>
      </c>
      <c r="G40" s="6">
        <f>SUM(G26:G39)</f>
        <v>-184084505.97911537</v>
      </c>
      <c r="H40" s="31"/>
    </row>
    <row r="41" spans="1:9">
      <c r="B41" s="1"/>
    </row>
    <row r="42" spans="1:9">
      <c r="B42" s="1"/>
      <c r="C42" s="1" t="s">
        <v>1162</v>
      </c>
    </row>
    <row r="43" spans="1:9">
      <c r="B43" s="1"/>
      <c r="C43" s="1"/>
    </row>
    <row r="44" spans="1:9">
      <c r="B44" s="1"/>
      <c r="E44" s="3" t="s">
        <v>329</v>
      </c>
      <c r="F44" s="3" t="s">
        <v>330</v>
      </c>
      <c r="G44" s="3" t="s">
        <v>331</v>
      </c>
    </row>
    <row r="45" spans="1:9">
      <c r="B45" s="1"/>
      <c r="E45" s="241" t="s">
        <v>1163</v>
      </c>
      <c r="F45" s="3"/>
      <c r="G45" s="3"/>
    </row>
    <row r="46" spans="1:9">
      <c r="B46" s="1"/>
      <c r="E46" s="2" t="s">
        <v>852</v>
      </c>
      <c r="F46" s="2" t="s">
        <v>1083</v>
      </c>
      <c r="G46" s="2" t="s">
        <v>1083</v>
      </c>
    </row>
    <row r="47" spans="1:9">
      <c r="B47" s="1"/>
      <c r="E47" s="2" t="s">
        <v>1150</v>
      </c>
      <c r="F47" s="2" t="s">
        <v>24</v>
      </c>
      <c r="G47" s="2" t="s">
        <v>1164</v>
      </c>
    </row>
    <row r="48" spans="1:9">
      <c r="B48" s="1"/>
      <c r="E48" s="3" t="s">
        <v>123</v>
      </c>
      <c r="F48" s="3" t="s">
        <v>1165</v>
      </c>
      <c r="G48" s="3" t="s">
        <v>1166</v>
      </c>
      <c r="H48" s="3" t="s">
        <v>226</v>
      </c>
    </row>
    <row r="49" spans="1:9">
      <c r="A49" s="2">
        <f>A40+1</f>
        <v>16</v>
      </c>
      <c r="B49" s="1"/>
      <c r="C49" t="s">
        <v>1167</v>
      </c>
      <c r="E49" s="237">
        <f>F49+G49</f>
        <v>121797748.52306066</v>
      </c>
      <c r="F49" s="6">
        <v>0</v>
      </c>
      <c r="G49" s="6">
        <f>H87</f>
        <v>121797748.52306066</v>
      </c>
      <c r="H49" s="234" t="str">
        <f>"Line "&amp;A87&amp;", C4"</f>
        <v>Line 40, C4</v>
      </c>
    </row>
    <row r="50" spans="1:9">
      <c r="A50" s="2">
        <f>A49+1</f>
        <v>17</v>
      </c>
      <c r="B50" s="1"/>
      <c r="C50" t="s">
        <v>1168</v>
      </c>
      <c r="E50" s="237">
        <f>F50+G50</f>
        <v>2287802831.2136316</v>
      </c>
      <c r="F50" s="6">
        <f>E26</f>
        <v>614003.74</v>
      </c>
      <c r="G50" s="6">
        <f>F87</f>
        <v>2287188827.4736319</v>
      </c>
      <c r="H50" s="234" t="str">
        <f>"Line "&amp;A26&amp;", C1, and Line "&amp;A87&amp;", C2"</f>
        <v>Line 1, C1, and Line 40, C2</v>
      </c>
    </row>
    <row r="51" spans="1:9">
      <c r="A51" s="2">
        <f>A50+1</f>
        <v>18</v>
      </c>
      <c r="B51" s="1"/>
      <c r="C51" s="235" t="s">
        <v>1169</v>
      </c>
      <c r="E51" s="237">
        <f>F51+G51</f>
        <v>570527359.1756326</v>
      </c>
      <c r="F51" s="6">
        <f>E27</f>
        <v>0</v>
      </c>
      <c r="G51" s="6">
        <f>G87</f>
        <v>570527359.1756326</v>
      </c>
      <c r="H51" s="234" t="str">
        <f>"Line "&amp;A27&amp;", C1, and Line "&amp;A87&amp;", C3"</f>
        <v>Line 2, C1, and Line 40, C3</v>
      </c>
    </row>
    <row r="52" spans="1:9">
      <c r="A52" s="2">
        <f>A51+1</f>
        <v>19</v>
      </c>
      <c r="B52" s="1"/>
      <c r="C52" s="276" t="s">
        <v>815</v>
      </c>
      <c r="D52" s="54"/>
      <c r="E52" s="276" t="s">
        <v>373</v>
      </c>
      <c r="F52" s="276" t="s">
        <v>373</v>
      </c>
      <c r="G52" s="276" t="s">
        <v>373</v>
      </c>
      <c r="H52" s="276" t="s">
        <v>815</v>
      </c>
      <c r="I52" s="54"/>
    </row>
    <row r="53" spans="1:9">
      <c r="A53" s="2">
        <f>A52+1</f>
        <v>20</v>
      </c>
      <c r="B53" s="1"/>
      <c r="C53" s="250"/>
      <c r="E53" s="241"/>
      <c r="F53" s="241"/>
      <c r="G53" s="241"/>
      <c r="H53" s="234"/>
    </row>
    <row r="54" spans="1:9">
      <c r="A54" s="2">
        <f>A53+1</f>
        <v>21</v>
      </c>
      <c r="B54" s="1"/>
      <c r="D54" s="233" t="s">
        <v>1170</v>
      </c>
      <c r="E54" s="6">
        <f>SUM(E49:E51)</f>
        <v>2980127938.9123249</v>
      </c>
      <c r="F54" s="241"/>
      <c r="G54" s="241"/>
      <c r="H54" s="234" t="s">
        <v>1171</v>
      </c>
    </row>
    <row r="55" spans="1:9">
      <c r="B55" s="1"/>
    </row>
    <row r="56" spans="1:9">
      <c r="B56" s="1"/>
      <c r="C56" s="1" t="s">
        <v>1172</v>
      </c>
    </row>
    <row r="57" spans="1:9">
      <c r="B57" s="1"/>
      <c r="C57" s="1"/>
    </row>
    <row r="58" spans="1:9">
      <c r="B58" s="1"/>
      <c r="C58" s="1"/>
      <c r="E58" s="3" t="s">
        <v>329</v>
      </c>
      <c r="F58" s="3" t="s">
        <v>330</v>
      </c>
      <c r="G58" s="3" t="s">
        <v>331</v>
      </c>
    </row>
    <row r="59" spans="1:9">
      <c r="B59" s="1"/>
      <c r="E59" s="241" t="s">
        <v>1163</v>
      </c>
      <c r="G59" s="2" t="s">
        <v>466</v>
      </c>
    </row>
    <row r="60" spans="1:9">
      <c r="B60" s="1"/>
      <c r="E60" s="2" t="s">
        <v>852</v>
      </c>
      <c r="F60" s="2" t="s">
        <v>466</v>
      </c>
      <c r="G60" s="2" t="s">
        <v>1164</v>
      </c>
    </row>
    <row r="61" spans="1:9">
      <c r="B61" s="1"/>
      <c r="C61" s="2" t="s">
        <v>1150</v>
      </c>
      <c r="E61" s="2" t="s">
        <v>1150</v>
      </c>
      <c r="F61" s="2" t="s">
        <v>24</v>
      </c>
      <c r="G61" s="2" t="s">
        <v>1166</v>
      </c>
    </row>
    <row r="62" spans="1:9" ht="12.75" customHeight="1">
      <c r="B62" s="1"/>
      <c r="C62" s="3" t="s">
        <v>1065</v>
      </c>
      <c r="E62" s="3" t="s">
        <v>123</v>
      </c>
      <c r="F62" s="3" t="s">
        <v>1165</v>
      </c>
      <c r="G62" s="3" t="s">
        <v>1165</v>
      </c>
      <c r="H62" s="3" t="s">
        <v>226</v>
      </c>
    </row>
    <row r="63" spans="1:9">
      <c r="A63" s="2">
        <f>A54+1</f>
        <v>22</v>
      </c>
      <c r="B63" s="1"/>
      <c r="C63" t="s">
        <v>1167</v>
      </c>
      <c r="E63" s="237">
        <f>F63+G63</f>
        <v>124167273.04378615</v>
      </c>
      <c r="F63" s="6">
        <v>0</v>
      </c>
      <c r="G63" s="797">
        <f>H88</f>
        <v>124167273.04378615</v>
      </c>
      <c r="H63" s="234" t="str">
        <f>"Line "&amp;A88&amp;", C4"</f>
        <v>Line 41, C4</v>
      </c>
    </row>
    <row r="64" spans="1:9">
      <c r="A64" s="2">
        <f>A63+1</f>
        <v>23</v>
      </c>
      <c r="B64" s="1"/>
      <c r="C64" t="s">
        <v>1168</v>
      </c>
      <c r="E64" s="237">
        <f>F64+G64</f>
        <v>2326112447.2765141</v>
      </c>
      <c r="F64" s="6">
        <f>F26</f>
        <v>575485.73846153845</v>
      </c>
      <c r="G64" s="797">
        <f>F88</f>
        <v>2325536961.5380526</v>
      </c>
      <c r="H64" s="234" t="str">
        <f>"Line "&amp;A26&amp;", C2, and Line "&amp;A88&amp;", C2"</f>
        <v>Line 1, C2, and Line 41, C2</v>
      </c>
    </row>
    <row r="65" spans="1:11">
      <c r="A65" s="2">
        <f>A64+1</f>
        <v>24</v>
      </c>
      <c r="B65" s="1"/>
      <c r="C65" s="235" t="s">
        <v>1173</v>
      </c>
      <c r="E65" s="237">
        <f>F65+G65</f>
        <v>580391798.01132119</v>
      </c>
      <c r="F65" s="6">
        <f>F27</f>
        <v>0</v>
      </c>
      <c r="G65" s="797">
        <f>G88</f>
        <v>580391798.01132119</v>
      </c>
      <c r="H65" s="234" t="str">
        <f>"Line "&amp;A27&amp;", C2, and Line "&amp;A88&amp;", C3"</f>
        <v>Line 2, C2, and Line 41, C3</v>
      </c>
    </row>
    <row r="66" spans="1:11">
      <c r="A66" s="2">
        <f>A65+1</f>
        <v>25</v>
      </c>
      <c r="B66" s="1"/>
      <c r="C66" s="276" t="s">
        <v>815</v>
      </c>
      <c r="D66" s="54"/>
      <c r="E66" s="276" t="s">
        <v>373</v>
      </c>
      <c r="F66" s="276" t="s">
        <v>373</v>
      </c>
      <c r="G66" s="276" t="s">
        <v>373</v>
      </c>
      <c r="H66" s="276" t="s">
        <v>815</v>
      </c>
      <c r="I66" s="54"/>
    </row>
    <row r="67" spans="1:11">
      <c r="A67" s="2">
        <f>A66+1</f>
        <v>26</v>
      </c>
      <c r="B67" s="1"/>
      <c r="C67" s="250"/>
      <c r="E67" s="241"/>
      <c r="F67" s="241"/>
      <c r="G67" s="241"/>
      <c r="H67" s="234"/>
    </row>
    <row r="68" spans="1:11">
      <c r="A68" s="2">
        <f>A67+1</f>
        <v>27</v>
      </c>
      <c r="B68" s="1"/>
      <c r="D68" s="233" t="s">
        <v>1170</v>
      </c>
      <c r="E68" s="6">
        <f>SUM(E63:E65)</f>
        <v>3030671518.3316212</v>
      </c>
      <c r="H68" s="281" t="s">
        <v>1174</v>
      </c>
    </row>
    <row r="69" spans="1:11">
      <c r="A69" s="2"/>
      <c r="B69" s="1"/>
      <c r="D69" s="233"/>
      <c r="E69" s="6"/>
    </row>
    <row r="70" spans="1:11">
      <c r="C70" s="1" t="s">
        <v>1175</v>
      </c>
    </row>
    <row r="71" spans="1:11">
      <c r="E71" s="48" t="s">
        <v>329</v>
      </c>
      <c r="F71" s="48" t="s">
        <v>330</v>
      </c>
      <c r="G71" s="48" t="s">
        <v>331</v>
      </c>
      <c r="H71" s="48" t="s">
        <v>332</v>
      </c>
      <c r="I71" s="48" t="s">
        <v>333</v>
      </c>
      <c r="J71" s="48"/>
    </row>
    <row r="72" spans="1:11">
      <c r="C72" s="2" t="s">
        <v>1176</v>
      </c>
      <c r="E72" s="2" t="s">
        <v>1177</v>
      </c>
      <c r="F72" s="37" t="str">
        <f>"L "&amp;A120&amp;" to L "&amp;A132&amp;", C3"</f>
        <v>L 56 to L 68, C3</v>
      </c>
      <c r="G72" s="37" t="str">
        <f>"L "&amp;A160&amp;" to L "&amp;A172&amp;", C3"</f>
        <v>L 82 to L 94, C3</v>
      </c>
      <c r="H72" s="37" t="str">
        <f>"L "&amp;A140&amp;" to L "&amp;A152&amp;", C3"</f>
        <v>L 69 to L 81, C3</v>
      </c>
      <c r="I72" s="54"/>
      <c r="K72" s="2"/>
    </row>
    <row r="73" spans="1:11">
      <c r="C73" s="2" t="s">
        <v>365</v>
      </c>
      <c r="E73" s="2" t="s">
        <v>1178</v>
      </c>
      <c r="G73" s="2" t="s">
        <v>954</v>
      </c>
      <c r="H73" s="2" t="s">
        <v>1179</v>
      </c>
      <c r="I73" s="105"/>
      <c r="J73" s="241"/>
      <c r="K73" s="2"/>
    </row>
    <row r="74" spans="1:11">
      <c r="A74" s="30"/>
      <c r="C74" s="18" t="s">
        <v>364</v>
      </c>
      <c r="D74" s="18" t="s">
        <v>365</v>
      </c>
      <c r="E74" s="3" t="s">
        <v>1166</v>
      </c>
      <c r="F74" s="3" t="s">
        <v>958</v>
      </c>
      <c r="G74" s="3" t="s">
        <v>959</v>
      </c>
      <c r="H74" s="3" t="s">
        <v>1180</v>
      </c>
      <c r="I74" s="106"/>
      <c r="J74" s="3" t="s">
        <v>100</v>
      </c>
    </row>
    <row r="75" spans="1:11">
      <c r="A75" s="2">
        <f>A68+1</f>
        <v>28</v>
      </c>
      <c r="C75" s="14" t="s">
        <v>372</v>
      </c>
      <c r="D75" s="481">
        <v>2022</v>
      </c>
      <c r="E75" s="263">
        <f>SUM(F75:H75)</f>
        <v>3080711261.8145852</v>
      </c>
      <c r="F75" s="491">
        <f>G120</f>
        <v>2363918227.4030638</v>
      </c>
      <c r="G75" s="491">
        <f>G160</f>
        <v>590256236.84700966</v>
      </c>
      <c r="H75" s="491">
        <f>G140</f>
        <v>126536797.56451166</v>
      </c>
      <c r="I75" s="241" t="s">
        <v>373</v>
      </c>
      <c r="J75" s="278" t="s">
        <v>1181</v>
      </c>
    </row>
    <row r="76" spans="1:11">
      <c r="A76" s="2">
        <f>A75+1</f>
        <v>29</v>
      </c>
      <c r="C76" s="14" t="s">
        <v>374</v>
      </c>
      <c r="D76" s="332">
        <v>2023</v>
      </c>
      <c r="E76" s="263">
        <f t="shared" ref="E76:E87" si="1">SUM(F76:H76)</f>
        <v>3072280717.4811854</v>
      </c>
      <c r="F76" s="491">
        <f t="shared" ref="F76:F87" si="2">G121</f>
        <v>2357526676.9624</v>
      </c>
      <c r="G76" s="491">
        <f t="shared" ref="G76:G87" si="3">G161</f>
        <v>588612163.70772815</v>
      </c>
      <c r="H76" s="491">
        <f t="shared" ref="H76:H87" si="4">G141</f>
        <v>126141876.8110574</v>
      </c>
      <c r="I76" s="241" t="s">
        <v>373</v>
      </c>
      <c r="J76" s="234" t="s">
        <v>1182</v>
      </c>
    </row>
    <row r="77" spans="1:11">
      <c r="A77" s="2">
        <f t="shared" ref="A77:A88" si="5">A76+1</f>
        <v>30</v>
      </c>
      <c r="C77" s="14" t="s">
        <v>375</v>
      </c>
      <c r="D77" s="332">
        <v>2023</v>
      </c>
      <c r="E77" s="263">
        <f t="shared" si="1"/>
        <v>3063849962.6716828</v>
      </c>
      <c r="F77" s="491">
        <f t="shared" si="2"/>
        <v>2351134916.0456328</v>
      </c>
      <c r="G77" s="491">
        <f t="shared" si="3"/>
        <v>586968090.56844676</v>
      </c>
      <c r="H77" s="491">
        <f t="shared" si="4"/>
        <v>125746956.05760315</v>
      </c>
      <c r="I77" s="241" t="s">
        <v>373</v>
      </c>
      <c r="J77" s="241" t="s">
        <v>1183</v>
      </c>
      <c r="K77" s="2"/>
    </row>
    <row r="78" spans="1:11">
      <c r="A78" s="2">
        <f t="shared" si="5"/>
        <v>31</v>
      </c>
      <c r="C78" s="14" t="s">
        <v>376</v>
      </c>
      <c r="D78" s="332">
        <v>2023</v>
      </c>
      <c r="E78" s="263">
        <f t="shared" si="1"/>
        <v>3055419207.8461056</v>
      </c>
      <c r="F78" s="491">
        <f t="shared" si="2"/>
        <v>2344743155.1127915</v>
      </c>
      <c r="G78" s="491">
        <f t="shared" si="3"/>
        <v>585324017.42916536</v>
      </c>
      <c r="H78" s="491">
        <f t="shared" si="4"/>
        <v>125352035.30414891</v>
      </c>
      <c r="I78" s="241" t="s">
        <v>373</v>
      </c>
      <c r="J78" s="241"/>
      <c r="K78" s="2"/>
    </row>
    <row r="79" spans="1:11">
      <c r="A79" s="2">
        <f t="shared" si="5"/>
        <v>32</v>
      </c>
      <c r="C79" s="14" t="s">
        <v>377</v>
      </c>
      <c r="D79" s="332">
        <v>2023</v>
      </c>
      <c r="E79" s="263">
        <f t="shared" si="1"/>
        <v>3046916553.0205288</v>
      </c>
      <c r="F79" s="491">
        <f t="shared" si="2"/>
        <v>2338279494.1799502</v>
      </c>
      <c r="G79" s="491">
        <f t="shared" si="3"/>
        <v>583679944.28988397</v>
      </c>
      <c r="H79" s="491">
        <f t="shared" si="4"/>
        <v>124957114.55069466</v>
      </c>
      <c r="I79" s="241" t="s">
        <v>373</v>
      </c>
      <c r="J79" s="241"/>
      <c r="K79" s="2"/>
    </row>
    <row r="80" spans="1:11">
      <c r="A80" s="2">
        <f t="shared" si="5"/>
        <v>33</v>
      </c>
      <c r="C80" s="14" t="s">
        <v>378</v>
      </c>
      <c r="D80" s="332">
        <v>2023</v>
      </c>
      <c r="E80" s="263">
        <f t="shared" si="1"/>
        <v>3038480798.194952</v>
      </c>
      <c r="F80" s="491">
        <f t="shared" si="2"/>
        <v>2331882733.2471089</v>
      </c>
      <c r="G80" s="491">
        <f t="shared" si="3"/>
        <v>582035871.15060258</v>
      </c>
      <c r="H80" s="491">
        <f t="shared" si="4"/>
        <v>124562193.79724041</v>
      </c>
      <c r="I80" s="241" t="s">
        <v>373</v>
      </c>
      <c r="J80" s="241"/>
      <c r="K80" s="2"/>
    </row>
    <row r="81" spans="1:11">
      <c r="A81" s="2">
        <f t="shared" si="5"/>
        <v>34</v>
      </c>
      <c r="C81" s="14" t="s">
        <v>379</v>
      </c>
      <c r="D81" s="332">
        <v>2023</v>
      </c>
      <c r="E81" s="263">
        <f t="shared" si="1"/>
        <v>3030050048.6751771</v>
      </c>
      <c r="F81" s="491">
        <f t="shared" si="2"/>
        <v>2325490977.62007</v>
      </c>
      <c r="G81" s="491">
        <f t="shared" si="3"/>
        <v>580391798.01132107</v>
      </c>
      <c r="H81" s="491">
        <f t="shared" si="4"/>
        <v>124167273.04378615</v>
      </c>
      <c r="I81" s="241" t="s">
        <v>373</v>
      </c>
      <c r="J81" s="241"/>
      <c r="K81" s="2"/>
    </row>
    <row r="82" spans="1:11">
      <c r="A82" s="2">
        <f t="shared" si="5"/>
        <v>35</v>
      </c>
      <c r="C82" s="14" t="s">
        <v>380</v>
      </c>
      <c r="D82" s="332">
        <v>2023</v>
      </c>
      <c r="E82" s="263">
        <f t="shared" si="1"/>
        <v>3021665911.6043787</v>
      </c>
      <c r="F82" s="491">
        <f t="shared" si="2"/>
        <v>2319145834.4420071</v>
      </c>
      <c r="G82" s="491">
        <f t="shared" si="3"/>
        <v>578747724.87203968</v>
      </c>
      <c r="H82" s="491">
        <f t="shared" si="4"/>
        <v>123772352.2903319</v>
      </c>
      <c r="I82" s="241" t="s">
        <v>373</v>
      </c>
      <c r="J82" s="241"/>
      <c r="K82" s="47"/>
    </row>
    <row r="83" spans="1:11">
      <c r="A83" s="2">
        <f t="shared" si="5"/>
        <v>36</v>
      </c>
      <c r="C83" s="14" t="s">
        <v>381</v>
      </c>
      <c r="D83" s="332">
        <v>2023</v>
      </c>
      <c r="E83" s="263">
        <f t="shared" si="1"/>
        <v>3013235215.415782</v>
      </c>
      <c r="F83" s="491">
        <f t="shared" si="2"/>
        <v>2312754132.1461458</v>
      </c>
      <c r="G83" s="491">
        <f t="shared" si="3"/>
        <v>577103651.73275828</v>
      </c>
      <c r="H83" s="491">
        <f t="shared" si="4"/>
        <v>123377431.53687765</v>
      </c>
      <c r="I83" s="241" t="s">
        <v>373</v>
      </c>
      <c r="J83" s="241"/>
      <c r="K83" s="2"/>
    </row>
    <row r="84" spans="1:11">
      <c r="A84" s="2">
        <f t="shared" si="5"/>
        <v>37</v>
      </c>
      <c r="C84" s="14" t="s">
        <v>382</v>
      </c>
      <c r="D84" s="332">
        <v>2023</v>
      </c>
      <c r="E84" s="263">
        <f t="shared" si="1"/>
        <v>3004804352.5659795</v>
      </c>
      <c r="F84" s="491">
        <f t="shared" si="2"/>
        <v>2306362263.1890793</v>
      </c>
      <c r="G84" s="491">
        <f t="shared" si="3"/>
        <v>575459578.59347689</v>
      </c>
      <c r="H84" s="491">
        <f t="shared" si="4"/>
        <v>122982510.78342341</v>
      </c>
      <c r="I84" s="241" t="s">
        <v>373</v>
      </c>
      <c r="J84" s="241"/>
      <c r="K84" s="2"/>
    </row>
    <row r="85" spans="1:11">
      <c r="A85" s="2">
        <f t="shared" si="5"/>
        <v>38</v>
      </c>
      <c r="C85" s="14" t="s">
        <v>963</v>
      </c>
      <c r="D85" s="332">
        <v>2023</v>
      </c>
      <c r="E85" s="263">
        <f t="shared" si="1"/>
        <v>2996375661.0547924</v>
      </c>
      <c r="F85" s="491">
        <f t="shared" si="2"/>
        <v>2299972565.5706277</v>
      </c>
      <c r="G85" s="491">
        <f t="shared" si="3"/>
        <v>573815505.4541955</v>
      </c>
      <c r="H85" s="491">
        <f t="shared" si="4"/>
        <v>122587590.02996916</v>
      </c>
      <c r="I85" s="241" t="s">
        <v>373</v>
      </c>
      <c r="J85" s="241"/>
      <c r="K85" s="2"/>
    </row>
    <row r="86" spans="1:11">
      <c r="A86" s="2">
        <f t="shared" si="5"/>
        <v>39</v>
      </c>
      <c r="C86" s="14" t="s">
        <v>384</v>
      </c>
      <c r="D86" s="332">
        <v>2023</v>
      </c>
      <c r="E86" s="263">
        <f t="shared" si="1"/>
        <v>2987944798.1936059</v>
      </c>
      <c r="F86" s="491">
        <f t="shared" si="2"/>
        <v>2293580696.6021767</v>
      </c>
      <c r="G86" s="491">
        <f t="shared" si="3"/>
        <v>572171432.31491411</v>
      </c>
      <c r="H86" s="491">
        <f t="shared" si="4"/>
        <v>122192669.2765149</v>
      </c>
      <c r="I86" s="241" t="s">
        <v>373</v>
      </c>
      <c r="J86" s="241"/>
      <c r="K86" s="2"/>
    </row>
    <row r="87" spans="1:11">
      <c r="A87" s="2">
        <f t="shared" si="5"/>
        <v>40</v>
      </c>
      <c r="C87" s="14" t="s">
        <v>372</v>
      </c>
      <c r="D87" s="332">
        <v>2023</v>
      </c>
      <c r="E87" s="36">
        <f t="shared" si="1"/>
        <v>2979513935.1723251</v>
      </c>
      <c r="F87" s="36">
        <f t="shared" si="2"/>
        <v>2287188827.4736319</v>
      </c>
      <c r="G87" s="36">
        <f t="shared" si="3"/>
        <v>570527359.1756326</v>
      </c>
      <c r="H87" s="36">
        <f t="shared" si="4"/>
        <v>121797748.52306066</v>
      </c>
      <c r="I87" s="241" t="s">
        <v>373</v>
      </c>
      <c r="J87" s="241"/>
      <c r="K87" s="2"/>
    </row>
    <row r="88" spans="1:11">
      <c r="A88" s="2">
        <f t="shared" si="5"/>
        <v>41</v>
      </c>
      <c r="C88" s="14"/>
      <c r="D88" s="629" t="s">
        <v>964</v>
      </c>
      <c r="E88" s="263">
        <f>SUM(E75:E87)/13</f>
        <v>3030096032.5931597</v>
      </c>
      <c r="F88" s="263">
        <f>SUM(F75:F87)/13</f>
        <v>2325536961.5380526</v>
      </c>
      <c r="G88" s="263">
        <f>SUM(G75:G87)/13</f>
        <v>580391798.01132119</v>
      </c>
      <c r="H88" s="263">
        <f>SUM(H75:H87)/13</f>
        <v>124167273.04378615</v>
      </c>
      <c r="I88" s="1"/>
      <c r="J88" s="1"/>
      <c r="K88" s="2"/>
    </row>
    <row r="90" spans="1:11">
      <c r="A90" s="2"/>
      <c r="C90" s="15" t="s">
        <v>1184</v>
      </c>
      <c r="D90" s="262"/>
      <c r="E90" s="263"/>
      <c r="F90" s="263"/>
      <c r="G90" s="263"/>
      <c r="H90" s="263"/>
      <c r="I90" s="1"/>
      <c r="J90" s="1"/>
    </row>
    <row r="91" spans="1:11">
      <c r="A91" s="2"/>
      <c r="C91" s="15"/>
      <c r="D91" s="262"/>
      <c r="E91" s="48" t="s">
        <v>329</v>
      </c>
      <c r="F91" s="48" t="s">
        <v>330</v>
      </c>
      <c r="G91" s="48" t="s">
        <v>331</v>
      </c>
      <c r="H91" s="263"/>
      <c r="I91" s="1"/>
      <c r="J91" s="1"/>
    </row>
    <row r="92" spans="1:11">
      <c r="A92" s="2"/>
      <c r="C92" s="254"/>
      <c r="D92" s="262"/>
      <c r="G92" s="241" t="s">
        <v>1185</v>
      </c>
      <c r="H92" s="263"/>
      <c r="I92" s="1"/>
      <c r="J92" s="1"/>
    </row>
    <row r="93" spans="1:11">
      <c r="A93" s="2"/>
      <c r="C93" s="254"/>
      <c r="D93" s="262"/>
      <c r="E93" s="183" t="s">
        <v>717</v>
      </c>
      <c r="F93" s="263"/>
      <c r="G93" s="264" t="s">
        <v>1186</v>
      </c>
      <c r="H93" s="263"/>
      <c r="I93" s="1"/>
      <c r="J93" s="1"/>
    </row>
    <row r="94" spans="1:11">
      <c r="A94" s="2"/>
      <c r="C94" s="2" t="s">
        <v>1176</v>
      </c>
      <c r="E94" s="183" t="s">
        <v>1187</v>
      </c>
      <c r="F94" s="183" t="s">
        <v>698</v>
      </c>
      <c r="G94" s="183" t="s">
        <v>1187</v>
      </c>
      <c r="H94" s="263"/>
      <c r="I94" s="1"/>
      <c r="J94" s="1"/>
    </row>
    <row r="95" spans="1:11">
      <c r="A95" s="2"/>
      <c r="C95" s="2" t="s">
        <v>365</v>
      </c>
      <c r="E95" s="183" t="s">
        <v>1150</v>
      </c>
      <c r="F95" s="4" t="s">
        <v>1188</v>
      </c>
      <c r="G95" s="183" t="s">
        <v>1150</v>
      </c>
      <c r="H95" s="263"/>
      <c r="I95" s="1"/>
      <c r="J95" s="1"/>
    </row>
    <row r="96" spans="1:11">
      <c r="A96" s="2"/>
      <c r="C96" s="18" t="s">
        <v>364</v>
      </c>
      <c r="D96" s="18" t="s">
        <v>365</v>
      </c>
      <c r="E96" s="184" t="s">
        <v>1189</v>
      </c>
      <c r="F96" s="3" t="s">
        <v>1190</v>
      </c>
      <c r="G96" s="184" t="s">
        <v>1189</v>
      </c>
      <c r="H96" s="184" t="s">
        <v>1191</v>
      </c>
      <c r="I96" s="1"/>
      <c r="J96" s="1"/>
    </row>
    <row r="97" spans="1:10" ht="12.75" customHeight="1">
      <c r="A97" s="2">
        <f>A88+1</f>
        <v>42</v>
      </c>
      <c r="C97" s="254" t="s">
        <v>372</v>
      </c>
      <c r="D97" s="481">
        <v>2022</v>
      </c>
      <c r="E97" s="6">
        <f>H120+H140+H160+H179+H198+H217+H236+H255+H274+H293+H312+H332+H351+H370</f>
        <v>0</v>
      </c>
      <c r="F97" s="265">
        <v>0</v>
      </c>
      <c r="G97" s="263">
        <f>E97-F97</f>
        <v>0</v>
      </c>
      <c r="H97" s="269" t="s">
        <v>1192</v>
      </c>
      <c r="I97" s="1"/>
      <c r="J97" s="6"/>
    </row>
    <row r="98" spans="1:10">
      <c r="A98" s="2">
        <f>A97+1</f>
        <v>43</v>
      </c>
      <c r="C98" s="254" t="s">
        <v>374</v>
      </c>
      <c r="D98" s="332">
        <v>2023</v>
      </c>
      <c r="E98" s="6">
        <f>H121+H141+H161+H180+H199+H218+H237+H256+H275+H294+H313+H333+H352+H371</f>
        <v>5738087.9160580449</v>
      </c>
      <c r="F98" s="265">
        <v>0</v>
      </c>
      <c r="G98" s="263">
        <f t="shared" ref="G98:G109" si="6">E98-F98</f>
        <v>5738087.9160580449</v>
      </c>
      <c r="H98" s="269" t="s">
        <v>1193</v>
      </c>
      <c r="I98" s="42"/>
      <c r="J98" s="6"/>
    </row>
    <row r="99" spans="1:10">
      <c r="A99" s="2">
        <f t="shared" ref="A99:A110" si="7">A98+1</f>
        <v>44</v>
      </c>
      <c r="C99" s="254" t="s">
        <v>375</v>
      </c>
      <c r="D99" s="332">
        <v>2023</v>
      </c>
      <c r="E99" s="6">
        <f>H122+H142+H162+H181+H200+H219+H238+H257+H276+H295+H314+H334+H353+H372</f>
        <v>2227813.5799998567</v>
      </c>
      <c r="F99" s="265">
        <v>0</v>
      </c>
      <c r="G99" s="263">
        <f t="shared" si="6"/>
        <v>2227813.5799998567</v>
      </c>
      <c r="H99" s="269"/>
      <c r="I99" s="42"/>
      <c r="J99" s="6"/>
    </row>
    <row r="100" spans="1:10">
      <c r="A100" s="2">
        <f t="shared" si="7"/>
        <v>45</v>
      </c>
      <c r="C100" s="254" t="s">
        <v>376</v>
      </c>
      <c r="D100" s="332">
        <v>2023</v>
      </c>
      <c r="E100" s="6">
        <f>H123+H143+H163+H182+H201+H220+H239+H258+H277+H296+H315+H335+H354+H373</f>
        <v>1332779.5200000443</v>
      </c>
      <c r="F100" s="265">
        <v>0</v>
      </c>
      <c r="G100" s="263">
        <f t="shared" si="6"/>
        <v>1332779.5200000443</v>
      </c>
      <c r="H100" s="263"/>
      <c r="I100" s="42"/>
      <c r="J100" s="6"/>
    </row>
    <row r="101" spans="1:10">
      <c r="A101" s="2">
        <f t="shared" si="7"/>
        <v>46</v>
      </c>
      <c r="C101" s="254" t="s">
        <v>377</v>
      </c>
      <c r="D101" s="332">
        <v>2023</v>
      </c>
      <c r="E101" s="6">
        <f t="shared" ref="E101:E109" si="8">H124+H144+H164+H183+H202+H221+H240+H259+H278+H297+H316+H336+H355+H374</f>
        <v>6700536.8091220176</v>
      </c>
      <c r="F101" s="265">
        <v>0</v>
      </c>
      <c r="G101" s="263">
        <f t="shared" si="6"/>
        <v>6700536.8091220176</v>
      </c>
      <c r="H101" s="263"/>
      <c r="I101" s="42"/>
      <c r="J101" s="6"/>
    </row>
    <row r="102" spans="1:10">
      <c r="A102" s="2">
        <f t="shared" si="7"/>
        <v>47</v>
      </c>
      <c r="C102" s="254" t="s">
        <v>378</v>
      </c>
      <c r="D102" s="332">
        <v>2023</v>
      </c>
      <c r="E102" s="6">
        <f t="shared" si="8"/>
        <v>2381299.093151927</v>
      </c>
      <c r="F102" s="265">
        <v>0</v>
      </c>
      <c r="G102" s="263">
        <f t="shared" si="6"/>
        <v>2381299.093151927</v>
      </c>
      <c r="H102" s="263"/>
      <c r="I102" s="42"/>
      <c r="J102" s="6"/>
    </row>
    <row r="103" spans="1:10">
      <c r="A103" s="2">
        <f t="shared" si="7"/>
        <v>48</v>
      </c>
      <c r="C103" s="254" t="s">
        <v>379</v>
      </c>
      <c r="D103" s="332">
        <v>2023</v>
      </c>
      <c r="E103" s="6">
        <f t="shared" si="8"/>
        <v>2753450.9199999925</v>
      </c>
      <c r="F103" s="265">
        <v>0</v>
      </c>
      <c r="G103" s="263">
        <f t="shared" si="6"/>
        <v>2753450.9199999925</v>
      </c>
      <c r="H103" s="263"/>
      <c r="I103" s="42"/>
      <c r="J103" s="6"/>
    </row>
    <row r="104" spans="1:10">
      <c r="A104" s="2">
        <f t="shared" si="7"/>
        <v>49</v>
      </c>
      <c r="C104" s="254" t="s">
        <v>380</v>
      </c>
      <c r="D104" s="332">
        <v>2023</v>
      </c>
      <c r="E104" s="6">
        <f t="shared" si="8"/>
        <v>1313484.2399994228</v>
      </c>
      <c r="F104" s="265">
        <v>0</v>
      </c>
      <c r="G104" s="263">
        <f t="shared" si="6"/>
        <v>1313484.2399994228</v>
      </c>
      <c r="H104" s="263"/>
      <c r="I104" s="42"/>
      <c r="J104" s="6"/>
    </row>
    <row r="105" spans="1:10">
      <c r="A105" s="2">
        <f t="shared" si="7"/>
        <v>50</v>
      </c>
      <c r="C105" s="254" t="s">
        <v>381</v>
      </c>
      <c r="D105" s="332">
        <v>2023</v>
      </c>
      <c r="E105" s="6">
        <f t="shared" si="8"/>
        <v>974382.46306649595</v>
      </c>
      <c r="F105" s="265">
        <v>0</v>
      </c>
      <c r="G105" s="263">
        <f t="shared" si="6"/>
        <v>974382.46306649595</v>
      </c>
      <c r="H105" s="263"/>
      <c r="I105" s="42"/>
      <c r="J105" s="6"/>
    </row>
    <row r="106" spans="1:10">
      <c r="A106" s="2">
        <f t="shared" si="7"/>
        <v>51</v>
      </c>
      <c r="C106" s="254" t="s">
        <v>382</v>
      </c>
      <c r="D106" s="332">
        <v>2023</v>
      </c>
      <c r="E106" s="6">
        <f t="shared" si="8"/>
        <v>1503685.0499999616</v>
      </c>
      <c r="F106" s="265">
        <v>0</v>
      </c>
      <c r="G106" s="263">
        <f t="shared" si="6"/>
        <v>1503685.0499999616</v>
      </c>
      <c r="H106" s="263"/>
      <c r="I106" s="42"/>
      <c r="J106" s="6"/>
    </row>
    <row r="107" spans="1:10">
      <c r="A107" s="2">
        <f t="shared" si="7"/>
        <v>52</v>
      </c>
      <c r="C107" s="254" t="s">
        <v>963</v>
      </c>
      <c r="D107" s="332">
        <v>2023</v>
      </c>
      <c r="E107" s="6">
        <f t="shared" si="8"/>
        <v>1263612.9999998845</v>
      </c>
      <c r="F107" s="265">
        <v>0</v>
      </c>
      <c r="G107" s="263">
        <f t="shared" si="6"/>
        <v>1263612.9999998845</v>
      </c>
      <c r="H107" s="263"/>
      <c r="I107" s="42"/>
      <c r="J107" s="6"/>
    </row>
    <row r="108" spans="1:10">
      <c r="A108" s="2">
        <f t="shared" si="7"/>
        <v>53</v>
      </c>
      <c r="C108" s="254" t="s">
        <v>384</v>
      </c>
      <c r="D108" s="332">
        <v>2023</v>
      </c>
      <c r="E108" s="6">
        <f t="shared" si="8"/>
        <v>1153437.250000082</v>
      </c>
      <c r="F108" s="265">
        <v>0</v>
      </c>
      <c r="G108" s="263">
        <f t="shared" si="6"/>
        <v>1153437.250000082</v>
      </c>
      <c r="H108" s="263"/>
      <c r="I108" s="42"/>
      <c r="J108" s="6"/>
    </row>
    <row r="109" spans="1:10">
      <c r="A109" s="2">
        <f t="shared" si="7"/>
        <v>54</v>
      </c>
      <c r="C109" s="254" t="s">
        <v>372</v>
      </c>
      <c r="D109" s="332">
        <v>2023</v>
      </c>
      <c r="E109" s="53">
        <f t="shared" si="8"/>
        <v>938337.04999997187</v>
      </c>
      <c r="F109" s="208">
        <v>0</v>
      </c>
      <c r="G109" s="36">
        <f t="shared" si="6"/>
        <v>938337.04999997187</v>
      </c>
      <c r="H109" s="263"/>
      <c r="I109" s="42"/>
      <c r="J109" s="6"/>
    </row>
    <row r="110" spans="1:10">
      <c r="A110" s="2">
        <f t="shared" si="7"/>
        <v>55</v>
      </c>
      <c r="C110" s="254" t="s">
        <v>244</v>
      </c>
      <c r="D110" s="258"/>
      <c r="E110" s="6">
        <f>SUM(E97:E109)</f>
        <v>28280906.8913977</v>
      </c>
      <c r="F110" s="6">
        <f t="shared" ref="F110" si="9">SUM(F97:F109)</f>
        <v>0</v>
      </c>
      <c r="G110" s="6">
        <f>SUM(G97:G109)</f>
        <v>28280906.8913977</v>
      </c>
      <c r="H110" s="263"/>
      <c r="I110" s="42"/>
      <c r="J110" s="1"/>
    </row>
    <row r="111" spans="1:10">
      <c r="A111" s="2"/>
      <c r="C111" s="254"/>
      <c r="D111" s="258"/>
      <c r="E111" s="6"/>
      <c r="F111" s="263"/>
      <c r="G111" s="263"/>
      <c r="H111" s="263"/>
      <c r="I111" s="42"/>
      <c r="J111" s="1"/>
    </row>
    <row r="113" spans="1:9">
      <c r="C113" s="15" t="s">
        <v>1194</v>
      </c>
    </row>
    <row r="115" spans="1:9">
      <c r="C115" s="1" t="s">
        <v>1195</v>
      </c>
      <c r="E115" s="48" t="s">
        <v>329</v>
      </c>
      <c r="F115" s="48" t="s">
        <v>330</v>
      </c>
      <c r="G115" s="48" t="s">
        <v>331</v>
      </c>
      <c r="H115" s="48" t="s">
        <v>332</v>
      </c>
    </row>
    <row r="116" spans="1:9">
      <c r="G116" s="241" t="s">
        <v>1185</v>
      </c>
      <c r="H116" s="241" t="s">
        <v>1196</v>
      </c>
    </row>
    <row r="117" spans="1:9">
      <c r="C117" s="2" t="s">
        <v>1176</v>
      </c>
      <c r="H117" s="236" t="s">
        <v>1197</v>
      </c>
    </row>
    <row r="118" spans="1:9">
      <c r="C118" s="2" t="s">
        <v>365</v>
      </c>
      <c r="E118" s="2" t="s">
        <v>652</v>
      </c>
      <c r="F118" s="2" t="s">
        <v>1198</v>
      </c>
      <c r="G118" s="2" t="s">
        <v>1199</v>
      </c>
      <c r="H118" s="2" t="s">
        <v>696</v>
      </c>
    </row>
    <row r="119" spans="1:9">
      <c r="C119" s="18" t="s">
        <v>364</v>
      </c>
      <c r="D119" s="18" t="s">
        <v>365</v>
      </c>
      <c r="E119" s="3" t="s">
        <v>1200</v>
      </c>
      <c r="F119" s="3" t="s">
        <v>38</v>
      </c>
      <c r="G119" s="3" t="s">
        <v>1166</v>
      </c>
      <c r="H119" s="3" t="s">
        <v>1190</v>
      </c>
    </row>
    <row r="120" spans="1:9">
      <c r="A120" s="2">
        <f>A110+1</f>
        <v>56</v>
      </c>
      <c r="C120" s="254" t="s">
        <v>372</v>
      </c>
      <c r="D120" s="481">
        <v>2022</v>
      </c>
      <c r="E120" s="59">
        <v>3062621566.0572152</v>
      </c>
      <c r="F120" s="59">
        <v>698703338.65415156</v>
      </c>
      <c r="G120" s="6">
        <f t="shared" ref="G120:G132" si="10">E120-F120</f>
        <v>2363918227.4030638</v>
      </c>
      <c r="H120" s="6">
        <f>E120-E120</f>
        <v>0</v>
      </c>
      <c r="I120" s="288"/>
    </row>
    <row r="121" spans="1:9">
      <c r="A121" s="2">
        <f>A120+1</f>
        <v>57</v>
      </c>
      <c r="C121" s="254" t="s">
        <v>374</v>
      </c>
      <c r="D121" s="332">
        <v>2023</v>
      </c>
      <c r="E121" s="59">
        <v>3062621784.0572152</v>
      </c>
      <c r="F121" s="59">
        <v>705095107.09481514</v>
      </c>
      <c r="G121" s="6">
        <f t="shared" si="10"/>
        <v>2357526676.9624</v>
      </c>
      <c r="H121" s="6">
        <f>E121-E120</f>
        <v>218</v>
      </c>
    </row>
    <row r="122" spans="1:9">
      <c r="A122" s="2">
        <f t="shared" ref="A122:A132" si="11">A121+1</f>
        <v>58</v>
      </c>
      <c r="C122" s="254" t="s">
        <v>375</v>
      </c>
      <c r="D122" s="332">
        <v>2023</v>
      </c>
      <c r="E122" s="59">
        <v>3062621784.0572152</v>
      </c>
      <c r="F122" s="59">
        <v>711486868.01158226</v>
      </c>
      <c r="G122" s="6">
        <f t="shared" si="10"/>
        <v>2351134916.0456328</v>
      </c>
      <c r="H122" s="6">
        <f t="shared" ref="H122:H132" si="12">E122-E121</f>
        <v>0</v>
      </c>
    </row>
    <row r="123" spans="1:9">
      <c r="A123" s="2">
        <f t="shared" si="11"/>
        <v>59</v>
      </c>
      <c r="C123" s="254" t="s">
        <v>376</v>
      </c>
      <c r="D123" s="332">
        <v>2023</v>
      </c>
      <c r="E123" s="59">
        <v>3062621784.0572152</v>
      </c>
      <c r="F123" s="59">
        <v>717878628.94442368</v>
      </c>
      <c r="G123" s="6">
        <f t="shared" si="10"/>
        <v>2344743155.1127915</v>
      </c>
      <c r="H123" s="6">
        <f t="shared" si="12"/>
        <v>0</v>
      </c>
    </row>
    <row r="124" spans="1:9">
      <c r="A124" s="2">
        <f t="shared" si="11"/>
        <v>60</v>
      </c>
      <c r="C124" s="254" t="s">
        <v>377</v>
      </c>
      <c r="D124" s="332">
        <v>2023</v>
      </c>
      <c r="E124" s="59">
        <v>3062549884.0572152</v>
      </c>
      <c r="F124" s="59">
        <v>724270389.8772651</v>
      </c>
      <c r="G124" s="6">
        <f t="shared" si="10"/>
        <v>2338279494.1799502</v>
      </c>
      <c r="H124" s="6">
        <f t="shared" si="12"/>
        <v>-71900</v>
      </c>
    </row>
    <row r="125" spans="1:9">
      <c r="A125" s="2">
        <f t="shared" si="11"/>
        <v>61</v>
      </c>
      <c r="C125" s="254" t="s">
        <v>378</v>
      </c>
      <c r="D125" s="332">
        <v>2023</v>
      </c>
      <c r="E125" s="59">
        <v>3062544884.0572152</v>
      </c>
      <c r="F125" s="59">
        <v>730662150.8101064</v>
      </c>
      <c r="G125" s="6">
        <f t="shared" si="10"/>
        <v>2331882733.2471089</v>
      </c>
      <c r="H125" s="6">
        <f t="shared" si="12"/>
        <v>-5000</v>
      </c>
    </row>
    <row r="126" spans="1:9">
      <c r="A126" s="2">
        <f t="shared" si="11"/>
        <v>62</v>
      </c>
      <c r="C126" s="254" t="s">
        <v>379</v>
      </c>
      <c r="D126" s="332">
        <v>2023</v>
      </c>
      <c r="E126" s="59">
        <v>3062544884.0572152</v>
      </c>
      <c r="F126" s="59">
        <v>737053906.43714523</v>
      </c>
      <c r="G126" s="6">
        <f t="shared" si="10"/>
        <v>2325490977.62007</v>
      </c>
      <c r="H126" s="6">
        <f t="shared" si="12"/>
        <v>0</v>
      </c>
    </row>
    <row r="127" spans="1:9">
      <c r="A127" s="2">
        <f t="shared" si="11"/>
        <v>63</v>
      </c>
      <c r="C127" s="254" t="s">
        <v>380</v>
      </c>
      <c r="D127" s="332">
        <v>2023</v>
      </c>
      <c r="E127" s="59">
        <v>3062591496.1372147</v>
      </c>
      <c r="F127" s="59">
        <v>743445661.6952076</v>
      </c>
      <c r="G127" s="6">
        <f t="shared" si="10"/>
        <v>2319145834.4420071</v>
      </c>
      <c r="H127" s="6">
        <f t="shared" si="12"/>
        <v>46612.079999446869</v>
      </c>
    </row>
    <row r="128" spans="1:9">
      <c r="A128" s="2">
        <f t="shared" si="11"/>
        <v>64</v>
      </c>
      <c r="C128" s="254" t="s">
        <v>381</v>
      </c>
      <c r="D128" s="332">
        <v>2023</v>
      </c>
      <c r="E128" s="59">
        <v>3062591650.4472151</v>
      </c>
      <c r="F128" s="59">
        <v>749837518.30106914</v>
      </c>
      <c r="G128" s="6">
        <f t="shared" si="10"/>
        <v>2312754132.1461458</v>
      </c>
      <c r="H128" s="6">
        <f t="shared" si="12"/>
        <v>154.3100004196167</v>
      </c>
    </row>
    <row r="129" spans="1:8">
      <c r="A129" s="2">
        <f t="shared" si="11"/>
        <v>65</v>
      </c>
      <c r="C129" s="254" t="s">
        <v>382</v>
      </c>
      <c r="D129" s="332">
        <v>2023</v>
      </c>
      <c r="E129" s="59">
        <v>3062591650.4472151</v>
      </c>
      <c r="F129" s="59">
        <v>756229387.25813568</v>
      </c>
      <c r="G129" s="6">
        <f t="shared" si="10"/>
        <v>2306362263.1890793</v>
      </c>
      <c r="H129" s="6">
        <f t="shared" si="12"/>
        <v>0</v>
      </c>
    </row>
    <row r="130" spans="1:8">
      <c r="A130" s="2">
        <f t="shared" si="11"/>
        <v>66</v>
      </c>
      <c r="C130" s="254" t="s">
        <v>963</v>
      </c>
      <c r="D130" s="332">
        <v>2023</v>
      </c>
      <c r="E130" s="59">
        <v>3062593821.797215</v>
      </c>
      <c r="F130" s="59">
        <v>762621256.2265873</v>
      </c>
      <c r="G130" s="6">
        <f t="shared" si="10"/>
        <v>2299972565.5706277</v>
      </c>
      <c r="H130" s="6">
        <f t="shared" si="12"/>
        <v>2171.3499999046326</v>
      </c>
    </row>
    <row r="131" spans="1:8">
      <c r="A131" s="2">
        <f t="shared" si="11"/>
        <v>67</v>
      </c>
      <c r="C131" s="254" t="s">
        <v>384</v>
      </c>
      <c r="D131" s="332">
        <v>2023</v>
      </c>
      <c r="E131" s="59">
        <v>3062593821.797215</v>
      </c>
      <c r="F131" s="59">
        <v>769013125.19503856</v>
      </c>
      <c r="G131" s="6">
        <f t="shared" si="10"/>
        <v>2293580696.6021767</v>
      </c>
      <c r="H131" s="6">
        <f t="shared" si="12"/>
        <v>0</v>
      </c>
    </row>
    <row r="132" spans="1:8">
      <c r="A132" s="2">
        <f t="shared" si="11"/>
        <v>68</v>
      </c>
      <c r="C132" s="254" t="s">
        <v>372</v>
      </c>
      <c r="D132" s="332">
        <v>2023</v>
      </c>
      <c r="E132" s="59">
        <v>3062593821.797215</v>
      </c>
      <c r="F132" s="59">
        <v>775404994.32358325</v>
      </c>
      <c r="G132" s="6">
        <f t="shared" si="10"/>
        <v>2287188827.4736319</v>
      </c>
      <c r="H132" s="6">
        <f t="shared" si="12"/>
        <v>0</v>
      </c>
    </row>
    <row r="133" spans="1:8">
      <c r="A133" s="2"/>
      <c r="C133" s="254"/>
      <c r="D133" s="258"/>
    </row>
    <row r="135" spans="1:8">
      <c r="C135" s="15" t="s">
        <v>1201</v>
      </c>
      <c r="E135" s="48" t="s">
        <v>329</v>
      </c>
      <c r="F135" s="48" t="s">
        <v>330</v>
      </c>
      <c r="G135" s="48" t="s">
        <v>331</v>
      </c>
      <c r="H135" s="48" t="s">
        <v>332</v>
      </c>
    </row>
    <row r="136" spans="1:8">
      <c r="G136" s="241" t="s">
        <v>1185</v>
      </c>
      <c r="H136" s="241" t="s">
        <v>1196</v>
      </c>
    </row>
    <row r="137" spans="1:8">
      <c r="C137" s="2" t="s">
        <v>1176</v>
      </c>
      <c r="H137" s="236" t="s">
        <v>1197</v>
      </c>
    </row>
    <row r="138" spans="1:8">
      <c r="C138" s="2" t="s">
        <v>365</v>
      </c>
      <c r="E138" s="2" t="s">
        <v>652</v>
      </c>
      <c r="F138" s="2" t="s">
        <v>1198</v>
      </c>
      <c r="G138" s="2" t="s">
        <v>1199</v>
      </c>
      <c r="H138" s="2" t="s">
        <v>696</v>
      </c>
    </row>
    <row r="139" spans="1:8">
      <c r="C139" s="18" t="s">
        <v>364</v>
      </c>
      <c r="D139" s="18" t="s">
        <v>365</v>
      </c>
      <c r="E139" s="3" t="s">
        <v>1200</v>
      </c>
      <c r="F139" s="3" t="s">
        <v>38</v>
      </c>
      <c r="G139" s="3" t="s">
        <v>1166</v>
      </c>
      <c r="H139" s="3" t="s">
        <v>1190</v>
      </c>
    </row>
    <row r="140" spans="1:8">
      <c r="A140" s="2">
        <f>A132+1</f>
        <v>69</v>
      </c>
      <c r="C140" s="254" t="s">
        <v>372</v>
      </c>
      <c r="D140" s="481">
        <v>2022</v>
      </c>
      <c r="E140" s="59">
        <v>191500873.53999996</v>
      </c>
      <c r="F140" s="59">
        <v>64964075.975488313</v>
      </c>
      <c r="G140" s="6">
        <f>E140-F140</f>
        <v>126536797.56451166</v>
      </c>
      <c r="H140" s="6">
        <f>E140-E140</f>
        <v>0</v>
      </c>
    </row>
    <row r="141" spans="1:8">
      <c r="A141" s="2">
        <f>A140+1</f>
        <v>70</v>
      </c>
      <c r="C141" s="254" t="s">
        <v>374</v>
      </c>
      <c r="D141" s="332">
        <v>2023</v>
      </c>
      <c r="E141" s="59">
        <v>191500873.53999996</v>
      </c>
      <c r="F141" s="59">
        <v>65358996.728942558</v>
      </c>
      <c r="G141" s="6">
        <f t="shared" ref="G141:G152" si="13">E141-F141</f>
        <v>126141876.8110574</v>
      </c>
      <c r="H141" s="6">
        <f>E141-E140</f>
        <v>0</v>
      </c>
    </row>
    <row r="142" spans="1:8">
      <c r="A142" s="2">
        <f t="shared" ref="A142:A152" si="14">A141+1</f>
        <v>71</v>
      </c>
      <c r="C142" s="254" t="s">
        <v>375</v>
      </c>
      <c r="D142" s="332">
        <v>2023</v>
      </c>
      <c r="E142" s="59">
        <v>191500873.53999996</v>
      </c>
      <c r="F142" s="59">
        <v>65753917.482396811</v>
      </c>
      <c r="G142" s="6">
        <f t="shared" si="13"/>
        <v>125746956.05760315</v>
      </c>
      <c r="H142" s="6">
        <f t="shared" ref="H142:H152" si="15">E142-E141</f>
        <v>0</v>
      </c>
    </row>
    <row r="143" spans="1:8">
      <c r="A143" s="2">
        <f t="shared" si="14"/>
        <v>72</v>
      </c>
      <c r="C143" s="254" t="s">
        <v>376</v>
      </c>
      <c r="D143" s="332">
        <v>2023</v>
      </c>
      <c r="E143" s="59">
        <v>191500873.53999996</v>
      </c>
      <c r="F143" s="59">
        <v>66148838.235851057</v>
      </c>
      <c r="G143" s="6">
        <f t="shared" si="13"/>
        <v>125352035.30414891</v>
      </c>
      <c r="H143" s="6">
        <f t="shared" si="15"/>
        <v>0</v>
      </c>
    </row>
    <row r="144" spans="1:8">
      <c r="A144" s="2">
        <f t="shared" si="14"/>
        <v>73</v>
      </c>
      <c r="C144" s="254" t="s">
        <v>377</v>
      </c>
      <c r="D144" s="332">
        <v>2023</v>
      </c>
      <c r="E144" s="59">
        <v>191500873.53999996</v>
      </c>
      <c r="F144" s="59">
        <v>66543758.989305303</v>
      </c>
      <c r="G144" s="6">
        <f t="shared" si="13"/>
        <v>124957114.55069466</v>
      </c>
      <c r="H144" s="6">
        <f t="shared" si="15"/>
        <v>0</v>
      </c>
    </row>
    <row r="145" spans="1:8">
      <c r="A145" s="2">
        <f t="shared" si="14"/>
        <v>74</v>
      </c>
      <c r="C145" s="254" t="s">
        <v>378</v>
      </c>
      <c r="D145" s="332">
        <v>2023</v>
      </c>
      <c r="E145" s="59">
        <v>191500873.53999996</v>
      </c>
      <c r="F145" s="59">
        <v>66938679.742759556</v>
      </c>
      <c r="G145" s="6">
        <f t="shared" si="13"/>
        <v>124562193.79724041</v>
      </c>
      <c r="H145" s="6">
        <f t="shared" si="15"/>
        <v>0</v>
      </c>
    </row>
    <row r="146" spans="1:8">
      <c r="A146" s="2">
        <f t="shared" si="14"/>
        <v>75</v>
      </c>
      <c r="C146" s="254" t="s">
        <v>379</v>
      </c>
      <c r="D146" s="332">
        <v>2023</v>
      </c>
      <c r="E146" s="59">
        <v>191500873.53999996</v>
      </c>
      <c r="F146" s="59">
        <v>67333600.496213809</v>
      </c>
      <c r="G146" s="6">
        <f t="shared" si="13"/>
        <v>124167273.04378615</v>
      </c>
      <c r="H146" s="6">
        <f t="shared" si="15"/>
        <v>0</v>
      </c>
    </row>
    <row r="147" spans="1:8">
      <c r="A147" s="2">
        <f t="shared" si="14"/>
        <v>76</v>
      </c>
      <c r="C147" s="254" t="s">
        <v>380</v>
      </c>
      <c r="D147" s="332">
        <v>2023</v>
      </c>
      <c r="E147" s="59">
        <v>191500873.53999996</v>
      </c>
      <c r="F147" s="59">
        <v>67728521.249668062</v>
      </c>
      <c r="G147" s="6">
        <f t="shared" si="13"/>
        <v>123772352.2903319</v>
      </c>
      <c r="H147" s="6">
        <f t="shared" si="15"/>
        <v>0</v>
      </c>
    </row>
    <row r="148" spans="1:8">
      <c r="A148" s="2">
        <f t="shared" si="14"/>
        <v>77</v>
      </c>
      <c r="C148" s="254" t="s">
        <v>381</v>
      </c>
      <c r="D148" s="332">
        <v>2023</v>
      </c>
      <c r="E148" s="59">
        <v>191500873.53999996</v>
      </c>
      <c r="F148" s="59">
        <v>68123442.003122315</v>
      </c>
      <c r="G148" s="6">
        <f t="shared" si="13"/>
        <v>123377431.53687765</v>
      </c>
      <c r="H148" s="6">
        <f t="shared" si="15"/>
        <v>0</v>
      </c>
    </row>
    <row r="149" spans="1:8">
      <c r="A149" s="2">
        <f t="shared" si="14"/>
        <v>78</v>
      </c>
      <c r="C149" s="254" t="s">
        <v>382</v>
      </c>
      <c r="D149" s="332">
        <v>2023</v>
      </c>
      <c r="E149" s="59">
        <v>191500873.53999996</v>
      </c>
      <c r="F149" s="59">
        <v>68518362.756576553</v>
      </c>
      <c r="G149" s="6">
        <f t="shared" si="13"/>
        <v>122982510.78342341</v>
      </c>
      <c r="H149" s="6">
        <f t="shared" si="15"/>
        <v>0</v>
      </c>
    </row>
    <row r="150" spans="1:8">
      <c r="A150" s="2">
        <f t="shared" si="14"/>
        <v>79</v>
      </c>
      <c r="C150" s="254" t="s">
        <v>963</v>
      </c>
      <c r="D150" s="332">
        <v>2023</v>
      </c>
      <c r="E150" s="59">
        <v>191500873.53999996</v>
      </c>
      <c r="F150" s="59">
        <v>68913283.510030806</v>
      </c>
      <c r="G150" s="6">
        <f t="shared" si="13"/>
        <v>122587590.02996916</v>
      </c>
      <c r="H150" s="6">
        <f t="shared" si="15"/>
        <v>0</v>
      </c>
    </row>
    <row r="151" spans="1:8">
      <c r="A151" s="2">
        <f t="shared" si="14"/>
        <v>80</v>
      </c>
      <c r="C151" s="254" t="s">
        <v>384</v>
      </c>
      <c r="D151" s="332">
        <v>2023</v>
      </c>
      <c r="E151" s="59">
        <v>191500873.53999996</v>
      </c>
      <c r="F151" s="59">
        <v>69308204.263485059</v>
      </c>
      <c r="G151" s="6">
        <f t="shared" si="13"/>
        <v>122192669.2765149</v>
      </c>
      <c r="H151" s="6">
        <f t="shared" si="15"/>
        <v>0</v>
      </c>
    </row>
    <row r="152" spans="1:8">
      <c r="A152" s="2">
        <f t="shared" si="14"/>
        <v>81</v>
      </c>
      <c r="C152" s="254" t="s">
        <v>372</v>
      </c>
      <c r="D152" s="332">
        <v>2023</v>
      </c>
      <c r="E152" s="59">
        <v>191500873.53999996</v>
      </c>
      <c r="F152" s="59">
        <v>69703125.016939297</v>
      </c>
      <c r="G152" s="6">
        <f t="shared" si="13"/>
        <v>121797748.52306066</v>
      </c>
      <c r="H152" s="6">
        <f t="shared" si="15"/>
        <v>0</v>
      </c>
    </row>
    <row r="153" spans="1:8">
      <c r="A153" s="2"/>
    </row>
    <row r="154" spans="1:8" ht="12.75" customHeight="1"/>
    <row r="155" spans="1:8">
      <c r="C155" s="15" t="s">
        <v>1202</v>
      </c>
      <c r="E155" s="48" t="s">
        <v>329</v>
      </c>
      <c r="F155" s="48" t="s">
        <v>330</v>
      </c>
      <c r="G155" s="48" t="s">
        <v>331</v>
      </c>
      <c r="H155" s="48" t="s">
        <v>332</v>
      </c>
    </row>
    <row r="156" spans="1:8">
      <c r="G156" s="241" t="s">
        <v>1185</v>
      </c>
      <c r="H156" s="241" t="s">
        <v>1196</v>
      </c>
    </row>
    <row r="157" spans="1:8">
      <c r="C157" s="2" t="s">
        <v>1176</v>
      </c>
      <c r="H157" s="236" t="s">
        <v>1197</v>
      </c>
    </row>
    <row r="158" spans="1:8">
      <c r="C158" s="2" t="s">
        <v>365</v>
      </c>
      <c r="E158" s="2" t="s">
        <v>652</v>
      </c>
      <c r="F158" s="2" t="s">
        <v>1198</v>
      </c>
      <c r="G158" s="2" t="s">
        <v>1199</v>
      </c>
      <c r="H158" s="2" t="s">
        <v>696</v>
      </c>
    </row>
    <row r="159" spans="1:8">
      <c r="C159" s="18" t="s">
        <v>364</v>
      </c>
      <c r="D159" s="18" t="s">
        <v>365</v>
      </c>
      <c r="E159" s="3" t="s">
        <v>1200</v>
      </c>
      <c r="F159" s="3" t="s">
        <v>38</v>
      </c>
      <c r="G159" s="3" t="s">
        <v>1166</v>
      </c>
      <c r="H159" s="3" t="s">
        <v>1190</v>
      </c>
    </row>
    <row r="160" spans="1:8">
      <c r="A160" s="2">
        <f>A152+1</f>
        <v>82</v>
      </c>
      <c r="C160" s="254" t="s">
        <v>372</v>
      </c>
      <c r="D160" s="481">
        <v>2022</v>
      </c>
      <c r="E160" s="59">
        <v>774699350.07999992</v>
      </c>
      <c r="F160" s="59">
        <v>184443113.23299029</v>
      </c>
      <c r="G160" s="6">
        <f t="shared" ref="G160:G172" si="16">E160-F160</f>
        <v>590256236.84700966</v>
      </c>
      <c r="H160" s="6">
        <f>E160-E160</f>
        <v>0</v>
      </c>
    </row>
    <row r="161" spans="1:8">
      <c r="A161" s="2">
        <f>A160+1</f>
        <v>83</v>
      </c>
      <c r="C161" s="254" t="s">
        <v>374</v>
      </c>
      <c r="D161" s="332">
        <v>2023</v>
      </c>
      <c r="E161" s="59">
        <v>774699350.07999992</v>
      </c>
      <c r="F161" s="59">
        <v>186087186.37227175</v>
      </c>
      <c r="G161" s="6">
        <f t="shared" si="16"/>
        <v>588612163.70772815</v>
      </c>
      <c r="H161" s="6">
        <f>E161-E160</f>
        <v>0</v>
      </c>
    </row>
    <row r="162" spans="1:8">
      <c r="A162" s="2">
        <f t="shared" ref="A162:A172" si="17">A161+1</f>
        <v>84</v>
      </c>
      <c r="C162" s="254" t="s">
        <v>375</v>
      </c>
      <c r="D162" s="332">
        <v>2023</v>
      </c>
      <c r="E162" s="59">
        <v>774699350.07999992</v>
      </c>
      <c r="F162" s="59">
        <v>187731259.51155317</v>
      </c>
      <c r="G162" s="6">
        <f t="shared" si="16"/>
        <v>586968090.56844676</v>
      </c>
      <c r="H162" s="6">
        <f t="shared" ref="H162:H172" si="18">E162-E161</f>
        <v>0</v>
      </c>
    </row>
    <row r="163" spans="1:8">
      <c r="A163" s="2">
        <f t="shared" si="17"/>
        <v>85</v>
      </c>
      <c r="C163" s="254" t="s">
        <v>376</v>
      </c>
      <c r="D163" s="332">
        <v>2023</v>
      </c>
      <c r="E163" s="59">
        <v>774699350.07999992</v>
      </c>
      <c r="F163" s="59">
        <v>189375332.65083453</v>
      </c>
      <c r="G163" s="6">
        <f t="shared" si="16"/>
        <v>585324017.42916536</v>
      </c>
      <c r="H163" s="6">
        <f t="shared" si="18"/>
        <v>0</v>
      </c>
    </row>
    <row r="164" spans="1:8">
      <c r="A164" s="2">
        <f t="shared" si="17"/>
        <v>86</v>
      </c>
      <c r="C164" s="254" t="s">
        <v>377</v>
      </c>
      <c r="D164" s="332">
        <v>2023</v>
      </c>
      <c r="E164" s="59">
        <v>774699350.07999992</v>
      </c>
      <c r="F164" s="59">
        <v>191019405.79011598</v>
      </c>
      <c r="G164" s="6">
        <f t="shared" si="16"/>
        <v>583679944.28988397</v>
      </c>
      <c r="H164" s="6">
        <f t="shared" si="18"/>
        <v>0</v>
      </c>
    </row>
    <row r="165" spans="1:8">
      <c r="A165" s="2">
        <f t="shared" si="17"/>
        <v>87</v>
      </c>
      <c r="C165" s="254" t="s">
        <v>378</v>
      </c>
      <c r="D165" s="332">
        <v>2023</v>
      </c>
      <c r="E165" s="59">
        <v>774699350.07999992</v>
      </c>
      <c r="F165" s="59">
        <v>192663478.92939737</v>
      </c>
      <c r="G165" s="6">
        <f t="shared" si="16"/>
        <v>582035871.15060258</v>
      </c>
      <c r="H165" s="6">
        <f t="shared" si="18"/>
        <v>0</v>
      </c>
    </row>
    <row r="166" spans="1:8">
      <c r="A166" s="2">
        <f t="shared" si="17"/>
        <v>88</v>
      </c>
      <c r="C166" s="254" t="s">
        <v>379</v>
      </c>
      <c r="D166" s="332">
        <v>2023</v>
      </c>
      <c r="E166" s="59">
        <v>774699350.07999992</v>
      </c>
      <c r="F166" s="59">
        <v>194307552.0686788</v>
      </c>
      <c r="G166" s="6">
        <f t="shared" si="16"/>
        <v>580391798.01132107</v>
      </c>
      <c r="H166" s="6">
        <f t="shared" si="18"/>
        <v>0</v>
      </c>
    </row>
    <row r="167" spans="1:8">
      <c r="A167" s="2">
        <f t="shared" si="17"/>
        <v>89</v>
      </c>
      <c r="C167" s="254" t="s">
        <v>380</v>
      </c>
      <c r="D167" s="332">
        <v>2023</v>
      </c>
      <c r="E167" s="59">
        <v>774699350.07999992</v>
      </c>
      <c r="F167" s="59">
        <v>195951625.20796025</v>
      </c>
      <c r="G167" s="6">
        <f t="shared" si="16"/>
        <v>578747724.87203968</v>
      </c>
      <c r="H167" s="6">
        <f t="shared" si="18"/>
        <v>0</v>
      </c>
    </row>
    <row r="168" spans="1:8">
      <c r="A168" s="2">
        <f t="shared" si="17"/>
        <v>90</v>
      </c>
      <c r="C168" s="254" t="s">
        <v>381</v>
      </c>
      <c r="D168" s="332">
        <v>2023</v>
      </c>
      <c r="E168" s="59">
        <v>774699350.07999992</v>
      </c>
      <c r="F168" s="59">
        <v>197595698.34724167</v>
      </c>
      <c r="G168" s="6">
        <f t="shared" si="16"/>
        <v>577103651.73275828</v>
      </c>
      <c r="H168" s="6">
        <f t="shared" si="18"/>
        <v>0</v>
      </c>
    </row>
    <row r="169" spans="1:8">
      <c r="A169" s="2">
        <f t="shared" si="17"/>
        <v>91</v>
      </c>
      <c r="C169" s="254" t="s">
        <v>382</v>
      </c>
      <c r="D169" s="332">
        <v>2023</v>
      </c>
      <c r="E169" s="59">
        <v>774699350.07999992</v>
      </c>
      <c r="F169" s="59">
        <v>199239771.48652306</v>
      </c>
      <c r="G169" s="6">
        <f t="shared" si="16"/>
        <v>575459578.59347689</v>
      </c>
      <c r="H169" s="6">
        <f t="shared" si="18"/>
        <v>0</v>
      </c>
    </row>
    <row r="170" spans="1:8">
      <c r="A170" s="2">
        <f t="shared" si="17"/>
        <v>92</v>
      </c>
      <c r="C170" s="254" t="s">
        <v>963</v>
      </c>
      <c r="D170" s="332">
        <v>2023</v>
      </c>
      <c r="E170" s="59">
        <v>774699350.07999992</v>
      </c>
      <c r="F170" s="59">
        <v>200883844.62580448</v>
      </c>
      <c r="G170" s="6">
        <f t="shared" si="16"/>
        <v>573815505.4541955</v>
      </c>
      <c r="H170" s="6">
        <f t="shared" si="18"/>
        <v>0</v>
      </c>
    </row>
    <row r="171" spans="1:8">
      <c r="A171" s="2">
        <f t="shared" si="17"/>
        <v>93</v>
      </c>
      <c r="C171" s="254" t="s">
        <v>384</v>
      </c>
      <c r="D171" s="332">
        <v>2023</v>
      </c>
      <c r="E171" s="59">
        <v>774699350.07999992</v>
      </c>
      <c r="F171" s="59">
        <v>202527917.76508585</v>
      </c>
      <c r="G171" s="6">
        <f t="shared" si="16"/>
        <v>572171432.31491411</v>
      </c>
      <c r="H171" s="6">
        <f t="shared" si="18"/>
        <v>0</v>
      </c>
    </row>
    <row r="172" spans="1:8">
      <c r="A172" s="2">
        <f t="shared" si="17"/>
        <v>94</v>
      </c>
      <c r="C172" s="254" t="s">
        <v>372</v>
      </c>
      <c r="D172" s="332">
        <v>2023</v>
      </c>
      <c r="E172" s="59">
        <v>774699350.07999992</v>
      </c>
      <c r="F172" s="59">
        <v>204171990.9043673</v>
      </c>
      <c r="G172" s="6">
        <f t="shared" si="16"/>
        <v>570527359.1756326</v>
      </c>
      <c r="H172" s="6">
        <f t="shared" si="18"/>
        <v>0</v>
      </c>
    </row>
    <row r="174" spans="1:8">
      <c r="C174" s="15" t="s">
        <v>1203</v>
      </c>
      <c r="E174" s="48" t="s">
        <v>329</v>
      </c>
      <c r="F174" s="48" t="s">
        <v>330</v>
      </c>
      <c r="G174" s="48" t="s">
        <v>331</v>
      </c>
      <c r="H174" s="48" t="s">
        <v>332</v>
      </c>
    </row>
    <row r="175" spans="1:8">
      <c r="G175" s="241" t="s">
        <v>1185</v>
      </c>
      <c r="H175" s="241" t="s">
        <v>1196</v>
      </c>
    </row>
    <row r="176" spans="1:8">
      <c r="C176" s="2" t="s">
        <v>1176</v>
      </c>
      <c r="H176" s="236" t="s">
        <v>1197</v>
      </c>
    </row>
    <row r="177" spans="1:8">
      <c r="C177" s="2" t="s">
        <v>365</v>
      </c>
      <c r="E177" s="2" t="s">
        <v>652</v>
      </c>
      <c r="F177" s="2" t="s">
        <v>1198</v>
      </c>
      <c r="G177" s="2" t="s">
        <v>1199</v>
      </c>
      <c r="H177" s="2" t="s">
        <v>696</v>
      </c>
    </row>
    <row r="178" spans="1:8">
      <c r="C178" s="18" t="s">
        <v>364</v>
      </c>
      <c r="D178" s="18" t="s">
        <v>365</v>
      </c>
      <c r="E178" s="3" t="s">
        <v>1200</v>
      </c>
      <c r="F178" s="3" t="s">
        <v>38</v>
      </c>
      <c r="G178" s="3" t="s">
        <v>1166</v>
      </c>
      <c r="H178" s="3" t="s">
        <v>1190</v>
      </c>
    </row>
    <row r="179" spans="1:8">
      <c r="A179" s="2">
        <f>A172+1</f>
        <v>95</v>
      </c>
      <c r="C179" s="254" t="s">
        <v>372</v>
      </c>
      <c r="D179" s="481">
        <v>2022</v>
      </c>
      <c r="E179" s="59">
        <v>0</v>
      </c>
      <c r="F179" s="59">
        <v>0</v>
      </c>
      <c r="G179" s="6">
        <f t="shared" ref="G179:G191" si="19">E179-F179</f>
        <v>0</v>
      </c>
      <c r="H179" s="6">
        <f>E179-E179</f>
        <v>0</v>
      </c>
    </row>
    <row r="180" spans="1:8">
      <c r="A180" s="2">
        <f>A179+1</f>
        <v>96</v>
      </c>
      <c r="C180" s="254" t="s">
        <v>374</v>
      </c>
      <c r="D180" s="332">
        <v>2023</v>
      </c>
      <c r="E180" s="59">
        <v>0</v>
      </c>
      <c r="F180" s="59">
        <v>0</v>
      </c>
      <c r="G180" s="6">
        <f t="shared" si="19"/>
        <v>0</v>
      </c>
      <c r="H180" s="6">
        <f>E180-E179</f>
        <v>0</v>
      </c>
    </row>
    <row r="181" spans="1:8">
      <c r="A181" s="2">
        <f t="shared" ref="A181:A191" si="20">A180+1</f>
        <v>97</v>
      </c>
      <c r="C181" s="254" t="s">
        <v>375</v>
      </c>
      <c r="D181" s="332">
        <v>2023</v>
      </c>
      <c r="E181" s="59">
        <v>0</v>
      </c>
      <c r="F181" s="59">
        <v>0</v>
      </c>
      <c r="G181" s="6">
        <f t="shared" si="19"/>
        <v>0</v>
      </c>
      <c r="H181" s="6">
        <f t="shared" ref="H181:H191" si="21">E181-E180</f>
        <v>0</v>
      </c>
    </row>
    <row r="182" spans="1:8">
      <c r="A182" s="2">
        <f t="shared" si="20"/>
        <v>98</v>
      </c>
      <c r="C182" s="254" t="s">
        <v>376</v>
      </c>
      <c r="D182" s="332">
        <v>2023</v>
      </c>
      <c r="E182" s="59">
        <v>0</v>
      </c>
      <c r="F182" s="59">
        <v>0</v>
      </c>
      <c r="G182" s="6">
        <f t="shared" si="19"/>
        <v>0</v>
      </c>
      <c r="H182" s="6">
        <f t="shared" si="21"/>
        <v>0</v>
      </c>
    </row>
    <row r="183" spans="1:8">
      <c r="A183" s="2">
        <f t="shared" si="20"/>
        <v>99</v>
      </c>
      <c r="C183" s="254" t="s">
        <v>377</v>
      </c>
      <c r="D183" s="332">
        <v>2023</v>
      </c>
      <c r="E183" s="59">
        <v>0</v>
      </c>
      <c r="F183" s="59">
        <v>0</v>
      </c>
      <c r="G183" s="6">
        <f t="shared" si="19"/>
        <v>0</v>
      </c>
      <c r="H183" s="6">
        <f t="shared" si="21"/>
        <v>0</v>
      </c>
    </row>
    <row r="184" spans="1:8">
      <c r="A184" s="2">
        <f t="shared" si="20"/>
        <v>100</v>
      </c>
      <c r="C184" s="254" t="s">
        <v>378</v>
      </c>
      <c r="D184" s="332">
        <v>2023</v>
      </c>
      <c r="E184" s="59">
        <v>0</v>
      </c>
      <c r="F184" s="59">
        <v>0</v>
      </c>
      <c r="G184" s="6">
        <f t="shared" si="19"/>
        <v>0</v>
      </c>
      <c r="H184" s="6">
        <f t="shared" si="21"/>
        <v>0</v>
      </c>
    </row>
    <row r="185" spans="1:8">
      <c r="A185" s="2">
        <f t="shared" si="20"/>
        <v>101</v>
      </c>
      <c r="C185" s="254" t="s">
        <v>379</v>
      </c>
      <c r="D185" s="332">
        <v>2023</v>
      </c>
      <c r="E185" s="59">
        <v>0</v>
      </c>
      <c r="F185" s="59">
        <v>0</v>
      </c>
      <c r="G185" s="6">
        <f t="shared" si="19"/>
        <v>0</v>
      </c>
      <c r="H185" s="6">
        <f t="shared" si="21"/>
        <v>0</v>
      </c>
    </row>
    <row r="186" spans="1:8">
      <c r="A186" s="2">
        <f t="shared" si="20"/>
        <v>102</v>
      </c>
      <c r="C186" s="254" t="s">
        <v>380</v>
      </c>
      <c r="D186" s="332">
        <v>2023</v>
      </c>
      <c r="E186" s="59">
        <v>0</v>
      </c>
      <c r="F186" s="59">
        <v>0</v>
      </c>
      <c r="G186" s="6">
        <f t="shared" si="19"/>
        <v>0</v>
      </c>
      <c r="H186" s="6">
        <f t="shared" si="21"/>
        <v>0</v>
      </c>
    </row>
    <row r="187" spans="1:8">
      <c r="A187" s="2">
        <f t="shared" si="20"/>
        <v>103</v>
      </c>
      <c r="C187" s="254" t="s">
        <v>381</v>
      </c>
      <c r="D187" s="332">
        <v>2023</v>
      </c>
      <c r="E187" s="59">
        <v>0</v>
      </c>
      <c r="F187" s="59">
        <v>0</v>
      </c>
      <c r="G187" s="6">
        <f t="shared" si="19"/>
        <v>0</v>
      </c>
      <c r="H187" s="6">
        <f t="shared" si="21"/>
        <v>0</v>
      </c>
    </row>
    <row r="188" spans="1:8">
      <c r="A188" s="2">
        <f t="shared" si="20"/>
        <v>104</v>
      </c>
      <c r="C188" s="254" t="s">
        <v>382</v>
      </c>
      <c r="D188" s="332">
        <v>2023</v>
      </c>
      <c r="E188" s="59">
        <v>0</v>
      </c>
      <c r="F188" s="59">
        <v>0</v>
      </c>
      <c r="G188" s="6">
        <f t="shared" si="19"/>
        <v>0</v>
      </c>
      <c r="H188" s="6">
        <f t="shared" si="21"/>
        <v>0</v>
      </c>
    </row>
    <row r="189" spans="1:8">
      <c r="A189" s="2">
        <f t="shared" si="20"/>
        <v>105</v>
      </c>
      <c r="C189" s="254" t="s">
        <v>963</v>
      </c>
      <c r="D189" s="332">
        <v>2023</v>
      </c>
      <c r="E189" s="59">
        <v>0</v>
      </c>
      <c r="F189" s="59">
        <v>0</v>
      </c>
      <c r="G189" s="6">
        <f t="shared" si="19"/>
        <v>0</v>
      </c>
      <c r="H189" s="6">
        <f t="shared" si="21"/>
        <v>0</v>
      </c>
    </row>
    <row r="190" spans="1:8">
      <c r="A190" s="2">
        <f t="shared" si="20"/>
        <v>106</v>
      </c>
      <c r="C190" s="254" t="s">
        <v>384</v>
      </c>
      <c r="D190" s="332">
        <v>2023</v>
      </c>
      <c r="E190" s="59">
        <v>0</v>
      </c>
      <c r="F190" s="59">
        <v>0</v>
      </c>
      <c r="G190" s="6">
        <f t="shared" si="19"/>
        <v>0</v>
      </c>
      <c r="H190" s="6">
        <f t="shared" si="21"/>
        <v>0</v>
      </c>
    </row>
    <row r="191" spans="1:8">
      <c r="A191" s="2">
        <f t="shared" si="20"/>
        <v>107</v>
      </c>
      <c r="C191" s="254" t="s">
        <v>372</v>
      </c>
      <c r="D191" s="332">
        <v>2023</v>
      </c>
      <c r="E191" s="59">
        <v>0</v>
      </c>
      <c r="F191" s="59">
        <v>0</v>
      </c>
      <c r="G191" s="6">
        <f t="shared" si="19"/>
        <v>0</v>
      </c>
      <c r="H191" s="6">
        <f t="shared" si="21"/>
        <v>0</v>
      </c>
    </row>
    <row r="193" spans="1:8">
      <c r="C193" s="15" t="s">
        <v>1204</v>
      </c>
      <c r="E193" s="48" t="s">
        <v>329</v>
      </c>
      <c r="F193" s="48" t="s">
        <v>330</v>
      </c>
      <c r="G193" s="48" t="s">
        <v>331</v>
      </c>
      <c r="H193" s="48" t="s">
        <v>332</v>
      </c>
    </row>
    <row r="194" spans="1:8">
      <c r="G194" s="241" t="s">
        <v>1185</v>
      </c>
      <c r="H194" s="241" t="s">
        <v>1196</v>
      </c>
    </row>
    <row r="195" spans="1:8">
      <c r="C195" s="2" t="s">
        <v>1176</v>
      </c>
      <c r="H195" s="236" t="s">
        <v>1197</v>
      </c>
    </row>
    <row r="196" spans="1:8">
      <c r="C196" s="2" t="s">
        <v>365</v>
      </c>
      <c r="E196" s="2" t="s">
        <v>652</v>
      </c>
      <c r="F196" s="2" t="s">
        <v>1198</v>
      </c>
      <c r="G196" s="2" t="s">
        <v>1199</v>
      </c>
      <c r="H196" s="2" t="s">
        <v>696</v>
      </c>
    </row>
    <row r="197" spans="1:8">
      <c r="C197" s="18" t="s">
        <v>364</v>
      </c>
      <c r="D197" s="18" t="s">
        <v>365</v>
      </c>
      <c r="E197" s="3" t="s">
        <v>1200</v>
      </c>
      <c r="F197" s="3" t="s">
        <v>38</v>
      </c>
      <c r="G197" s="3" t="s">
        <v>1166</v>
      </c>
      <c r="H197" s="3" t="s">
        <v>1190</v>
      </c>
    </row>
    <row r="198" spans="1:8">
      <c r="A198" s="2">
        <f>A191+1</f>
        <v>108</v>
      </c>
      <c r="C198" s="254" t="s">
        <v>372</v>
      </c>
      <c r="D198" s="481">
        <v>2022</v>
      </c>
      <c r="E198" s="59">
        <v>305228805.05000007</v>
      </c>
      <c r="F198" s="59">
        <v>14659428.253130501</v>
      </c>
      <c r="G198" s="6">
        <f t="shared" ref="G198:G210" si="22">E198-F198</f>
        <v>290569376.79686958</v>
      </c>
      <c r="H198" s="6">
        <f>E198-E198</f>
        <v>0</v>
      </c>
    </row>
    <row r="199" spans="1:8">
      <c r="A199" s="2">
        <f>A198+1</f>
        <v>109</v>
      </c>
      <c r="C199" s="254" t="s">
        <v>374</v>
      </c>
      <c r="D199" s="332">
        <v>2023</v>
      </c>
      <c r="E199" s="59">
        <v>305259094.69000006</v>
      </c>
      <c r="F199" s="59">
        <v>15328983.163474172</v>
      </c>
      <c r="G199" s="6">
        <f t="shared" si="22"/>
        <v>289930111.52652586</v>
      </c>
      <c r="H199" s="6">
        <f>E199-E198</f>
        <v>30289.639999985695</v>
      </c>
    </row>
    <row r="200" spans="1:8">
      <c r="A200" s="2">
        <f t="shared" ref="A200:A210" si="23">A199+1</f>
        <v>110</v>
      </c>
      <c r="C200" s="254" t="s">
        <v>375</v>
      </c>
      <c r="D200" s="332">
        <v>2023</v>
      </c>
      <c r="E200" s="59">
        <v>305296369.19999999</v>
      </c>
      <c r="F200" s="59">
        <v>15998605.308458755</v>
      </c>
      <c r="G200" s="6">
        <f t="shared" si="22"/>
        <v>289297763.89154124</v>
      </c>
      <c r="H200" s="6">
        <f t="shared" ref="H200:H210" si="24">E200-E199</f>
        <v>37274.509999930859</v>
      </c>
    </row>
    <row r="201" spans="1:8">
      <c r="A201" s="2">
        <f t="shared" si="23"/>
        <v>111</v>
      </c>
      <c r="C201" s="254" t="s">
        <v>376</v>
      </c>
      <c r="D201" s="332">
        <v>2023</v>
      </c>
      <c r="E201" s="59">
        <v>305348710.64000005</v>
      </c>
      <c r="F201" s="59">
        <v>16668310.082041588</v>
      </c>
      <c r="G201" s="6">
        <f t="shared" si="22"/>
        <v>288680400.55795848</v>
      </c>
      <c r="H201" s="6">
        <f t="shared" si="24"/>
        <v>52341.44000005722</v>
      </c>
    </row>
    <row r="202" spans="1:8">
      <c r="A202" s="2">
        <f t="shared" si="23"/>
        <v>112</v>
      </c>
      <c r="C202" s="254" t="s">
        <v>377</v>
      </c>
      <c r="D202" s="332">
        <v>2023</v>
      </c>
      <c r="E202" s="59">
        <v>305518329.95000005</v>
      </c>
      <c r="F202" s="59">
        <v>17338130.886988755</v>
      </c>
      <c r="G202" s="6">
        <f t="shared" si="22"/>
        <v>288180199.06301129</v>
      </c>
      <c r="H202" s="6">
        <f t="shared" si="24"/>
        <v>169619.31000000238</v>
      </c>
    </row>
    <row r="203" spans="1:8">
      <c r="A203" s="2">
        <f t="shared" si="23"/>
        <v>113</v>
      </c>
      <c r="C203" s="254" t="s">
        <v>378</v>
      </c>
      <c r="D203" s="332">
        <v>2023</v>
      </c>
      <c r="E203" s="59">
        <v>305827756.36000001</v>
      </c>
      <c r="F203" s="59">
        <v>18008330.786260836</v>
      </c>
      <c r="G203" s="6">
        <f t="shared" si="22"/>
        <v>287819425.57373917</v>
      </c>
      <c r="H203" s="6">
        <f t="shared" si="24"/>
        <v>309426.40999996662</v>
      </c>
    </row>
    <row r="204" spans="1:8">
      <c r="A204" s="2">
        <f t="shared" si="23"/>
        <v>114</v>
      </c>
      <c r="C204" s="254" t="s">
        <v>379</v>
      </c>
      <c r="D204" s="332">
        <v>2023</v>
      </c>
      <c r="E204" s="59">
        <v>305979140.11000001</v>
      </c>
      <c r="F204" s="59">
        <v>18679221.702329837</v>
      </c>
      <c r="G204" s="6">
        <f t="shared" si="22"/>
        <v>287299918.4076702</v>
      </c>
      <c r="H204" s="6">
        <f t="shared" si="24"/>
        <v>151383.75</v>
      </c>
    </row>
    <row r="205" spans="1:8">
      <c r="A205" s="2">
        <f t="shared" si="23"/>
        <v>115</v>
      </c>
      <c r="C205" s="254" t="s">
        <v>380</v>
      </c>
      <c r="D205" s="332">
        <v>2023</v>
      </c>
      <c r="E205" s="59">
        <v>306148212.97999996</v>
      </c>
      <c r="F205" s="59">
        <v>19350450.861270837</v>
      </c>
      <c r="G205" s="6">
        <f t="shared" si="22"/>
        <v>286797762.11872911</v>
      </c>
      <c r="H205" s="6">
        <f t="shared" si="24"/>
        <v>169072.86999994516</v>
      </c>
    </row>
    <row r="206" spans="1:8">
      <c r="A206" s="2">
        <f t="shared" si="23"/>
        <v>116</v>
      </c>
      <c r="C206" s="254" t="s">
        <v>381</v>
      </c>
      <c r="D206" s="332">
        <v>2023</v>
      </c>
      <c r="E206" s="59">
        <v>306290240.48000002</v>
      </c>
      <c r="F206" s="59">
        <v>20022057.042066172</v>
      </c>
      <c r="G206" s="6">
        <f t="shared" si="22"/>
        <v>286268183.43793386</v>
      </c>
      <c r="H206" s="6">
        <f t="shared" si="24"/>
        <v>142027.5000000596</v>
      </c>
    </row>
    <row r="207" spans="1:8">
      <c r="A207" s="2">
        <f t="shared" si="23"/>
        <v>117</v>
      </c>
      <c r="C207" s="254" t="s">
        <v>382</v>
      </c>
      <c r="D207" s="332">
        <v>2023</v>
      </c>
      <c r="E207" s="59">
        <v>306327699.53000003</v>
      </c>
      <c r="F207" s="59">
        <v>20693979.59284059</v>
      </c>
      <c r="G207" s="6">
        <f t="shared" si="22"/>
        <v>285633719.93715942</v>
      </c>
      <c r="H207" s="6">
        <f t="shared" si="24"/>
        <v>37459.050000011921</v>
      </c>
    </row>
    <row r="208" spans="1:8">
      <c r="A208" s="2">
        <f t="shared" si="23"/>
        <v>118</v>
      </c>
      <c r="C208" s="254" t="s">
        <v>963</v>
      </c>
      <c r="D208" s="332">
        <v>2023</v>
      </c>
      <c r="E208" s="59">
        <v>306458330.95999998</v>
      </c>
      <c r="F208" s="59">
        <v>21365984.403648503</v>
      </c>
      <c r="G208" s="6">
        <f t="shared" si="22"/>
        <v>285092346.55635148</v>
      </c>
      <c r="H208" s="6">
        <f t="shared" si="24"/>
        <v>130631.42999994755</v>
      </c>
    </row>
    <row r="209" spans="1:8">
      <c r="A209" s="2">
        <f t="shared" si="23"/>
        <v>119</v>
      </c>
      <c r="C209" s="254" t="s">
        <v>384</v>
      </c>
      <c r="D209" s="332">
        <v>2023</v>
      </c>
      <c r="E209" s="59">
        <v>306683798.35000002</v>
      </c>
      <c r="F209" s="59">
        <v>22038278.023961671</v>
      </c>
      <c r="G209" s="6">
        <f t="shared" si="22"/>
        <v>284645520.32603836</v>
      </c>
      <c r="H209" s="6">
        <f t="shared" si="24"/>
        <v>225467.3900000453</v>
      </c>
    </row>
    <row r="210" spans="1:8">
      <c r="A210" s="2">
        <f t="shared" si="23"/>
        <v>120</v>
      </c>
      <c r="C210" s="254" t="s">
        <v>372</v>
      </c>
      <c r="D210" s="332">
        <v>2023</v>
      </c>
      <c r="E210" s="59">
        <v>306771178.80000007</v>
      </c>
      <c r="F210" s="59">
        <v>22711076.239762675</v>
      </c>
      <c r="G210" s="6">
        <f t="shared" si="22"/>
        <v>284060102.56023741</v>
      </c>
      <c r="H210" s="6">
        <f t="shared" si="24"/>
        <v>87380.450000047684</v>
      </c>
    </row>
    <row r="212" spans="1:8">
      <c r="C212" s="15" t="s">
        <v>1205</v>
      </c>
      <c r="E212" s="48" t="s">
        <v>329</v>
      </c>
      <c r="F212" s="48" t="s">
        <v>330</v>
      </c>
      <c r="G212" s="48" t="s">
        <v>331</v>
      </c>
      <c r="H212" s="48" t="s">
        <v>332</v>
      </c>
    </row>
    <row r="213" spans="1:8">
      <c r="G213" s="241" t="s">
        <v>1185</v>
      </c>
      <c r="H213" s="241" t="s">
        <v>1196</v>
      </c>
    </row>
    <row r="214" spans="1:8">
      <c r="C214" s="2" t="s">
        <v>1176</v>
      </c>
      <c r="H214" s="236" t="s">
        <v>1197</v>
      </c>
    </row>
    <row r="215" spans="1:8">
      <c r="C215" s="2" t="s">
        <v>365</v>
      </c>
      <c r="E215" s="2" t="s">
        <v>652</v>
      </c>
      <c r="F215" s="2" t="s">
        <v>1198</v>
      </c>
      <c r="G215" s="2" t="s">
        <v>1199</v>
      </c>
      <c r="H215" s="2" t="s">
        <v>696</v>
      </c>
    </row>
    <row r="216" spans="1:8">
      <c r="C216" s="18" t="s">
        <v>364</v>
      </c>
      <c r="D216" s="18" t="s">
        <v>365</v>
      </c>
      <c r="E216" s="3" t="s">
        <v>1200</v>
      </c>
      <c r="F216" s="3" t="s">
        <v>38</v>
      </c>
      <c r="G216" s="3" t="s">
        <v>1166</v>
      </c>
      <c r="H216" s="3" t="s">
        <v>1190</v>
      </c>
    </row>
    <row r="217" spans="1:8">
      <c r="A217" s="2">
        <f>A210+1</f>
        <v>121</v>
      </c>
      <c r="C217" s="254" t="s">
        <v>372</v>
      </c>
      <c r="D217" s="481">
        <v>2022</v>
      </c>
      <c r="E217" s="59">
        <v>235653780.98999995</v>
      </c>
      <c r="F217" s="59">
        <v>55351895.250721186</v>
      </c>
      <c r="G217" s="6">
        <f t="shared" ref="G217:G229" si="25">E217-F217</f>
        <v>180301885.73927876</v>
      </c>
      <c r="H217" s="6">
        <f>E217-E217</f>
        <v>0</v>
      </c>
    </row>
    <row r="218" spans="1:8">
      <c r="A218" s="2">
        <f>A217+1</f>
        <v>122</v>
      </c>
      <c r="C218" s="254" t="s">
        <v>374</v>
      </c>
      <c r="D218" s="332">
        <v>2023</v>
      </c>
      <c r="E218" s="59">
        <v>235653780.98999995</v>
      </c>
      <c r="F218" s="59">
        <v>55848645.951323517</v>
      </c>
      <c r="G218" s="6">
        <f t="shared" si="25"/>
        <v>179805135.03867644</v>
      </c>
      <c r="H218" s="6">
        <f>E218-E217</f>
        <v>0</v>
      </c>
    </row>
    <row r="219" spans="1:8">
      <c r="A219" s="2">
        <f t="shared" ref="A219:A229" si="26">A218+1</f>
        <v>123</v>
      </c>
      <c r="C219" s="254" t="s">
        <v>375</v>
      </c>
      <c r="D219" s="332">
        <v>2023</v>
      </c>
      <c r="E219" s="59">
        <v>235653780.98999995</v>
      </c>
      <c r="F219" s="59">
        <v>56345396.651925847</v>
      </c>
      <c r="G219" s="6">
        <f t="shared" si="25"/>
        <v>179308384.33807409</v>
      </c>
      <c r="H219" s="6">
        <f t="shared" ref="H219:H229" si="27">E219-E218</f>
        <v>0</v>
      </c>
    </row>
    <row r="220" spans="1:8">
      <c r="A220" s="2">
        <f t="shared" si="26"/>
        <v>124</v>
      </c>
      <c r="C220" s="254" t="s">
        <v>376</v>
      </c>
      <c r="D220" s="332">
        <v>2023</v>
      </c>
      <c r="E220" s="59">
        <v>235653780.98999995</v>
      </c>
      <c r="F220" s="59">
        <v>56842147.352528177</v>
      </c>
      <c r="G220" s="6">
        <f t="shared" si="25"/>
        <v>178811633.63747177</v>
      </c>
      <c r="H220" s="6">
        <f t="shared" si="27"/>
        <v>0</v>
      </c>
    </row>
    <row r="221" spans="1:8">
      <c r="A221" s="2">
        <f t="shared" si="26"/>
        <v>125</v>
      </c>
      <c r="C221" s="254" t="s">
        <v>377</v>
      </c>
      <c r="D221" s="332">
        <v>2023</v>
      </c>
      <c r="E221" s="59">
        <v>235653780.98999995</v>
      </c>
      <c r="F221" s="59">
        <v>57338898.053130515</v>
      </c>
      <c r="G221" s="6">
        <f t="shared" si="25"/>
        <v>178314882.93686944</v>
      </c>
      <c r="H221" s="6">
        <f t="shared" si="27"/>
        <v>0</v>
      </c>
    </row>
    <row r="222" spans="1:8">
      <c r="A222" s="2">
        <f t="shared" si="26"/>
        <v>126</v>
      </c>
      <c r="C222" s="254" t="s">
        <v>378</v>
      </c>
      <c r="D222" s="332">
        <v>2023</v>
      </c>
      <c r="E222" s="59">
        <v>235653780.98999995</v>
      </c>
      <c r="F222" s="59">
        <v>57835648.75373286</v>
      </c>
      <c r="G222" s="6">
        <f t="shared" si="25"/>
        <v>177818132.23626709</v>
      </c>
      <c r="H222" s="6">
        <f t="shared" si="27"/>
        <v>0</v>
      </c>
    </row>
    <row r="223" spans="1:8">
      <c r="A223" s="2">
        <f t="shared" si="26"/>
        <v>127</v>
      </c>
      <c r="C223" s="254" t="s">
        <v>379</v>
      </c>
      <c r="D223" s="332">
        <v>2023</v>
      </c>
      <c r="E223" s="59">
        <v>235653780.98999995</v>
      </c>
      <c r="F223" s="59">
        <v>58332399.45433519</v>
      </c>
      <c r="G223" s="6">
        <f t="shared" si="25"/>
        <v>177321381.53566477</v>
      </c>
      <c r="H223" s="6">
        <f t="shared" si="27"/>
        <v>0</v>
      </c>
    </row>
    <row r="224" spans="1:8">
      <c r="A224" s="2">
        <f t="shared" si="26"/>
        <v>128</v>
      </c>
      <c r="C224" s="254" t="s">
        <v>380</v>
      </c>
      <c r="D224" s="332">
        <v>2023</v>
      </c>
      <c r="E224" s="59">
        <v>235653780.98999995</v>
      </c>
      <c r="F224" s="59">
        <v>58829150.154937528</v>
      </c>
      <c r="G224" s="6">
        <f t="shared" si="25"/>
        <v>176824630.83506241</v>
      </c>
      <c r="H224" s="6">
        <f t="shared" si="27"/>
        <v>0</v>
      </c>
    </row>
    <row r="225" spans="1:8">
      <c r="A225" s="2">
        <f t="shared" si="26"/>
        <v>129</v>
      </c>
      <c r="C225" s="254" t="s">
        <v>381</v>
      </c>
      <c r="D225" s="332">
        <v>2023</v>
      </c>
      <c r="E225" s="59">
        <v>235653780.98999995</v>
      </c>
      <c r="F225" s="59">
        <v>59325900.855539858</v>
      </c>
      <c r="G225" s="6">
        <f t="shared" si="25"/>
        <v>176327880.13446009</v>
      </c>
      <c r="H225" s="6">
        <f t="shared" si="27"/>
        <v>0</v>
      </c>
    </row>
    <row r="226" spans="1:8">
      <c r="A226" s="2">
        <f t="shared" si="26"/>
        <v>130</v>
      </c>
      <c r="C226" s="254" t="s">
        <v>382</v>
      </c>
      <c r="D226" s="332">
        <v>2023</v>
      </c>
      <c r="E226" s="59">
        <v>235653780.98999995</v>
      </c>
      <c r="F226" s="59">
        <v>59822651.556142189</v>
      </c>
      <c r="G226" s="6">
        <f t="shared" si="25"/>
        <v>175831129.43385777</v>
      </c>
      <c r="H226" s="6">
        <f t="shared" si="27"/>
        <v>0</v>
      </c>
    </row>
    <row r="227" spans="1:8">
      <c r="A227" s="2">
        <f t="shared" si="26"/>
        <v>131</v>
      </c>
      <c r="C227" s="254" t="s">
        <v>963</v>
      </c>
      <c r="D227" s="332">
        <v>2023</v>
      </c>
      <c r="E227" s="59">
        <v>235653780.98999995</v>
      </c>
      <c r="F227" s="59">
        <v>60319402.256744526</v>
      </c>
      <c r="G227" s="6">
        <f t="shared" si="25"/>
        <v>175334378.73325542</v>
      </c>
      <c r="H227" s="6">
        <f t="shared" si="27"/>
        <v>0</v>
      </c>
    </row>
    <row r="228" spans="1:8">
      <c r="A228" s="2">
        <f t="shared" si="26"/>
        <v>132</v>
      </c>
      <c r="C228" s="254" t="s">
        <v>384</v>
      </c>
      <c r="D228" s="332">
        <v>2023</v>
      </c>
      <c r="E228" s="59">
        <v>235653780.98999995</v>
      </c>
      <c r="F228" s="59">
        <v>60816152.957346857</v>
      </c>
      <c r="G228" s="6">
        <f t="shared" si="25"/>
        <v>174837628.03265309</v>
      </c>
      <c r="H228" s="6">
        <f t="shared" si="27"/>
        <v>0</v>
      </c>
    </row>
    <row r="229" spans="1:8">
      <c r="A229" s="2">
        <f t="shared" si="26"/>
        <v>133</v>
      </c>
      <c r="C229" s="254" t="s">
        <v>372</v>
      </c>
      <c r="D229" s="332">
        <v>2023</v>
      </c>
      <c r="E229" s="59">
        <v>235653780.98999995</v>
      </c>
      <c r="F229" s="59">
        <v>61312903.657949194</v>
      </c>
      <c r="G229" s="6">
        <f t="shared" si="25"/>
        <v>174340877.33205074</v>
      </c>
      <c r="H229" s="6">
        <f t="shared" si="27"/>
        <v>0</v>
      </c>
    </row>
    <row r="231" spans="1:8">
      <c r="C231" s="336" t="s">
        <v>1206</v>
      </c>
      <c r="H231" s="48" t="s">
        <v>332</v>
      </c>
    </row>
    <row r="232" spans="1:8">
      <c r="E232" s="48" t="s">
        <v>329</v>
      </c>
      <c r="F232" s="48" t="s">
        <v>330</v>
      </c>
      <c r="G232" s="48" t="s">
        <v>331</v>
      </c>
      <c r="H232" s="241" t="s">
        <v>1196</v>
      </c>
    </row>
    <row r="233" spans="1:8">
      <c r="C233" s="2" t="s">
        <v>1176</v>
      </c>
      <c r="G233" s="241" t="s">
        <v>1185</v>
      </c>
      <c r="H233" s="236" t="s">
        <v>1197</v>
      </c>
    </row>
    <row r="234" spans="1:8">
      <c r="C234" s="2" t="s">
        <v>365</v>
      </c>
      <c r="E234" s="2" t="s">
        <v>652</v>
      </c>
      <c r="F234" s="2" t="s">
        <v>1198</v>
      </c>
      <c r="G234" s="2" t="s">
        <v>1199</v>
      </c>
      <c r="H234" s="2" t="s">
        <v>696</v>
      </c>
    </row>
    <row r="235" spans="1:8">
      <c r="C235" s="18" t="s">
        <v>364</v>
      </c>
      <c r="D235" s="18" t="s">
        <v>365</v>
      </c>
      <c r="E235" s="3" t="s">
        <v>1200</v>
      </c>
      <c r="F235" s="3" t="s">
        <v>38</v>
      </c>
      <c r="G235" s="3" t="s">
        <v>1166</v>
      </c>
      <c r="H235" s="3" t="s">
        <v>1190</v>
      </c>
    </row>
    <row r="236" spans="1:8">
      <c r="A236" s="2">
        <f>A229+1</f>
        <v>134</v>
      </c>
      <c r="C236" s="254" t="s">
        <v>372</v>
      </c>
      <c r="D236" s="481">
        <v>2022</v>
      </c>
      <c r="E236" s="59">
        <v>87604169.900000021</v>
      </c>
      <c r="F236" s="59">
        <v>15722573.191124517</v>
      </c>
      <c r="G236" s="6">
        <f t="shared" ref="G236:G248" si="28">E236-F236</f>
        <v>71881596.708875507</v>
      </c>
      <c r="H236" s="6">
        <f>E236-E236</f>
        <v>0</v>
      </c>
    </row>
    <row r="237" spans="1:8">
      <c r="A237" s="2">
        <f>A236+1</f>
        <v>135</v>
      </c>
      <c r="C237" s="254" t="s">
        <v>374</v>
      </c>
      <c r="D237" s="332">
        <v>2023</v>
      </c>
      <c r="E237" s="59">
        <v>87604169.900000021</v>
      </c>
      <c r="F237" s="59">
        <v>15903044.949902851</v>
      </c>
      <c r="G237" s="6">
        <f t="shared" si="28"/>
        <v>71701124.950097173</v>
      </c>
      <c r="H237" s="6">
        <f>E237-E236</f>
        <v>0</v>
      </c>
    </row>
    <row r="238" spans="1:8">
      <c r="A238" s="2">
        <f t="shared" ref="A238:A248" si="29">A237+1</f>
        <v>136</v>
      </c>
      <c r="C238" s="254" t="s">
        <v>375</v>
      </c>
      <c r="D238" s="332">
        <v>2023</v>
      </c>
      <c r="E238" s="59">
        <v>87604169.900000021</v>
      </c>
      <c r="F238" s="59">
        <v>16083516.708681185</v>
      </c>
      <c r="G238" s="6">
        <f t="shared" si="28"/>
        <v>71520653.19131884</v>
      </c>
      <c r="H238" s="6">
        <f t="shared" ref="H238:H248" si="30">E238-E237</f>
        <v>0</v>
      </c>
    </row>
    <row r="239" spans="1:8">
      <c r="A239" s="2">
        <f t="shared" si="29"/>
        <v>137</v>
      </c>
      <c r="C239" s="254" t="s">
        <v>376</v>
      </c>
      <c r="D239" s="332">
        <v>2023</v>
      </c>
      <c r="E239" s="59">
        <v>87604169.900000021</v>
      </c>
      <c r="F239" s="59">
        <v>16263988.46745952</v>
      </c>
      <c r="G239" s="6">
        <f t="shared" si="28"/>
        <v>71340181.432540506</v>
      </c>
      <c r="H239" s="6">
        <f t="shared" si="30"/>
        <v>0</v>
      </c>
    </row>
    <row r="240" spans="1:8">
      <c r="A240" s="2">
        <f t="shared" si="29"/>
        <v>138</v>
      </c>
      <c r="C240" s="254" t="s">
        <v>377</v>
      </c>
      <c r="D240" s="332">
        <v>2023</v>
      </c>
      <c r="E240" s="59">
        <v>87604169.900000021</v>
      </c>
      <c r="F240" s="59">
        <v>16444460.226237854</v>
      </c>
      <c r="G240" s="6">
        <f t="shared" si="28"/>
        <v>71159709.673762172</v>
      </c>
      <c r="H240" s="6">
        <f t="shared" si="30"/>
        <v>0</v>
      </c>
    </row>
    <row r="241" spans="1:8">
      <c r="A241" s="2">
        <f t="shared" si="29"/>
        <v>139</v>
      </c>
      <c r="C241" s="254" t="s">
        <v>378</v>
      </c>
      <c r="D241" s="332">
        <v>2023</v>
      </c>
      <c r="E241" s="59">
        <v>87604169.900000021</v>
      </c>
      <c r="F241" s="59">
        <v>16624931.985016188</v>
      </c>
      <c r="G241" s="6">
        <f t="shared" si="28"/>
        <v>70979237.914983839</v>
      </c>
      <c r="H241" s="6">
        <f t="shared" si="30"/>
        <v>0</v>
      </c>
    </row>
    <row r="242" spans="1:8">
      <c r="A242" s="2">
        <f t="shared" si="29"/>
        <v>140</v>
      </c>
      <c r="C242" s="254" t="s">
        <v>379</v>
      </c>
      <c r="D242" s="332">
        <v>2023</v>
      </c>
      <c r="E242" s="59">
        <v>87604169.900000021</v>
      </c>
      <c r="F242" s="59">
        <v>16805403.743794519</v>
      </c>
      <c r="G242" s="6">
        <f t="shared" si="28"/>
        <v>70798766.156205505</v>
      </c>
      <c r="H242" s="6">
        <f t="shared" si="30"/>
        <v>0</v>
      </c>
    </row>
    <row r="243" spans="1:8">
      <c r="A243" s="2">
        <f t="shared" si="29"/>
        <v>141</v>
      </c>
      <c r="C243" s="254" t="s">
        <v>380</v>
      </c>
      <c r="D243" s="332">
        <v>2023</v>
      </c>
      <c r="E243" s="59">
        <v>87604169.900000021</v>
      </c>
      <c r="F243" s="59">
        <v>16985875.502572853</v>
      </c>
      <c r="G243" s="6">
        <f t="shared" si="28"/>
        <v>70618294.397427171</v>
      </c>
      <c r="H243" s="6">
        <f t="shared" si="30"/>
        <v>0</v>
      </c>
    </row>
    <row r="244" spans="1:8">
      <c r="A244" s="2">
        <f t="shared" si="29"/>
        <v>142</v>
      </c>
      <c r="C244" s="254" t="s">
        <v>381</v>
      </c>
      <c r="D244" s="332">
        <v>2023</v>
      </c>
      <c r="E244" s="59">
        <v>87604169.900000021</v>
      </c>
      <c r="F244" s="59">
        <v>17166347.261351191</v>
      </c>
      <c r="G244" s="6">
        <f t="shared" si="28"/>
        <v>70437822.638648838</v>
      </c>
      <c r="H244" s="6">
        <f t="shared" si="30"/>
        <v>0</v>
      </c>
    </row>
    <row r="245" spans="1:8">
      <c r="A245" s="2">
        <f t="shared" si="29"/>
        <v>143</v>
      </c>
      <c r="C245" s="254" t="s">
        <v>382</v>
      </c>
      <c r="D245" s="332">
        <v>2023</v>
      </c>
      <c r="E245" s="59">
        <v>87604169.900000021</v>
      </c>
      <c r="F245" s="59">
        <v>17346819.02012952</v>
      </c>
      <c r="G245" s="6">
        <f t="shared" si="28"/>
        <v>70257350.879870504</v>
      </c>
      <c r="H245" s="6">
        <f t="shared" si="30"/>
        <v>0</v>
      </c>
    </row>
    <row r="246" spans="1:8">
      <c r="A246" s="2">
        <f t="shared" si="29"/>
        <v>144</v>
      </c>
      <c r="C246" s="254" t="s">
        <v>963</v>
      </c>
      <c r="D246" s="332">
        <v>2023</v>
      </c>
      <c r="E246" s="59">
        <v>87604169.900000021</v>
      </c>
      <c r="F246" s="59">
        <v>17527290.778907858</v>
      </c>
      <c r="G246" s="6">
        <f t="shared" si="28"/>
        <v>70076879.12109217</v>
      </c>
      <c r="H246" s="6">
        <f t="shared" si="30"/>
        <v>0</v>
      </c>
    </row>
    <row r="247" spans="1:8">
      <c r="A247" s="2">
        <f t="shared" si="29"/>
        <v>145</v>
      </c>
      <c r="C247" s="254" t="s">
        <v>384</v>
      </c>
      <c r="D247" s="332">
        <v>2023</v>
      </c>
      <c r="E247" s="59">
        <v>87604169.900000021</v>
      </c>
      <c r="F247" s="59">
        <v>17707762.537686188</v>
      </c>
      <c r="G247" s="6">
        <f t="shared" si="28"/>
        <v>69896407.362313837</v>
      </c>
      <c r="H247" s="6">
        <f t="shared" si="30"/>
        <v>0</v>
      </c>
    </row>
    <row r="248" spans="1:8">
      <c r="A248" s="2">
        <f t="shared" si="29"/>
        <v>146</v>
      </c>
      <c r="C248" s="254" t="s">
        <v>372</v>
      </c>
      <c r="D248" s="332">
        <v>2023</v>
      </c>
      <c r="E248" s="59">
        <v>87604169.900000021</v>
      </c>
      <c r="F248" s="59">
        <v>17888234.296464525</v>
      </c>
      <c r="G248" s="6">
        <f t="shared" si="28"/>
        <v>69715935.603535503</v>
      </c>
      <c r="H248" s="6">
        <f t="shared" si="30"/>
        <v>0</v>
      </c>
    </row>
    <row r="250" spans="1:8">
      <c r="C250" s="15" t="s">
        <v>1207</v>
      </c>
      <c r="H250" s="48" t="s">
        <v>332</v>
      </c>
    </row>
    <row r="251" spans="1:8">
      <c r="E251" s="48" t="s">
        <v>329</v>
      </c>
      <c r="F251" s="48" t="s">
        <v>330</v>
      </c>
      <c r="G251" s="48" t="s">
        <v>331</v>
      </c>
      <c r="H251" s="241" t="s">
        <v>1196</v>
      </c>
    </row>
    <row r="252" spans="1:8">
      <c r="C252" s="2" t="s">
        <v>1176</v>
      </c>
      <c r="G252" s="241" t="s">
        <v>1185</v>
      </c>
      <c r="H252" s="236" t="s">
        <v>1197</v>
      </c>
    </row>
    <row r="253" spans="1:8">
      <c r="C253" s="2" t="s">
        <v>365</v>
      </c>
      <c r="E253" s="2" t="s">
        <v>652</v>
      </c>
      <c r="F253" s="2" t="s">
        <v>1198</v>
      </c>
      <c r="G253" s="2" t="s">
        <v>1199</v>
      </c>
      <c r="H253" s="2" t="s">
        <v>696</v>
      </c>
    </row>
    <row r="254" spans="1:8">
      <c r="C254" s="18" t="s">
        <v>364</v>
      </c>
      <c r="D254" s="18" t="s">
        <v>365</v>
      </c>
      <c r="E254" s="3" t="s">
        <v>1200</v>
      </c>
      <c r="F254" s="3" t="s">
        <v>38</v>
      </c>
      <c r="G254" s="3" t="s">
        <v>1166</v>
      </c>
      <c r="H254" s="3" t="s">
        <v>1190</v>
      </c>
    </row>
    <row r="255" spans="1:8">
      <c r="A255" s="2">
        <f>A248+1</f>
        <v>147</v>
      </c>
      <c r="C255" s="254" t="s">
        <v>372</v>
      </c>
      <c r="D255" s="481">
        <v>2022</v>
      </c>
      <c r="E255" s="59">
        <v>96390504.010000065</v>
      </c>
      <c r="F255" s="59">
        <v>17311756.656882919</v>
      </c>
      <c r="G255" s="6">
        <f t="shared" ref="G255:G267" si="31">E255-F255</f>
        <v>79078747.353117138</v>
      </c>
      <c r="H255" s="6">
        <f>E255-E255</f>
        <v>0</v>
      </c>
    </row>
    <row r="256" spans="1:8">
      <c r="A256" s="2">
        <f>A255+1</f>
        <v>148</v>
      </c>
      <c r="C256" s="254" t="s">
        <v>374</v>
      </c>
      <c r="D256" s="332">
        <v>2023</v>
      </c>
      <c r="E256" s="59">
        <v>96430139.050000072</v>
      </c>
      <c r="F256" s="59">
        <v>17511151.084341004</v>
      </c>
      <c r="G256" s="6">
        <f t="shared" si="31"/>
        <v>78918987.965659067</v>
      </c>
      <c r="H256" s="6">
        <f>E256-E255</f>
        <v>39635.040000006557</v>
      </c>
    </row>
    <row r="257" spans="1:8">
      <c r="A257" s="2">
        <f t="shared" ref="A257:A267" si="32">A256+1</f>
        <v>149</v>
      </c>
      <c r="C257" s="254" t="s">
        <v>375</v>
      </c>
      <c r="D257" s="332">
        <v>2023</v>
      </c>
      <c r="E257" s="59">
        <v>96451800.070000067</v>
      </c>
      <c r="F257" s="59">
        <v>17710627.093923088</v>
      </c>
      <c r="G257" s="6">
        <f t="shared" si="31"/>
        <v>78741172.976076975</v>
      </c>
      <c r="H257" s="6">
        <f t="shared" ref="H257:H267" si="33">E257-E256</f>
        <v>21661.019999995828</v>
      </c>
    </row>
    <row r="258" spans="1:8">
      <c r="A258" s="2">
        <f t="shared" si="32"/>
        <v>150</v>
      </c>
      <c r="C258" s="254" t="s">
        <v>376</v>
      </c>
      <c r="D258" s="332">
        <v>2023</v>
      </c>
      <c r="E258" s="59">
        <v>96470233.310000062</v>
      </c>
      <c r="F258" s="59">
        <v>17910147.689104673</v>
      </c>
      <c r="G258" s="6">
        <f t="shared" si="31"/>
        <v>78560085.620895386</v>
      </c>
      <c r="H258" s="6">
        <f t="shared" si="33"/>
        <v>18433.239999994636</v>
      </c>
    </row>
    <row r="259" spans="1:8">
      <c r="A259" s="2">
        <f t="shared" si="32"/>
        <v>151</v>
      </c>
      <c r="C259" s="254" t="s">
        <v>377</v>
      </c>
      <c r="D259" s="332">
        <v>2023</v>
      </c>
      <c r="E259" s="59">
        <v>96484402.930000067</v>
      </c>
      <c r="F259" s="59">
        <v>18109706.226038586</v>
      </c>
      <c r="G259" s="6">
        <f t="shared" si="31"/>
        <v>78374696.703961477</v>
      </c>
      <c r="H259" s="6">
        <f t="shared" si="33"/>
        <v>14169.620000004768</v>
      </c>
    </row>
    <row r="260" spans="1:8">
      <c r="A260" s="2">
        <f t="shared" si="32"/>
        <v>152</v>
      </c>
      <c r="C260" s="254" t="s">
        <v>378</v>
      </c>
      <c r="D260" s="332">
        <v>2023</v>
      </c>
      <c r="E260" s="59">
        <v>96491728.400000066</v>
      </c>
      <c r="F260" s="59">
        <v>18309293.928773671</v>
      </c>
      <c r="G260" s="6">
        <f t="shared" si="31"/>
        <v>78182434.471226394</v>
      </c>
      <c r="H260" s="6">
        <f t="shared" si="33"/>
        <v>7325.4699999988079</v>
      </c>
    </row>
    <row r="261" spans="1:8">
      <c r="A261" s="2">
        <f t="shared" si="32"/>
        <v>153</v>
      </c>
      <c r="C261" s="254" t="s">
        <v>379</v>
      </c>
      <c r="D261" s="332">
        <v>2023</v>
      </c>
      <c r="E261" s="59">
        <v>96499045.070000067</v>
      </c>
      <c r="F261" s="59">
        <v>18508896.709767837</v>
      </c>
      <c r="G261" s="6">
        <f t="shared" si="31"/>
        <v>77990148.360232234</v>
      </c>
      <c r="H261" s="6">
        <f t="shared" si="33"/>
        <v>7316.6700000017881</v>
      </c>
    </row>
    <row r="262" spans="1:8">
      <c r="A262" s="2">
        <f t="shared" si="32"/>
        <v>154</v>
      </c>
      <c r="C262" s="254" t="s">
        <v>380</v>
      </c>
      <c r="D262" s="332">
        <v>2023</v>
      </c>
      <c r="E262" s="59">
        <v>96603282.490000069</v>
      </c>
      <c r="F262" s="59">
        <v>18708514.550907753</v>
      </c>
      <c r="G262" s="6">
        <f t="shared" si="31"/>
        <v>77894767.939092308</v>
      </c>
      <c r="H262" s="6">
        <f t="shared" si="33"/>
        <v>104237.42000000179</v>
      </c>
    </row>
    <row r="263" spans="1:8">
      <c r="A263" s="2">
        <f t="shared" si="32"/>
        <v>155</v>
      </c>
      <c r="C263" s="254" t="s">
        <v>381</v>
      </c>
      <c r="D263" s="332">
        <v>2023</v>
      </c>
      <c r="E263" s="59">
        <v>96627713.340000063</v>
      </c>
      <c r="F263" s="59">
        <v>18908346.947403837</v>
      </c>
      <c r="G263" s="6">
        <f t="shared" si="31"/>
        <v>77719366.39259623</v>
      </c>
      <c r="H263" s="6">
        <f t="shared" si="33"/>
        <v>24430.84999999404</v>
      </c>
    </row>
    <row r="264" spans="1:8">
      <c r="A264" s="2">
        <f t="shared" si="32"/>
        <v>156</v>
      </c>
      <c r="C264" s="254" t="s">
        <v>382</v>
      </c>
      <c r="D264" s="332">
        <v>2023</v>
      </c>
      <c r="E264" s="59">
        <v>96635917.180000067</v>
      </c>
      <c r="F264" s="59">
        <v>19108229.630732838</v>
      </c>
      <c r="G264" s="6">
        <f t="shared" si="31"/>
        <v>77527687.549267232</v>
      </c>
      <c r="H264" s="6">
        <f t="shared" si="33"/>
        <v>8203.8400000035763</v>
      </c>
    </row>
    <row r="265" spans="1:8">
      <c r="A265" s="2">
        <f t="shared" si="32"/>
        <v>157</v>
      </c>
      <c r="C265" s="254" t="s">
        <v>963</v>
      </c>
      <c r="D265" s="332">
        <v>2023</v>
      </c>
      <c r="E265" s="59">
        <v>96645147.02000007</v>
      </c>
      <c r="F265" s="59">
        <v>19308129.20029917</v>
      </c>
      <c r="G265" s="6">
        <f t="shared" si="31"/>
        <v>77337017.819700897</v>
      </c>
      <c r="H265" s="6">
        <f t="shared" si="33"/>
        <v>9229.8400000035763</v>
      </c>
    </row>
    <row r="266" spans="1:8">
      <c r="A266" s="2">
        <f t="shared" si="32"/>
        <v>158</v>
      </c>
      <c r="C266" s="254" t="s">
        <v>384</v>
      </c>
      <c r="D266" s="332">
        <v>2023</v>
      </c>
      <c r="E266" s="59">
        <v>96650074.060000077</v>
      </c>
      <c r="F266" s="59">
        <v>19508047.767952841</v>
      </c>
      <c r="G266" s="6">
        <f t="shared" si="31"/>
        <v>77142026.292047232</v>
      </c>
      <c r="H266" s="6">
        <f t="shared" si="33"/>
        <v>4927.0400000065565</v>
      </c>
    </row>
    <row r="267" spans="1:8">
      <c r="A267" s="2">
        <f t="shared" si="32"/>
        <v>159</v>
      </c>
      <c r="C267" s="254" t="s">
        <v>372</v>
      </c>
      <c r="D267" s="332">
        <v>2023</v>
      </c>
      <c r="E267" s="59">
        <v>96679396.180000082</v>
      </c>
      <c r="F267" s="59">
        <v>19707976.477097172</v>
      </c>
      <c r="G267" s="6">
        <f t="shared" si="31"/>
        <v>76971419.702902913</v>
      </c>
      <c r="H267" s="6">
        <f t="shared" si="33"/>
        <v>29322.120000004768</v>
      </c>
    </row>
    <row r="269" spans="1:8">
      <c r="C269" s="15" t="s">
        <v>1208</v>
      </c>
      <c r="E269" s="48" t="s">
        <v>329</v>
      </c>
      <c r="F269" s="48" t="s">
        <v>330</v>
      </c>
      <c r="G269" s="48" t="s">
        <v>331</v>
      </c>
      <c r="H269" s="48" t="s">
        <v>332</v>
      </c>
    </row>
    <row r="270" spans="1:8">
      <c r="G270" s="241" t="s">
        <v>1185</v>
      </c>
      <c r="H270" s="241" t="s">
        <v>1196</v>
      </c>
    </row>
    <row r="271" spans="1:8">
      <c r="C271" s="2" t="s">
        <v>1176</v>
      </c>
      <c r="H271" s="236" t="s">
        <v>1197</v>
      </c>
    </row>
    <row r="272" spans="1:8">
      <c r="C272" s="2" t="s">
        <v>365</v>
      </c>
      <c r="E272" s="2" t="s">
        <v>652</v>
      </c>
      <c r="F272" s="2" t="s">
        <v>1198</v>
      </c>
      <c r="G272" s="2" t="s">
        <v>1199</v>
      </c>
      <c r="H272" s="2" t="s">
        <v>696</v>
      </c>
    </row>
    <row r="273" spans="1:8">
      <c r="C273" s="18" t="s">
        <v>364</v>
      </c>
      <c r="D273" s="18" t="s">
        <v>365</v>
      </c>
      <c r="E273" s="3" t="s">
        <v>1200</v>
      </c>
      <c r="F273" s="3" t="s">
        <v>38</v>
      </c>
      <c r="G273" s="3" t="s">
        <v>1166</v>
      </c>
      <c r="H273" s="3" t="s">
        <v>1190</v>
      </c>
    </row>
    <row r="274" spans="1:8">
      <c r="A274" s="2">
        <f>A267+1</f>
        <v>160</v>
      </c>
      <c r="C274" s="254" t="s">
        <v>372</v>
      </c>
      <c r="D274" s="481">
        <v>2022</v>
      </c>
      <c r="E274" s="59">
        <v>432700403.25729197</v>
      </c>
      <c r="F274" s="59">
        <v>17613765.908482693</v>
      </c>
      <c r="G274" s="6">
        <f t="shared" ref="G274:G286" si="34">E274-F274</f>
        <v>415086637.3488093</v>
      </c>
      <c r="H274" s="6">
        <f>E274-E274</f>
        <v>0</v>
      </c>
    </row>
    <row r="275" spans="1:8">
      <c r="A275" s="2">
        <f>A274+1</f>
        <v>161</v>
      </c>
      <c r="C275" s="254" t="s">
        <v>374</v>
      </c>
      <c r="D275" s="332">
        <v>2023</v>
      </c>
      <c r="E275" s="59">
        <v>438359262.68335003</v>
      </c>
      <c r="F275" s="59">
        <v>18521878.485974893</v>
      </c>
      <c r="G275" s="6">
        <f t="shared" si="34"/>
        <v>419837384.19737512</v>
      </c>
      <c r="H275" s="6">
        <f>E275-E274</f>
        <v>5658859.426058054</v>
      </c>
    </row>
    <row r="276" spans="1:8">
      <c r="A276" s="2">
        <f t="shared" ref="A276:A286" si="35">A275+1</f>
        <v>162</v>
      </c>
      <c r="C276" s="254" t="s">
        <v>375</v>
      </c>
      <c r="D276" s="332">
        <v>2023</v>
      </c>
      <c r="E276" s="59">
        <v>440227324.88334996</v>
      </c>
      <c r="F276" s="59">
        <v>19441739.367412727</v>
      </c>
      <c r="G276" s="6">
        <f t="shared" si="34"/>
        <v>420785585.51593721</v>
      </c>
      <c r="H276" s="6">
        <f t="shared" ref="H276:H286" si="36">E276-E275</f>
        <v>1868062.1999999285</v>
      </c>
    </row>
    <row r="277" spans="1:8">
      <c r="A277" s="2">
        <f t="shared" si="35"/>
        <v>163</v>
      </c>
      <c r="C277" s="254" t="s">
        <v>376</v>
      </c>
      <c r="D277" s="332">
        <v>2023</v>
      </c>
      <c r="E277" s="59">
        <v>441487127.45334995</v>
      </c>
      <c r="F277" s="59">
        <v>20365374.456076145</v>
      </c>
      <c r="G277" s="6">
        <f t="shared" si="34"/>
        <v>421121752.9972738</v>
      </c>
      <c r="H277" s="6">
        <f t="shared" si="36"/>
        <v>1259802.5699999928</v>
      </c>
    </row>
    <row r="278" spans="1:8">
      <c r="A278" s="2">
        <f t="shared" si="35"/>
        <v>164</v>
      </c>
      <c r="C278" s="254" t="s">
        <v>377</v>
      </c>
      <c r="D278" s="332">
        <v>2023</v>
      </c>
      <c r="E278" s="59">
        <v>442438164.09247196</v>
      </c>
      <c r="F278" s="59">
        <v>21291175.432891302</v>
      </c>
      <c r="G278" s="6">
        <f t="shared" si="34"/>
        <v>421146988.65958065</v>
      </c>
      <c r="H278" s="6">
        <f t="shared" si="36"/>
        <v>951036.63912200928</v>
      </c>
    </row>
    <row r="279" spans="1:8">
      <c r="A279" s="2">
        <f t="shared" si="35"/>
        <v>165</v>
      </c>
      <c r="C279" s="254" t="s">
        <v>378</v>
      </c>
      <c r="D279" s="332">
        <v>2023</v>
      </c>
      <c r="E279" s="59">
        <v>444509355.83562392</v>
      </c>
      <c r="F279" s="59">
        <v>22218949.967777677</v>
      </c>
      <c r="G279" s="6">
        <f t="shared" si="34"/>
        <v>422290405.86784625</v>
      </c>
      <c r="H279" s="6">
        <f t="shared" si="36"/>
        <v>2071191.7431519628</v>
      </c>
    </row>
    <row r="280" spans="1:8">
      <c r="A280" s="2">
        <f t="shared" si="35"/>
        <v>166</v>
      </c>
      <c r="C280" s="254" t="s">
        <v>379</v>
      </c>
      <c r="D280" s="332">
        <v>2023</v>
      </c>
      <c r="E280" s="59">
        <v>447098502.59562391</v>
      </c>
      <c r="F280" s="59">
        <v>23151018.580743752</v>
      </c>
      <c r="G280" s="6">
        <f t="shared" si="34"/>
        <v>423947484.01488018</v>
      </c>
      <c r="H280" s="6">
        <f t="shared" si="36"/>
        <v>2589146.7599999905</v>
      </c>
    </row>
    <row r="281" spans="1:8">
      <c r="A281" s="2">
        <f t="shared" si="35"/>
        <v>167</v>
      </c>
      <c r="C281" s="254" t="s">
        <v>380</v>
      </c>
      <c r="D281" s="332">
        <v>2023</v>
      </c>
      <c r="E281" s="59">
        <v>448088625.06562394</v>
      </c>
      <c r="F281" s="59">
        <v>24088454.536408246</v>
      </c>
      <c r="G281" s="6">
        <f t="shared" si="34"/>
        <v>424000170.52921569</v>
      </c>
      <c r="H281" s="6">
        <f t="shared" si="36"/>
        <v>990122.47000002861</v>
      </c>
    </row>
    <row r="282" spans="1:8">
      <c r="A282" s="2">
        <f t="shared" si="35"/>
        <v>168</v>
      </c>
      <c r="C282" s="254" t="s">
        <v>381</v>
      </c>
      <c r="D282" s="332">
        <v>2023</v>
      </c>
      <c r="E282" s="59">
        <v>448874090.04868996</v>
      </c>
      <c r="F282" s="59">
        <v>25027942.772630066</v>
      </c>
      <c r="G282" s="6">
        <f t="shared" si="34"/>
        <v>423846147.27605987</v>
      </c>
      <c r="H282" s="6">
        <f t="shared" si="36"/>
        <v>785464.9830660224</v>
      </c>
    </row>
    <row r="283" spans="1:8">
      <c r="A283" s="2">
        <f t="shared" si="35"/>
        <v>169</v>
      </c>
      <c r="C283" s="254" t="s">
        <v>382</v>
      </c>
      <c r="D283" s="332">
        <v>2023</v>
      </c>
      <c r="E283" s="59">
        <v>450326794.22868991</v>
      </c>
      <c r="F283" s="59">
        <v>25969059.026084013</v>
      </c>
      <c r="G283" s="6">
        <f t="shared" si="34"/>
        <v>424357735.2026059</v>
      </c>
      <c r="H283" s="6">
        <f t="shared" si="36"/>
        <v>1452704.1799999475</v>
      </c>
    </row>
    <row r="284" spans="1:8">
      <c r="A284" s="2">
        <f t="shared" si="35"/>
        <v>170</v>
      </c>
      <c r="C284" s="254" t="s">
        <v>963</v>
      </c>
      <c r="D284" s="332">
        <v>2023</v>
      </c>
      <c r="E284" s="59">
        <v>451448167.38868994</v>
      </c>
      <c r="F284" s="59">
        <v>26913186.275308453</v>
      </c>
      <c r="G284" s="6">
        <f t="shared" si="34"/>
        <v>424534981.11338151</v>
      </c>
      <c r="H284" s="6">
        <f t="shared" si="36"/>
        <v>1121373.1600000262</v>
      </c>
    </row>
    <row r="285" spans="1:8">
      <c r="A285" s="2">
        <f t="shared" si="35"/>
        <v>171</v>
      </c>
      <c r="C285" s="254" t="s">
        <v>384</v>
      </c>
      <c r="D285" s="332">
        <v>2023</v>
      </c>
      <c r="E285" s="59">
        <v>452365279.16868997</v>
      </c>
      <c r="F285" s="59">
        <v>27860280.985485062</v>
      </c>
      <c r="G285" s="6">
        <f t="shared" si="34"/>
        <v>424504998.18320489</v>
      </c>
      <c r="H285" s="6">
        <f t="shared" si="36"/>
        <v>917111.78000003099</v>
      </c>
    </row>
    <row r="286" spans="1:8">
      <c r="A286" s="2">
        <f t="shared" si="35"/>
        <v>172</v>
      </c>
      <c r="C286" s="254" t="s">
        <v>372</v>
      </c>
      <c r="D286" s="332">
        <v>2023</v>
      </c>
      <c r="E286" s="59">
        <v>453178178.12868989</v>
      </c>
      <c r="F286" s="59">
        <v>28809278.58279442</v>
      </c>
      <c r="G286" s="6">
        <f t="shared" si="34"/>
        <v>424368899.54589546</v>
      </c>
      <c r="H286" s="6">
        <f t="shared" si="36"/>
        <v>812898.95999991894</v>
      </c>
    </row>
    <row r="288" spans="1:8">
      <c r="C288" s="336" t="s">
        <v>1209</v>
      </c>
      <c r="E288" s="48" t="s">
        <v>329</v>
      </c>
      <c r="F288" s="48" t="s">
        <v>330</v>
      </c>
      <c r="G288" s="48" t="s">
        <v>331</v>
      </c>
      <c r="H288" s="48" t="s">
        <v>332</v>
      </c>
    </row>
    <row r="289" spans="1:8">
      <c r="G289" s="241" t="s">
        <v>1185</v>
      </c>
      <c r="H289" s="241" t="s">
        <v>1196</v>
      </c>
    </row>
    <row r="290" spans="1:8">
      <c r="C290" s="2" t="s">
        <v>1176</v>
      </c>
      <c r="H290" s="236" t="s">
        <v>1197</v>
      </c>
    </row>
    <row r="291" spans="1:8">
      <c r="C291" s="2" t="s">
        <v>365</v>
      </c>
      <c r="E291" s="2" t="s">
        <v>652</v>
      </c>
      <c r="F291" s="2" t="s">
        <v>1198</v>
      </c>
      <c r="G291" s="2" t="s">
        <v>1199</v>
      </c>
      <c r="H291" s="2" t="s">
        <v>696</v>
      </c>
    </row>
    <row r="292" spans="1:8">
      <c r="C292" s="18" t="s">
        <v>364</v>
      </c>
      <c r="D292" s="18" t="s">
        <v>365</v>
      </c>
      <c r="E292" s="3" t="s">
        <v>1200</v>
      </c>
      <c r="F292" s="3" t="s">
        <v>38</v>
      </c>
      <c r="G292" s="3" t="s">
        <v>1166</v>
      </c>
      <c r="H292" s="3" t="s">
        <v>1190</v>
      </c>
    </row>
    <row r="293" spans="1:8">
      <c r="A293" s="2">
        <f>A286+1</f>
        <v>173</v>
      </c>
      <c r="C293" s="254" t="s">
        <v>372</v>
      </c>
      <c r="D293" s="481">
        <v>2022</v>
      </c>
      <c r="E293" s="59">
        <v>810117.00000000023</v>
      </c>
      <c r="F293" s="59">
        <v>0</v>
      </c>
      <c r="G293" s="6">
        <f t="shared" ref="G293:G305" si="37">E293-F293</f>
        <v>810117.00000000023</v>
      </c>
      <c r="H293" s="6">
        <f>E293-E293</f>
        <v>0</v>
      </c>
    </row>
    <row r="294" spans="1:8">
      <c r="A294" s="2">
        <f>A293+1</f>
        <v>174</v>
      </c>
      <c r="C294" s="254" t="s">
        <v>374</v>
      </c>
      <c r="D294" s="332">
        <v>2023</v>
      </c>
      <c r="E294" s="59">
        <v>810117.00000000023</v>
      </c>
      <c r="F294" s="59">
        <v>0</v>
      </c>
      <c r="G294" s="6">
        <f t="shared" si="37"/>
        <v>810117.00000000023</v>
      </c>
      <c r="H294" s="6">
        <f>E294-E293</f>
        <v>0</v>
      </c>
    </row>
    <row r="295" spans="1:8">
      <c r="A295" s="2">
        <f t="shared" ref="A295:A305" si="38">A294+1</f>
        <v>175</v>
      </c>
      <c r="C295" s="254" t="s">
        <v>375</v>
      </c>
      <c r="D295" s="332">
        <v>2023</v>
      </c>
      <c r="E295" s="59">
        <v>810117.00000000023</v>
      </c>
      <c r="F295" s="59">
        <v>0</v>
      </c>
      <c r="G295" s="6">
        <f t="shared" si="37"/>
        <v>810117.00000000023</v>
      </c>
      <c r="H295" s="6">
        <f t="shared" ref="H295:H305" si="39">E295-E294</f>
        <v>0</v>
      </c>
    </row>
    <row r="296" spans="1:8">
      <c r="A296" s="2">
        <f t="shared" si="38"/>
        <v>176</v>
      </c>
      <c r="C296" s="254" t="s">
        <v>376</v>
      </c>
      <c r="D296" s="332">
        <v>2023</v>
      </c>
      <c r="E296" s="59">
        <v>810117.00000000023</v>
      </c>
      <c r="F296" s="59">
        <v>0</v>
      </c>
      <c r="G296" s="6">
        <f t="shared" si="37"/>
        <v>810117.00000000023</v>
      </c>
      <c r="H296" s="6">
        <f t="shared" si="39"/>
        <v>0</v>
      </c>
    </row>
    <row r="297" spans="1:8">
      <c r="A297" s="2">
        <f t="shared" si="38"/>
        <v>177</v>
      </c>
      <c r="C297" s="254" t="s">
        <v>377</v>
      </c>
      <c r="D297" s="332">
        <v>2023</v>
      </c>
      <c r="E297" s="59">
        <v>810117.00000000023</v>
      </c>
      <c r="F297" s="59">
        <v>0</v>
      </c>
      <c r="G297" s="6">
        <f t="shared" si="37"/>
        <v>810117.00000000023</v>
      </c>
      <c r="H297" s="6">
        <f t="shared" si="39"/>
        <v>0</v>
      </c>
    </row>
    <row r="298" spans="1:8">
      <c r="A298" s="2">
        <f t="shared" si="38"/>
        <v>178</v>
      </c>
      <c r="C298" s="254" t="s">
        <v>378</v>
      </c>
      <c r="D298" s="332">
        <v>2023</v>
      </c>
      <c r="E298" s="59">
        <v>810117.00000000023</v>
      </c>
      <c r="F298" s="59">
        <v>0</v>
      </c>
      <c r="G298" s="6">
        <f t="shared" si="37"/>
        <v>810117.00000000023</v>
      </c>
      <c r="H298" s="6">
        <f t="shared" si="39"/>
        <v>0</v>
      </c>
    </row>
    <row r="299" spans="1:8">
      <c r="A299" s="2">
        <f t="shared" si="38"/>
        <v>179</v>
      </c>
      <c r="C299" s="254" t="s">
        <v>379</v>
      </c>
      <c r="D299" s="332">
        <v>2023</v>
      </c>
      <c r="E299" s="59">
        <v>810117.00000000023</v>
      </c>
      <c r="F299" s="59">
        <v>0</v>
      </c>
      <c r="G299" s="6">
        <f t="shared" si="37"/>
        <v>810117.00000000023</v>
      </c>
      <c r="H299" s="6">
        <f t="shared" si="39"/>
        <v>0</v>
      </c>
    </row>
    <row r="300" spans="1:8">
      <c r="A300" s="2">
        <f t="shared" si="38"/>
        <v>180</v>
      </c>
      <c r="C300" s="254" t="s">
        <v>380</v>
      </c>
      <c r="D300" s="332">
        <v>2023</v>
      </c>
      <c r="E300" s="59">
        <v>810117.00000000023</v>
      </c>
      <c r="F300" s="59">
        <v>0</v>
      </c>
      <c r="G300" s="6">
        <f t="shared" si="37"/>
        <v>810117.00000000023</v>
      </c>
      <c r="H300" s="6">
        <f t="shared" si="39"/>
        <v>0</v>
      </c>
    </row>
    <row r="301" spans="1:8">
      <c r="A301" s="2">
        <f t="shared" si="38"/>
        <v>181</v>
      </c>
      <c r="C301" s="254" t="s">
        <v>381</v>
      </c>
      <c r="D301" s="332">
        <v>2023</v>
      </c>
      <c r="E301" s="59">
        <v>810117.00000000023</v>
      </c>
      <c r="F301" s="59">
        <v>0</v>
      </c>
      <c r="G301" s="6">
        <f t="shared" si="37"/>
        <v>810117.00000000023</v>
      </c>
      <c r="H301" s="6">
        <f t="shared" si="39"/>
        <v>0</v>
      </c>
    </row>
    <row r="302" spans="1:8">
      <c r="A302" s="2">
        <f t="shared" si="38"/>
        <v>182</v>
      </c>
      <c r="C302" s="254" t="s">
        <v>382</v>
      </c>
      <c r="D302" s="332">
        <v>2023</v>
      </c>
      <c r="E302" s="59">
        <v>810117.00000000023</v>
      </c>
      <c r="F302" s="59">
        <v>0</v>
      </c>
      <c r="G302" s="6">
        <f t="shared" si="37"/>
        <v>810117.00000000023</v>
      </c>
      <c r="H302" s="6">
        <f t="shared" si="39"/>
        <v>0</v>
      </c>
    </row>
    <row r="303" spans="1:8">
      <c r="A303" s="2">
        <f t="shared" si="38"/>
        <v>183</v>
      </c>
      <c r="C303" s="254" t="s">
        <v>963</v>
      </c>
      <c r="D303" s="332">
        <v>2023</v>
      </c>
      <c r="E303" s="59">
        <v>810117.00000000023</v>
      </c>
      <c r="F303" s="59">
        <v>0</v>
      </c>
      <c r="G303" s="6">
        <f t="shared" si="37"/>
        <v>810117.00000000023</v>
      </c>
      <c r="H303" s="6">
        <f t="shared" si="39"/>
        <v>0</v>
      </c>
    </row>
    <row r="304" spans="1:8">
      <c r="A304" s="2">
        <f t="shared" si="38"/>
        <v>184</v>
      </c>
      <c r="C304" s="254" t="s">
        <v>384</v>
      </c>
      <c r="D304" s="332">
        <v>2023</v>
      </c>
      <c r="E304" s="59">
        <v>810117.00000000023</v>
      </c>
      <c r="F304" s="59">
        <v>0</v>
      </c>
      <c r="G304" s="6">
        <f t="shared" si="37"/>
        <v>810117.00000000023</v>
      </c>
      <c r="H304" s="6">
        <f t="shared" si="39"/>
        <v>0</v>
      </c>
    </row>
    <row r="305" spans="1:11">
      <c r="A305" s="2">
        <f t="shared" si="38"/>
        <v>185</v>
      </c>
      <c r="C305" s="254" t="s">
        <v>372</v>
      </c>
      <c r="D305" s="332">
        <v>2023</v>
      </c>
      <c r="E305" s="59">
        <v>810117.00000000023</v>
      </c>
      <c r="F305" s="59">
        <v>0</v>
      </c>
      <c r="G305" s="6">
        <f t="shared" si="37"/>
        <v>810117.00000000023</v>
      </c>
      <c r="H305" s="6">
        <f t="shared" si="39"/>
        <v>0</v>
      </c>
    </row>
    <row r="307" spans="1:11">
      <c r="C307" s="336" t="s">
        <v>1210</v>
      </c>
      <c r="E307" s="48" t="s">
        <v>329</v>
      </c>
      <c r="F307" s="48" t="s">
        <v>330</v>
      </c>
      <c r="G307" s="48" t="s">
        <v>331</v>
      </c>
      <c r="H307" s="48" t="s">
        <v>332</v>
      </c>
    </row>
    <row r="308" spans="1:11">
      <c r="G308" s="241" t="s">
        <v>1185</v>
      </c>
      <c r="H308" s="241" t="s">
        <v>1196</v>
      </c>
    </row>
    <row r="309" spans="1:11">
      <c r="C309" s="2" t="s">
        <v>1176</v>
      </c>
      <c r="H309" s="236" t="s">
        <v>1197</v>
      </c>
    </row>
    <row r="310" spans="1:11">
      <c r="C310" s="2" t="s">
        <v>365</v>
      </c>
      <c r="E310" s="2" t="s">
        <v>652</v>
      </c>
      <c r="F310" s="2" t="s">
        <v>1198</v>
      </c>
      <c r="G310" s="2" t="s">
        <v>1199</v>
      </c>
      <c r="H310" s="2" t="s">
        <v>696</v>
      </c>
    </row>
    <row r="311" spans="1:11">
      <c r="C311" s="18" t="s">
        <v>364</v>
      </c>
      <c r="D311" s="18" t="s">
        <v>365</v>
      </c>
      <c r="E311" s="3" t="s">
        <v>1200</v>
      </c>
      <c r="F311" s="3" t="s">
        <v>38</v>
      </c>
      <c r="G311" s="3" t="s">
        <v>1166</v>
      </c>
      <c r="H311" s="3" t="s">
        <v>1190</v>
      </c>
    </row>
    <row r="312" spans="1:11">
      <c r="A312" s="2">
        <f>A305+1</f>
        <v>186</v>
      </c>
      <c r="C312" s="254" t="s">
        <v>372</v>
      </c>
      <c r="D312" s="481">
        <v>2022</v>
      </c>
      <c r="E312" s="59">
        <v>11112303.030000001</v>
      </c>
      <c r="F312" s="59">
        <v>138037.25316391667</v>
      </c>
      <c r="G312" s="6">
        <f t="shared" ref="G312:G324" si="40">E312-F312</f>
        <v>10974265.776836084</v>
      </c>
      <c r="H312" s="6">
        <f>E312-E312</f>
        <v>0</v>
      </c>
    </row>
    <row r="313" spans="1:11">
      <c r="A313" s="2">
        <f>A312+1</f>
        <v>187</v>
      </c>
      <c r="C313" s="254" t="s">
        <v>374</v>
      </c>
      <c r="D313" s="332">
        <v>2023</v>
      </c>
      <c r="E313" s="59">
        <v>11121388.84</v>
      </c>
      <c r="F313" s="59">
        <v>164611.96589841667</v>
      </c>
      <c r="G313" s="6">
        <f t="shared" si="40"/>
        <v>10956776.874101583</v>
      </c>
      <c r="H313" s="6">
        <f>E313-E312</f>
        <v>9085.8099999986589</v>
      </c>
    </row>
    <row r="314" spans="1:11">
      <c r="A314" s="2">
        <f t="shared" ref="A314:A324" si="41">A313+1</f>
        <v>188</v>
      </c>
      <c r="C314" s="254" t="s">
        <v>375</v>
      </c>
      <c r="D314" s="332">
        <v>2023</v>
      </c>
      <c r="E314" s="59">
        <v>11422204.690000001</v>
      </c>
      <c r="F314" s="59">
        <v>191209.42977749999</v>
      </c>
      <c r="G314" s="6">
        <f t="shared" si="40"/>
        <v>11230995.260222502</v>
      </c>
      <c r="H314" s="6">
        <f t="shared" ref="H314:H324" si="42">E314-E313</f>
        <v>300815.85000000149</v>
      </c>
    </row>
    <row r="315" spans="1:11">
      <c r="A315" s="2">
        <f t="shared" si="41"/>
        <v>189</v>
      </c>
      <c r="C315" s="254" t="s">
        <v>376</v>
      </c>
      <c r="D315" s="332">
        <v>2023</v>
      </c>
      <c r="E315" s="59">
        <v>11424406.960000001</v>
      </c>
      <c r="F315" s="59">
        <v>218560.14579733333</v>
      </c>
      <c r="G315" s="6">
        <f t="shared" si="40"/>
        <v>11205846.814202668</v>
      </c>
      <c r="H315" s="6">
        <f t="shared" si="42"/>
        <v>2202.269999999553</v>
      </c>
    </row>
    <row r="316" spans="1:11">
      <c r="A316" s="2">
        <f t="shared" si="41"/>
        <v>190</v>
      </c>
      <c r="C316" s="254" t="s">
        <v>377</v>
      </c>
      <c r="D316" s="332">
        <v>2023</v>
      </c>
      <c r="E316" s="59">
        <v>11426472.000000002</v>
      </c>
      <c r="F316" s="59">
        <v>245916.37636966669</v>
      </c>
      <c r="G316" s="6">
        <f t="shared" si="40"/>
        <v>11180555.623630336</v>
      </c>
      <c r="H316" s="6">
        <f t="shared" si="42"/>
        <v>2065.0400000009686</v>
      </c>
    </row>
    <row r="317" spans="1:11">
      <c r="A317" s="2">
        <f t="shared" si="41"/>
        <v>191</v>
      </c>
      <c r="C317" s="254" t="s">
        <v>378</v>
      </c>
      <c r="D317" s="332">
        <v>2023</v>
      </c>
      <c r="E317" s="59">
        <v>11424828.130000001</v>
      </c>
      <c r="F317" s="59">
        <v>273277.77786625002</v>
      </c>
      <c r="G317" s="6">
        <f t="shared" si="40"/>
        <v>11151550.352133751</v>
      </c>
      <c r="H317" s="6">
        <f t="shared" si="42"/>
        <v>-1643.8700000010431</v>
      </c>
      <c r="K317" t="s">
        <v>2808</v>
      </c>
    </row>
    <row r="318" spans="1:11">
      <c r="A318" s="2">
        <f t="shared" si="41"/>
        <v>192</v>
      </c>
      <c r="C318" s="254" t="s">
        <v>379</v>
      </c>
      <c r="D318" s="332">
        <v>2023</v>
      </c>
      <c r="E318" s="59">
        <v>11430431.870000001</v>
      </c>
      <c r="F318" s="59">
        <v>300635.06306250003</v>
      </c>
      <c r="G318" s="6">
        <f t="shared" si="40"/>
        <v>11129796.806937501</v>
      </c>
      <c r="H318" s="6">
        <f t="shared" si="42"/>
        <v>5603.7400000002235</v>
      </c>
    </row>
    <row r="319" spans="1:11">
      <c r="A319" s="2">
        <f t="shared" si="41"/>
        <v>193</v>
      </c>
      <c r="C319" s="254" t="s">
        <v>380</v>
      </c>
      <c r="D319" s="332">
        <v>2023</v>
      </c>
      <c r="E319" s="59">
        <v>11433871.270000001</v>
      </c>
      <c r="F319" s="59">
        <v>328006.38019550004</v>
      </c>
      <c r="G319" s="6">
        <f t="shared" si="40"/>
        <v>11105864.889804501</v>
      </c>
      <c r="H319" s="6">
        <f t="shared" si="42"/>
        <v>3439.4000000003725</v>
      </c>
    </row>
    <row r="320" spans="1:11">
      <c r="A320" s="2">
        <f t="shared" si="41"/>
        <v>194</v>
      </c>
      <c r="C320" s="254" t="s">
        <v>381</v>
      </c>
      <c r="D320" s="332">
        <v>2023</v>
      </c>
      <c r="E320" s="59">
        <v>11456176.090000002</v>
      </c>
      <c r="F320" s="59">
        <v>355386.30968975002</v>
      </c>
      <c r="G320" s="6">
        <f t="shared" si="40"/>
        <v>11100789.780310251</v>
      </c>
      <c r="H320" s="6">
        <f t="shared" si="42"/>
        <v>22304.820000000298</v>
      </c>
    </row>
    <row r="321" spans="1:8">
      <c r="A321" s="2">
        <f t="shared" si="41"/>
        <v>195</v>
      </c>
      <c r="C321" s="254" t="s">
        <v>382</v>
      </c>
      <c r="D321" s="332">
        <v>2023</v>
      </c>
      <c r="E321" s="59">
        <v>11461494.07</v>
      </c>
      <c r="F321" s="59">
        <v>382822.09113983338</v>
      </c>
      <c r="G321" s="6">
        <f t="shared" si="40"/>
        <v>11078671.978860168</v>
      </c>
      <c r="H321" s="6">
        <f t="shared" si="42"/>
        <v>5317.9799999985844</v>
      </c>
    </row>
    <row r="322" spans="1:8">
      <c r="A322" s="2">
        <f t="shared" si="41"/>
        <v>196</v>
      </c>
      <c r="C322" s="254" t="s">
        <v>963</v>
      </c>
      <c r="D322" s="332">
        <v>2023</v>
      </c>
      <c r="E322" s="59">
        <v>11461701.290000003</v>
      </c>
      <c r="F322" s="59">
        <v>410271.18897633336</v>
      </c>
      <c r="G322" s="6">
        <f t="shared" si="40"/>
        <v>11051430.10102367</v>
      </c>
      <c r="H322" s="6">
        <f t="shared" si="42"/>
        <v>207.2200000025332</v>
      </c>
    </row>
    <row r="323" spans="1:8">
      <c r="A323" s="2">
        <f t="shared" si="41"/>
        <v>197</v>
      </c>
      <c r="C323" s="254" t="s">
        <v>384</v>
      </c>
      <c r="D323" s="332">
        <v>2023</v>
      </c>
      <c r="E323" s="59">
        <v>11467632.330000002</v>
      </c>
      <c r="F323" s="59">
        <v>437720.80569916673</v>
      </c>
      <c r="G323" s="6">
        <f t="shared" si="40"/>
        <v>11029911.524300836</v>
      </c>
      <c r="H323" s="6">
        <f t="shared" si="42"/>
        <v>5931.0399999991059</v>
      </c>
    </row>
    <row r="324" spans="1:8">
      <c r="A324" s="2">
        <f t="shared" si="41"/>
        <v>198</v>
      </c>
      <c r="C324" s="254" t="s">
        <v>372</v>
      </c>
      <c r="D324" s="332">
        <v>2023</v>
      </c>
      <c r="E324" s="59">
        <v>11476191.720000003</v>
      </c>
      <c r="F324" s="59">
        <v>465185.27392933343</v>
      </c>
      <c r="G324" s="6">
        <f t="shared" si="40"/>
        <v>11011006.446070669</v>
      </c>
      <c r="H324" s="6">
        <f t="shared" si="42"/>
        <v>8559.390000000596</v>
      </c>
    </row>
    <row r="325" spans="1:8">
      <c r="A325" s="2"/>
      <c r="C325" s="254"/>
      <c r="D325" s="571"/>
      <c r="E325" s="6"/>
      <c r="F325" s="6"/>
      <c r="G325" s="6"/>
      <c r="H325" s="6"/>
    </row>
    <row r="326" spans="1:8">
      <c r="A326" s="2"/>
      <c r="C326" s="336" t="s">
        <v>1211</v>
      </c>
      <c r="D326" s="254"/>
      <c r="E326" s="254"/>
      <c r="F326" s="254"/>
      <c r="G326" s="6"/>
      <c r="H326" s="6"/>
    </row>
    <row r="327" spans="1:8">
      <c r="C327" s="336"/>
      <c r="E327" s="48" t="s">
        <v>329</v>
      </c>
      <c r="F327" s="48" t="s">
        <v>330</v>
      </c>
      <c r="G327" s="48" t="s">
        <v>331</v>
      </c>
      <c r="H327" s="48" t="s">
        <v>332</v>
      </c>
    </row>
    <row r="328" spans="1:8">
      <c r="G328" s="241" t="s">
        <v>1185</v>
      </c>
      <c r="H328" s="241" t="s">
        <v>1196</v>
      </c>
    </row>
    <row r="329" spans="1:8">
      <c r="C329" s="2" t="s">
        <v>1176</v>
      </c>
      <c r="H329" s="236" t="s">
        <v>1197</v>
      </c>
    </row>
    <row r="330" spans="1:8">
      <c r="C330" s="2" t="s">
        <v>365</v>
      </c>
      <c r="E330" s="2" t="s">
        <v>652</v>
      </c>
      <c r="F330" s="2" t="s">
        <v>1198</v>
      </c>
      <c r="G330" s="2" t="s">
        <v>1199</v>
      </c>
      <c r="H330" s="2" t="s">
        <v>696</v>
      </c>
    </row>
    <row r="331" spans="1:8">
      <c r="C331" s="18" t="s">
        <v>364</v>
      </c>
      <c r="D331" s="18" t="s">
        <v>365</v>
      </c>
      <c r="E331" s="3" t="s">
        <v>1200</v>
      </c>
      <c r="F331" s="3" t="s">
        <v>38</v>
      </c>
      <c r="G331" s="3" t="s">
        <v>1166</v>
      </c>
      <c r="H331" s="3" t="s">
        <v>1190</v>
      </c>
    </row>
    <row r="332" spans="1:8">
      <c r="A332" s="2">
        <f>A324+1</f>
        <v>199</v>
      </c>
      <c r="C332" s="254" t="s">
        <v>372</v>
      </c>
      <c r="D332" s="481">
        <v>2022</v>
      </c>
      <c r="E332" s="59">
        <v>0</v>
      </c>
      <c r="F332" s="59">
        <v>0</v>
      </c>
      <c r="G332" s="6">
        <f t="shared" ref="G332:G344" si="43">E332-F332</f>
        <v>0</v>
      </c>
      <c r="H332" s="6">
        <f>E332-E332</f>
        <v>0</v>
      </c>
    </row>
    <row r="333" spans="1:8">
      <c r="A333" s="2">
        <f>A332+1</f>
        <v>200</v>
      </c>
      <c r="C333" s="254" t="s">
        <v>374</v>
      </c>
      <c r="D333" s="332">
        <v>2023</v>
      </c>
      <c r="E333" s="59">
        <v>0</v>
      </c>
      <c r="F333" s="59">
        <v>0</v>
      </c>
      <c r="G333" s="6">
        <f t="shared" si="43"/>
        <v>0</v>
      </c>
      <c r="H333" s="6">
        <f>E333-E332</f>
        <v>0</v>
      </c>
    </row>
    <row r="334" spans="1:8">
      <c r="A334" s="2">
        <f t="shared" ref="A334:A344" si="44">A333+1</f>
        <v>201</v>
      </c>
      <c r="C334" s="254" t="s">
        <v>375</v>
      </c>
      <c r="D334" s="332">
        <v>2023</v>
      </c>
      <c r="E334" s="59">
        <v>0</v>
      </c>
      <c r="F334" s="59">
        <v>0</v>
      </c>
      <c r="G334" s="6">
        <f t="shared" si="43"/>
        <v>0</v>
      </c>
      <c r="H334" s="6">
        <f t="shared" ref="H334:H344" si="45">E334-E333</f>
        <v>0</v>
      </c>
    </row>
    <row r="335" spans="1:8">
      <c r="A335" s="2">
        <f t="shared" si="44"/>
        <v>202</v>
      </c>
      <c r="C335" s="254" t="s">
        <v>376</v>
      </c>
      <c r="D335" s="332">
        <v>2023</v>
      </c>
      <c r="E335" s="59">
        <v>0</v>
      </c>
      <c r="F335" s="59">
        <v>0</v>
      </c>
      <c r="G335" s="6">
        <f t="shared" si="43"/>
        <v>0</v>
      </c>
      <c r="H335" s="6">
        <f t="shared" si="45"/>
        <v>0</v>
      </c>
    </row>
    <row r="336" spans="1:8">
      <c r="A336" s="2">
        <f t="shared" si="44"/>
        <v>203</v>
      </c>
      <c r="C336" s="254" t="s">
        <v>377</v>
      </c>
      <c r="D336" s="332">
        <v>2023</v>
      </c>
      <c r="E336" s="59">
        <v>5635546.2000000002</v>
      </c>
      <c r="F336" s="59">
        <v>0</v>
      </c>
      <c r="G336" s="6">
        <f t="shared" si="43"/>
        <v>5635546.2000000002</v>
      </c>
      <c r="H336" s="6">
        <f t="shared" si="45"/>
        <v>5635546.2000000002</v>
      </c>
    </row>
    <row r="337" spans="1:8">
      <c r="A337" s="2">
        <f t="shared" si="44"/>
        <v>204</v>
      </c>
      <c r="C337" s="254" t="s">
        <v>378</v>
      </c>
      <c r="D337" s="332">
        <v>2023</v>
      </c>
      <c r="E337" s="59">
        <v>5635545.54</v>
      </c>
      <c r="F337" s="59">
        <v>0</v>
      </c>
      <c r="G337" s="6">
        <f t="shared" si="43"/>
        <v>5635545.54</v>
      </c>
      <c r="H337" s="6">
        <f t="shared" si="45"/>
        <v>-0.66000000014901161</v>
      </c>
    </row>
    <row r="338" spans="1:8">
      <c r="A338" s="2">
        <f t="shared" si="44"/>
        <v>205</v>
      </c>
      <c r="C338" s="254" t="s">
        <v>379</v>
      </c>
      <c r="D338" s="332">
        <v>2023</v>
      </c>
      <c r="E338" s="59">
        <v>5635545.54</v>
      </c>
      <c r="F338" s="59">
        <v>0</v>
      </c>
      <c r="G338" s="6">
        <f t="shared" si="43"/>
        <v>5635545.54</v>
      </c>
      <c r="H338" s="6">
        <f t="shared" si="45"/>
        <v>0</v>
      </c>
    </row>
    <row r="339" spans="1:8">
      <c r="A339" s="2">
        <f t="shared" si="44"/>
        <v>206</v>
      </c>
      <c r="C339" s="254" t="s">
        <v>380</v>
      </c>
      <c r="D339" s="332">
        <v>2023</v>
      </c>
      <c r="E339" s="59">
        <v>5635545.54</v>
      </c>
      <c r="F339" s="59">
        <v>0</v>
      </c>
      <c r="G339" s="6">
        <f t="shared" si="43"/>
        <v>5635545.54</v>
      </c>
      <c r="H339" s="6">
        <f t="shared" si="45"/>
        <v>0</v>
      </c>
    </row>
    <row r="340" spans="1:8">
      <c r="A340" s="2">
        <f t="shared" si="44"/>
        <v>207</v>
      </c>
      <c r="C340" s="254" t="s">
        <v>381</v>
      </c>
      <c r="D340" s="332">
        <v>2023</v>
      </c>
      <c r="E340" s="59">
        <v>5635545.54</v>
      </c>
      <c r="F340" s="59">
        <v>0</v>
      </c>
      <c r="G340" s="6">
        <f t="shared" si="43"/>
        <v>5635545.54</v>
      </c>
      <c r="H340" s="6">
        <f t="shared" si="45"/>
        <v>0</v>
      </c>
    </row>
    <row r="341" spans="1:8">
      <c r="A341" s="2">
        <f t="shared" si="44"/>
        <v>208</v>
      </c>
      <c r="C341" s="254" t="s">
        <v>382</v>
      </c>
      <c r="D341" s="332">
        <v>2023</v>
      </c>
      <c r="E341" s="59">
        <v>5635545.54</v>
      </c>
      <c r="F341" s="59">
        <v>0</v>
      </c>
      <c r="G341" s="6">
        <f t="shared" si="43"/>
        <v>5635545.54</v>
      </c>
      <c r="H341" s="6">
        <f t="shared" si="45"/>
        <v>0</v>
      </c>
    </row>
    <row r="342" spans="1:8">
      <c r="A342" s="2">
        <f t="shared" si="44"/>
        <v>209</v>
      </c>
      <c r="C342" s="254" t="s">
        <v>963</v>
      </c>
      <c r="D342" s="332">
        <v>2023</v>
      </c>
      <c r="E342" s="59">
        <v>5635545.54</v>
      </c>
      <c r="F342" s="59">
        <v>0</v>
      </c>
      <c r="G342" s="6">
        <f t="shared" si="43"/>
        <v>5635545.54</v>
      </c>
      <c r="H342" s="6">
        <f t="shared" si="45"/>
        <v>0</v>
      </c>
    </row>
    <row r="343" spans="1:8">
      <c r="A343" s="2">
        <f t="shared" si="44"/>
        <v>210</v>
      </c>
      <c r="C343" s="254" t="s">
        <v>384</v>
      </c>
      <c r="D343" s="332">
        <v>2023</v>
      </c>
      <c r="E343" s="59">
        <v>5635545.54</v>
      </c>
      <c r="F343" s="59">
        <v>0</v>
      </c>
      <c r="G343" s="6">
        <f t="shared" si="43"/>
        <v>5635545.54</v>
      </c>
      <c r="H343" s="6">
        <f t="shared" si="45"/>
        <v>0</v>
      </c>
    </row>
    <row r="344" spans="1:8">
      <c r="A344" s="2">
        <f t="shared" si="44"/>
        <v>211</v>
      </c>
      <c r="C344" s="254" t="s">
        <v>372</v>
      </c>
      <c r="D344" s="332">
        <v>2023</v>
      </c>
      <c r="E344" s="59">
        <v>5635721.6699999999</v>
      </c>
      <c r="F344" s="59">
        <v>0</v>
      </c>
      <c r="G344" s="6">
        <f t="shared" si="43"/>
        <v>5635721.6699999999</v>
      </c>
      <c r="H344" s="6">
        <f t="shared" si="45"/>
        <v>176.12999999988824</v>
      </c>
    </row>
    <row r="345" spans="1:8">
      <c r="A345" s="2"/>
      <c r="C345" s="254"/>
      <c r="D345" s="571"/>
      <c r="E345" s="6"/>
      <c r="F345" s="6"/>
      <c r="G345" s="6"/>
      <c r="H345" s="6"/>
    </row>
    <row r="346" spans="1:8">
      <c r="C346" s="336" t="s">
        <v>2965</v>
      </c>
      <c r="E346" s="48" t="s">
        <v>329</v>
      </c>
      <c r="F346" s="48" t="s">
        <v>330</v>
      </c>
      <c r="G346" s="48" t="s">
        <v>331</v>
      </c>
      <c r="H346" s="48" t="s">
        <v>332</v>
      </c>
    </row>
    <row r="347" spans="1:8">
      <c r="G347" s="241" t="s">
        <v>1185</v>
      </c>
      <c r="H347" s="241" t="s">
        <v>1196</v>
      </c>
    </row>
    <row r="348" spans="1:8">
      <c r="C348" s="2" t="s">
        <v>1176</v>
      </c>
      <c r="H348" s="236" t="s">
        <v>1197</v>
      </c>
    </row>
    <row r="349" spans="1:8">
      <c r="C349" s="2" t="s">
        <v>365</v>
      </c>
      <c r="E349" s="2" t="s">
        <v>652</v>
      </c>
      <c r="F349" s="2" t="s">
        <v>1198</v>
      </c>
      <c r="G349" s="2" t="s">
        <v>1199</v>
      </c>
      <c r="H349" s="2" t="s">
        <v>696</v>
      </c>
    </row>
    <row r="350" spans="1:8">
      <c r="C350" s="18" t="s">
        <v>364</v>
      </c>
      <c r="D350" s="18" t="s">
        <v>365</v>
      </c>
      <c r="E350" s="3" t="s">
        <v>1200</v>
      </c>
      <c r="F350" s="3" t="s">
        <v>38</v>
      </c>
      <c r="G350" s="3" t="s">
        <v>1166</v>
      </c>
      <c r="H350" s="3" t="s">
        <v>1190</v>
      </c>
    </row>
    <row r="351" spans="1:8">
      <c r="A351" s="2">
        <f>A344+1</f>
        <v>212</v>
      </c>
      <c r="C351" s="254" t="s">
        <v>372</v>
      </c>
      <c r="D351" s="481">
        <v>2022</v>
      </c>
      <c r="E351" s="59"/>
      <c r="F351" s="59"/>
      <c r="G351" s="6">
        <f t="shared" ref="G351:G363" si="46">E351-F351</f>
        <v>0</v>
      </c>
      <c r="H351" s="6">
        <f>E351-E351</f>
        <v>0</v>
      </c>
    </row>
    <row r="352" spans="1:8">
      <c r="A352" s="2">
        <f>A351+1</f>
        <v>213</v>
      </c>
      <c r="C352" s="254" t="s">
        <v>374</v>
      </c>
      <c r="D352" s="332">
        <v>2023</v>
      </c>
      <c r="E352" s="59"/>
      <c r="F352" s="59"/>
      <c r="G352" s="6">
        <f t="shared" si="46"/>
        <v>0</v>
      </c>
      <c r="H352" s="6">
        <f>E352-E351</f>
        <v>0</v>
      </c>
    </row>
    <row r="353" spans="1:8">
      <c r="A353" s="2">
        <f t="shared" ref="A353:A363" si="47">A352+1</f>
        <v>214</v>
      </c>
      <c r="C353" s="254" t="s">
        <v>375</v>
      </c>
      <c r="D353" s="332">
        <v>2023</v>
      </c>
      <c r="E353" s="59"/>
      <c r="F353" s="59"/>
      <c r="G353" s="6">
        <f t="shared" si="46"/>
        <v>0</v>
      </c>
      <c r="H353" s="6">
        <f t="shared" ref="H353:H363" si="48">E353-E352</f>
        <v>0</v>
      </c>
    </row>
    <row r="354" spans="1:8">
      <c r="A354" s="2">
        <f t="shared" si="47"/>
        <v>215</v>
      </c>
      <c r="C354" s="254" t="s">
        <v>376</v>
      </c>
      <c r="D354" s="332">
        <v>2023</v>
      </c>
      <c r="E354" s="59"/>
      <c r="F354" s="59"/>
      <c r="G354" s="6">
        <f t="shared" si="46"/>
        <v>0</v>
      </c>
      <c r="H354" s="6">
        <f t="shared" si="48"/>
        <v>0</v>
      </c>
    </row>
    <row r="355" spans="1:8">
      <c r="A355" s="2">
        <f t="shared" si="47"/>
        <v>216</v>
      </c>
      <c r="C355" s="254" t="s">
        <v>377</v>
      </c>
      <c r="D355" s="332">
        <v>2023</v>
      </c>
      <c r="E355" s="59"/>
      <c r="F355" s="59"/>
      <c r="G355" s="6">
        <f t="shared" si="46"/>
        <v>0</v>
      </c>
      <c r="H355" s="6">
        <f t="shared" si="48"/>
        <v>0</v>
      </c>
    </row>
    <row r="356" spans="1:8">
      <c r="A356" s="2">
        <f t="shared" si="47"/>
        <v>217</v>
      </c>
      <c r="C356" s="254" t="s">
        <v>378</v>
      </c>
      <c r="D356" s="332">
        <v>2023</v>
      </c>
      <c r="E356" s="59"/>
      <c r="F356" s="59"/>
      <c r="G356" s="6">
        <f t="shared" si="46"/>
        <v>0</v>
      </c>
      <c r="H356" s="6">
        <f t="shared" si="48"/>
        <v>0</v>
      </c>
    </row>
    <row r="357" spans="1:8">
      <c r="A357" s="2">
        <f t="shared" si="47"/>
        <v>218</v>
      </c>
      <c r="C357" s="254" t="s">
        <v>379</v>
      </c>
      <c r="D357" s="332">
        <v>2023</v>
      </c>
      <c r="E357" s="59"/>
      <c r="F357" s="59"/>
      <c r="G357" s="6">
        <f t="shared" si="46"/>
        <v>0</v>
      </c>
      <c r="H357" s="6">
        <f t="shared" si="48"/>
        <v>0</v>
      </c>
    </row>
    <row r="358" spans="1:8">
      <c r="A358" s="2">
        <f t="shared" si="47"/>
        <v>219</v>
      </c>
      <c r="C358" s="254" t="s">
        <v>380</v>
      </c>
      <c r="D358" s="332">
        <v>2023</v>
      </c>
      <c r="E358" s="59"/>
      <c r="F358" s="59"/>
      <c r="G358" s="6">
        <f t="shared" si="46"/>
        <v>0</v>
      </c>
      <c r="H358" s="6">
        <f t="shared" si="48"/>
        <v>0</v>
      </c>
    </row>
    <row r="359" spans="1:8">
      <c r="A359" s="2">
        <f t="shared" si="47"/>
        <v>220</v>
      </c>
      <c r="C359" s="254" t="s">
        <v>381</v>
      </c>
      <c r="D359" s="332">
        <v>2023</v>
      </c>
      <c r="E359" s="59"/>
      <c r="F359" s="59"/>
      <c r="G359" s="6">
        <f t="shared" si="46"/>
        <v>0</v>
      </c>
      <c r="H359" s="6">
        <f t="shared" si="48"/>
        <v>0</v>
      </c>
    </row>
    <row r="360" spans="1:8">
      <c r="A360" s="2">
        <f t="shared" si="47"/>
        <v>221</v>
      </c>
      <c r="C360" s="254" t="s">
        <v>382</v>
      </c>
      <c r="D360" s="332">
        <v>2023</v>
      </c>
      <c r="E360" s="59"/>
      <c r="F360" s="59"/>
      <c r="G360" s="6">
        <f t="shared" si="46"/>
        <v>0</v>
      </c>
      <c r="H360" s="6">
        <f t="shared" si="48"/>
        <v>0</v>
      </c>
    </row>
    <row r="361" spans="1:8">
      <c r="A361" s="2">
        <f t="shared" si="47"/>
        <v>222</v>
      </c>
      <c r="C361" s="254" t="s">
        <v>963</v>
      </c>
      <c r="D361" s="332">
        <v>2023</v>
      </c>
      <c r="E361" s="59"/>
      <c r="F361" s="59"/>
      <c r="G361" s="6">
        <f t="shared" si="46"/>
        <v>0</v>
      </c>
      <c r="H361" s="6">
        <f t="shared" si="48"/>
        <v>0</v>
      </c>
    </row>
    <row r="362" spans="1:8">
      <c r="A362" s="2">
        <f t="shared" si="47"/>
        <v>223</v>
      </c>
      <c r="C362" s="254" t="s">
        <v>384</v>
      </c>
      <c r="D362" s="332">
        <v>2023</v>
      </c>
      <c r="E362" s="59"/>
      <c r="F362" s="59"/>
      <c r="G362" s="6">
        <f t="shared" si="46"/>
        <v>0</v>
      </c>
      <c r="H362" s="6">
        <f t="shared" si="48"/>
        <v>0</v>
      </c>
    </row>
    <row r="363" spans="1:8">
      <c r="A363" s="2">
        <f t="shared" si="47"/>
        <v>224</v>
      </c>
      <c r="C363" s="254" t="s">
        <v>372</v>
      </c>
      <c r="D363" s="332">
        <v>2023</v>
      </c>
      <c r="E363" s="59"/>
      <c r="F363" s="59"/>
      <c r="G363" s="6">
        <f t="shared" si="46"/>
        <v>0</v>
      </c>
      <c r="H363" s="6">
        <f t="shared" si="48"/>
        <v>0</v>
      </c>
    </row>
    <row r="364" spans="1:8">
      <c r="A364" s="2"/>
      <c r="C364" s="254"/>
      <c r="D364" s="571"/>
      <c r="E364" s="6"/>
      <c r="F364" s="6"/>
      <c r="G364" s="6"/>
      <c r="H364" s="6"/>
    </row>
    <row r="365" spans="1:8">
      <c r="C365" s="336" t="s">
        <v>2959</v>
      </c>
      <c r="E365" s="48" t="s">
        <v>329</v>
      </c>
      <c r="F365" s="48" t="s">
        <v>330</v>
      </c>
      <c r="G365" s="48" t="s">
        <v>331</v>
      </c>
      <c r="H365" s="48" t="s">
        <v>332</v>
      </c>
    </row>
    <row r="366" spans="1:8">
      <c r="E366" s="235"/>
      <c r="F366" s="235"/>
      <c r="G366" s="241" t="s">
        <v>1185</v>
      </c>
      <c r="H366" s="241" t="s">
        <v>1196</v>
      </c>
    </row>
    <row r="367" spans="1:8">
      <c r="A367" s="235"/>
      <c r="B367" s="235"/>
      <c r="C367" s="2" t="s">
        <v>1176</v>
      </c>
      <c r="D367" s="235"/>
      <c r="E367" s="235"/>
      <c r="F367" s="235"/>
      <c r="G367" s="235"/>
      <c r="H367" s="236" t="s">
        <v>1197</v>
      </c>
    </row>
    <row r="368" spans="1:8">
      <c r="A368" s="235"/>
      <c r="B368" s="235"/>
      <c r="C368" s="2" t="s">
        <v>365</v>
      </c>
      <c r="D368" s="235"/>
      <c r="E368" s="2" t="s">
        <v>652</v>
      </c>
      <c r="F368" s="2" t="s">
        <v>1198</v>
      </c>
      <c r="G368" s="2" t="s">
        <v>1199</v>
      </c>
      <c r="H368" s="2" t="s">
        <v>696</v>
      </c>
    </row>
    <row r="369" spans="1:8">
      <c r="A369" s="235"/>
      <c r="B369" s="235"/>
      <c r="C369" s="18" t="s">
        <v>364</v>
      </c>
      <c r="D369" s="18" t="s">
        <v>365</v>
      </c>
      <c r="E369" s="3" t="s">
        <v>1200</v>
      </c>
      <c r="F369" s="3" t="s">
        <v>38</v>
      </c>
      <c r="G369" s="3" t="s">
        <v>1166</v>
      </c>
      <c r="H369" s="3" t="s">
        <v>1190</v>
      </c>
    </row>
    <row r="370" spans="1:8">
      <c r="A370" s="2">
        <f>A363+1</f>
        <v>225</v>
      </c>
      <c r="B370" s="235"/>
      <c r="C370" s="254" t="s">
        <v>372</v>
      </c>
      <c r="D370" s="481">
        <v>2022</v>
      </c>
      <c r="E370" s="255"/>
      <c r="F370" s="255"/>
      <c r="G370" s="237">
        <f t="shared" ref="G370:G382" si="49">E370-F370</f>
        <v>0</v>
      </c>
      <c r="H370" s="237">
        <f>E370-E370</f>
        <v>0</v>
      </c>
    </row>
    <row r="371" spans="1:8">
      <c r="A371" s="2">
        <f>A370+1</f>
        <v>226</v>
      </c>
      <c r="B371" s="235"/>
      <c r="C371" s="254" t="s">
        <v>374</v>
      </c>
      <c r="D371" s="332">
        <v>2023</v>
      </c>
      <c r="E371" s="255"/>
      <c r="F371" s="255"/>
      <c r="G371" s="237">
        <f t="shared" si="49"/>
        <v>0</v>
      </c>
      <c r="H371" s="237">
        <f>E371-E370</f>
        <v>0</v>
      </c>
    </row>
    <row r="372" spans="1:8">
      <c r="A372" s="2">
        <f t="shared" ref="A372:A382" si="50">A371+1</f>
        <v>227</v>
      </c>
      <c r="B372" s="235"/>
      <c r="C372" s="254" t="s">
        <v>375</v>
      </c>
      <c r="D372" s="332">
        <v>2023</v>
      </c>
      <c r="E372" s="255"/>
      <c r="F372" s="255"/>
      <c r="G372" s="237">
        <f t="shared" si="49"/>
        <v>0</v>
      </c>
      <c r="H372" s="237">
        <f t="shared" ref="H372:H382" si="51">E372-E371</f>
        <v>0</v>
      </c>
    </row>
    <row r="373" spans="1:8">
      <c r="A373" s="2">
        <f t="shared" si="50"/>
        <v>228</v>
      </c>
      <c r="B373" s="235"/>
      <c r="C373" s="254" t="s">
        <v>376</v>
      </c>
      <c r="D373" s="332">
        <v>2023</v>
      </c>
      <c r="E373" s="255"/>
      <c r="F373" s="255"/>
      <c r="G373" s="237">
        <f t="shared" si="49"/>
        <v>0</v>
      </c>
      <c r="H373" s="237">
        <f t="shared" si="51"/>
        <v>0</v>
      </c>
    </row>
    <row r="374" spans="1:8">
      <c r="A374" s="2">
        <f t="shared" si="50"/>
        <v>229</v>
      </c>
      <c r="B374" s="235"/>
      <c r="C374" s="254" t="s">
        <v>377</v>
      </c>
      <c r="D374" s="332">
        <v>2023</v>
      </c>
      <c r="E374" s="255"/>
      <c r="F374" s="255"/>
      <c r="G374" s="237">
        <f t="shared" si="49"/>
        <v>0</v>
      </c>
      <c r="H374" s="237">
        <f t="shared" si="51"/>
        <v>0</v>
      </c>
    </row>
    <row r="375" spans="1:8">
      <c r="A375" s="2">
        <f t="shared" si="50"/>
        <v>230</v>
      </c>
      <c r="B375" s="235"/>
      <c r="C375" s="254" t="s">
        <v>378</v>
      </c>
      <c r="D375" s="332">
        <v>2023</v>
      </c>
      <c r="E375" s="255"/>
      <c r="F375" s="255"/>
      <c r="G375" s="237">
        <f t="shared" si="49"/>
        <v>0</v>
      </c>
      <c r="H375" s="237">
        <f t="shared" si="51"/>
        <v>0</v>
      </c>
    </row>
    <row r="376" spans="1:8">
      <c r="A376" s="2">
        <f t="shared" si="50"/>
        <v>231</v>
      </c>
      <c r="B376" s="235"/>
      <c r="C376" s="254" t="s">
        <v>379</v>
      </c>
      <c r="D376" s="332">
        <v>2023</v>
      </c>
      <c r="E376" s="255"/>
      <c r="F376" s="255"/>
      <c r="G376" s="237">
        <f t="shared" si="49"/>
        <v>0</v>
      </c>
      <c r="H376" s="237">
        <f t="shared" si="51"/>
        <v>0</v>
      </c>
    </row>
    <row r="377" spans="1:8">
      <c r="A377" s="2">
        <f t="shared" si="50"/>
        <v>232</v>
      </c>
      <c r="B377" s="235"/>
      <c r="C377" s="254" t="s">
        <v>380</v>
      </c>
      <c r="D377" s="332">
        <v>2023</v>
      </c>
      <c r="E377" s="255"/>
      <c r="F377" s="255"/>
      <c r="G377" s="237">
        <f t="shared" si="49"/>
        <v>0</v>
      </c>
      <c r="H377" s="237">
        <f t="shared" si="51"/>
        <v>0</v>
      </c>
    </row>
    <row r="378" spans="1:8">
      <c r="A378" s="2">
        <f t="shared" si="50"/>
        <v>233</v>
      </c>
      <c r="B378" s="235"/>
      <c r="C378" s="254" t="s">
        <v>381</v>
      </c>
      <c r="D378" s="332">
        <v>2023</v>
      </c>
      <c r="E378" s="255"/>
      <c r="F378" s="255"/>
      <c r="G378" s="237">
        <f t="shared" si="49"/>
        <v>0</v>
      </c>
      <c r="H378" s="237">
        <f t="shared" si="51"/>
        <v>0</v>
      </c>
    </row>
    <row r="379" spans="1:8">
      <c r="A379" s="2">
        <f t="shared" si="50"/>
        <v>234</v>
      </c>
      <c r="B379" s="235"/>
      <c r="C379" s="254" t="s">
        <v>382</v>
      </c>
      <c r="D379" s="332">
        <v>2023</v>
      </c>
      <c r="E379" s="255"/>
      <c r="F379" s="255"/>
      <c r="G379" s="237">
        <f t="shared" si="49"/>
        <v>0</v>
      </c>
      <c r="H379" s="237">
        <f t="shared" si="51"/>
        <v>0</v>
      </c>
    </row>
    <row r="380" spans="1:8">
      <c r="A380" s="2">
        <f t="shared" si="50"/>
        <v>235</v>
      </c>
      <c r="B380" s="235"/>
      <c r="C380" s="254" t="s">
        <v>963</v>
      </c>
      <c r="D380" s="332">
        <v>2023</v>
      </c>
      <c r="E380" s="255"/>
      <c r="F380" s="255"/>
      <c r="G380" s="237">
        <f t="shared" si="49"/>
        <v>0</v>
      </c>
      <c r="H380" s="237">
        <f t="shared" si="51"/>
        <v>0</v>
      </c>
    </row>
    <row r="381" spans="1:8">
      <c r="A381" s="2">
        <f t="shared" si="50"/>
        <v>236</v>
      </c>
      <c r="B381" s="235"/>
      <c r="C381" s="254" t="s">
        <v>384</v>
      </c>
      <c r="D381" s="332">
        <v>2023</v>
      </c>
      <c r="E381" s="255"/>
      <c r="F381" s="255"/>
      <c r="G381" s="237">
        <f t="shared" si="49"/>
        <v>0</v>
      </c>
      <c r="H381" s="237">
        <f t="shared" si="51"/>
        <v>0</v>
      </c>
    </row>
    <row r="382" spans="1:8">
      <c r="A382" s="2">
        <f t="shared" si="50"/>
        <v>237</v>
      </c>
      <c r="B382" s="235"/>
      <c r="C382" s="254" t="s">
        <v>372</v>
      </c>
      <c r="D382" s="332">
        <v>2023</v>
      </c>
      <c r="E382" s="255"/>
      <c r="F382" s="255"/>
      <c r="G382" s="237">
        <f t="shared" si="49"/>
        <v>0</v>
      </c>
      <c r="H382" s="237">
        <f t="shared" si="51"/>
        <v>0</v>
      </c>
    </row>
    <row r="383" spans="1:8">
      <c r="A383" s="1078"/>
      <c r="C383" s="1084"/>
      <c r="D383" s="1085"/>
      <c r="E383" s="826"/>
      <c r="F383" s="826"/>
      <c r="G383" s="826"/>
      <c r="H383" s="826"/>
    </row>
    <row r="384" spans="1:8">
      <c r="C384" s="1095" t="s">
        <v>2960</v>
      </c>
      <c r="D384" s="54"/>
      <c r="E384" s="48" t="s">
        <v>329</v>
      </c>
      <c r="F384" s="48" t="s">
        <v>330</v>
      </c>
      <c r="G384" s="48" t="s">
        <v>331</v>
      </c>
      <c r="H384" s="48" t="s">
        <v>332</v>
      </c>
    </row>
    <row r="385" spans="1:8">
      <c r="E385" s="235"/>
      <c r="F385" s="235"/>
      <c r="G385" s="241" t="s">
        <v>1185</v>
      </c>
      <c r="H385" s="241" t="s">
        <v>1196</v>
      </c>
    </row>
    <row r="386" spans="1:8">
      <c r="A386" s="235"/>
      <c r="B386" s="235"/>
      <c r="C386" s="2" t="s">
        <v>1176</v>
      </c>
      <c r="D386" s="235"/>
      <c r="E386" s="235"/>
      <c r="F386" s="235"/>
      <c r="G386" s="235"/>
      <c r="H386" s="236" t="s">
        <v>1197</v>
      </c>
    </row>
    <row r="387" spans="1:8">
      <c r="A387" s="235"/>
      <c r="B387" s="235"/>
      <c r="C387" s="2" t="s">
        <v>365</v>
      </c>
      <c r="D387" s="235"/>
      <c r="E387" s="2" t="s">
        <v>652</v>
      </c>
      <c r="F387" s="2" t="s">
        <v>1198</v>
      </c>
      <c r="G387" s="2" t="s">
        <v>1199</v>
      </c>
      <c r="H387" s="2" t="s">
        <v>696</v>
      </c>
    </row>
    <row r="388" spans="1:8">
      <c r="A388" s="235"/>
      <c r="B388" s="235"/>
      <c r="C388" s="18" t="s">
        <v>364</v>
      </c>
      <c r="D388" s="18" t="s">
        <v>365</v>
      </c>
      <c r="E388" s="3" t="s">
        <v>1200</v>
      </c>
      <c r="F388" s="3" t="s">
        <v>38</v>
      </c>
      <c r="G388" s="3" t="s">
        <v>1166</v>
      </c>
      <c r="H388" s="3" t="s">
        <v>1190</v>
      </c>
    </row>
    <row r="389" spans="1:8">
      <c r="A389" s="2">
        <f>A381+1</f>
        <v>237</v>
      </c>
      <c r="B389" s="235"/>
      <c r="C389" s="254" t="s">
        <v>372</v>
      </c>
      <c r="D389" s="481">
        <v>2022</v>
      </c>
      <c r="E389" s="255"/>
      <c r="F389" s="255"/>
      <c r="G389" s="237">
        <f t="shared" ref="G389:G401" si="52">E389-F389</f>
        <v>0</v>
      </c>
      <c r="H389" s="237">
        <f>E389-E389</f>
        <v>0</v>
      </c>
    </row>
    <row r="390" spans="1:8">
      <c r="A390" s="2">
        <f>A389+1</f>
        <v>238</v>
      </c>
      <c r="B390" s="235"/>
      <c r="C390" s="254" t="s">
        <v>374</v>
      </c>
      <c r="D390" s="332">
        <v>2023</v>
      </c>
      <c r="E390" s="255"/>
      <c r="F390" s="255"/>
      <c r="G390" s="237">
        <f t="shared" si="52"/>
        <v>0</v>
      </c>
      <c r="H390" s="237">
        <f>E390-E389</f>
        <v>0</v>
      </c>
    </row>
    <row r="391" spans="1:8">
      <c r="A391" s="2">
        <f t="shared" ref="A391:A401" si="53">A390+1</f>
        <v>239</v>
      </c>
      <c r="B391" s="235"/>
      <c r="C391" s="254" t="s">
        <v>375</v>
      </c>
      <c r="D391" s="332">
        <v>2023</v>
      </c>
      <c r="E391" s="255"/>
      <c r="F391" s="255"/>
      <c r="G391" s="237">
        <f t="shared" si="52"/>
        <v>0</v>
      </c>
      <c r="H391" s="237">
        <f t="shared" ref="H391:H401" si="54">E391-E390</f>
        <v>0</v>
      </c>
    </row>
    <row r="392" spans="1:8">
      <c r="A392" s="2">
        <f t="shared" si="53"/>
        <v>240</v>
      </c>
      <c r="B392" s="235"/>
      <c r="C392" s="254" t="s">
        <v>376</v>
      </c>
      <c r="D392" s="332">
        <v>2023</v>
      </c>
      <c r="E392" s="255"/>
      <c r="F392" s="255"/>
      <c r="G392" s="237">
        <f t="shared" si="52"/>
        <v>0</v>
      </c>
      <c r="H392" s="237">
        <f t="shared" si="54"/>
        <v>0</v>
      </c>
    </row>
    <row r="393" spans="1:8">
      <c r="A393" s="2">
        <f t="shared" si="53"/>
        <v>241</v>
      </c>
      <c r="B393" s="235"/>
      <c r="C393" s="254" t="s">
        <v>377</v>
      </c>
      <c r="D393" s="332">
        <v>2023</v>
      </c>
      <c r="E393" s="255"/>
      <c r="F393" s="255"/>
      <c r="G393" s="237">
        <f t="shared" si="52"/>
        <v>0</v>
      </c>
      <c r="H393" s="237">
        <f t="shared" si="54"/>
        <v>0</v>
      </c>
    </row>
    <row r="394" spans="1:8">
      <c r="A394" s="2">
        <f t="shared" si="53"/>
        <v>242</v>
      </c>
      <c r="B394" s="235"/>
      <c r="C394" s="254" t="s">
        <v>378</v>
      </c>
      <c r="D394" s="332">
        <v>2023</v>
      </c>
      <c r="E394" s="255"/>
      <c r="F394" s="255"/>
      <c r="G394" s="237">
        <f t="shared" si="52"/>
        <v>0</v>
      </c>
      <c r="H394" s="237">
        <f t="shared" si="54"/>
        <v>0</v>
      </c>
    </row>
    <row r="395" spans="1:8">
      <c r="A395" s="2">
        <f t="shared" si="53"/>
        <v>243</v>
      </c>
      <c r="B395" s="235"/>
      <c r="C395" s="254" t="s">
        <v>379</v>
      </c>
      <c r="D395" s="332">
        <v>2023</v>
      </c>
      <c r="E395" s="255"/>
      <c r="F395" s="255"/>
      <c r="G395" s="237">
        <f t="shared" si="52"/>
        <v>0</v>
      </c>
      <c r="H395" s="237">
        <f t="shared" si="54"/>
        <v>0</v>
      </c>
    </row>
    <row r="396" spans="1:8">
      <c r="A396" s="2">
        <f t="shared" si="53"/>
        <v>244</v>
      </c>
      <c r="B396" s="235"/>
      <c r="C396" s="254" t="s">
        <v>380</v>
      </c>
      <c r="D396" s="332">
        <v>2023</v>
      </c>
      <c r="E396" s="255"/>
      <c r="F396" s="255"/>
      <c r="G396" s="237">
        <f t="shared" si="52"/>
        <v>0</v>
      </c>
      <c r="H396" s="237">
        <f t="shared" si="54"/>
        <v>0</v>
      </c>
    </row>
    <row r="397" spans="1:8">
      <c r="A397" s="2">
        <f t="shared" si="53"/>
        <v>245</v>
      </c>
      <c r="B397" s="235"/>
      <c r="C397" s="254" t="s">
        <v>381</v>
      </c>
      <c r="D397" s="332">
        <v>2023</v>
      </c>
      <c r="E397" s="255"/>
      <c r="F397" s="255"/>
      <c r="G397" s="237">
        <f t="shared" si="52"/>
        <v>0</v>
      </c>
      <c r="H397" s="237">
        <f t="shared" si="54"/>
        <v>0</v>
      </c>
    </row>
    <row r="398" spans="1:8">
      <c r="A398" s="2">
        <f t="shared" si="53"/>
        <v>246</v>
      </c>
      <c r="B398" s="235"/>
      <c r="C398" s="254" t="s">
        <v>382</v>
      </c>
      <c r="D398" s="332">
        <v>2023</v>
      </c>
      <c r="E398" s="255"/>
      <c r="F398" s="255"/>
      <c r="G398" s="237">
        <f t="shared" si="52"/>
        <v>0</v>
      </c>
      <c r="H398" s="237">
        <f t="shared" si="54"/>
        <v>0</v>
      </c>
    </row>
    <row r="399" spans="1:8">
      <c r="A399" s="2">
        <f t="shared" si="53"/>
        <v>247</v>
      </c>
      <c r="B399" s="235"/>
      <c r="C399" s="254" t="s">
        <v>963</v>
      </c>
      <c r="D399" s="332">
        <v>2023</v>
      </c>
      <c r="E399" s="255"/>
      <c r="F399" s="255"/>
      <c r="G399" s="237">
        <f t="shared" si="52"/>
        <v>0</v>
      </c>
      <c r="H399" s="237">
        <f t="shared" si="54"/>
        <v>0</v>
      </c>
    </row>
    <row r="400" spans="1:8">
      <c r="A400" s="2">
        <f t="shared" si="53"/>
        <v>248</v>
      </c>
      <c r="B400" s="235"/>
      <c r="C400" s="254" t="s">
        <v>384</v>
      </c>
      <c r="D400" s="332">
        <v>2023</v>
      </c>
      <c r="E400" s="255"/>
      <c r="F400" s="255"/>
      <c r="G400" s="237">
        <f t="shared" si="52"/>
        <v>0</v>
      </c>
      <c r="H400" s="237">
        <f t="shared" si="54"/>
        <v>0</v>
      </c>
    </row>
    <row r="401" spans="1:10">
      <c r="A401" s="2">
        <f t="shared" si="53"/>
        <v>249</v>
      </c>
      <c r="B401" s="235"/>
      <c r="C401" s="254" t="s">
        <v>372</v>
      </c>
      <c r="D401" s="332">
        <v>2023</v>
      </c>
      <c r="E401" s="255"/>
      <c r="F401" s="255"/>
      <c r="G401" s="237">
        <f t="shared" si="52"/>
        <v>0</v>
      </c>
      <c r="H401" s="237">
        <f t="shared" si="54"/>
        <v>0</v>
      </c>
    </row>
    <row r="402" spans="1:10">
      <c r="A402" s="2"/>
      <c r="C402" s="254"/>
      <c r="D402" s="17"/>
      <c r="E402" s="6"/>
      <c r="F402" s="6"/>
      <c r="G402" s="6"/>
      <c r="H402" s="6"/>
    </row>
    <row r="403" spans="1:10">
      <c r="B403" s="1"/>
      <c r="C403" s="1" t="s">
        <v>1212</v>
      </c>
      <c r="D403" s="233"/>
      <c r="E403" s="6"/>
    </row>
    <row r="404" spans="1:10">
      <c r="B404" s="1"/>
    </row>
    <row r="405" spans="1:10">
      <c r="C405" s="1054" t="s">
        <v>1213</v>
      </c>
      <c r="D405" s="1055"/>
      <c r="E405" s="1055"/>
      <c r="F405" s="1055"/>
      <c r="G405" s="1056" t="s">
        <v>1214</v>
      </c>
      <c r="H405" s="1055"/>
      <c r="I405" s="1055"/>
      <c r="J405" s="1055"/>
    </row>
    <row r="406" spans="1:10">
      <c r="A406" s="2">
        <f>A401+1</f>
        <v>250</v>
      </c>
      <c r="C406" s="1057" t="s">
        <v>1215</v>
      </c>
      <c r="D406" s="1055"/>
      <c r="E406" s="1058"/>
      <c r="F406" s="1059" t="s">
        <v>1216</v>
      </c>
      <c r="G406" s="450" t="s">
        <v>1217</v>
      </c>
      <c r="H406" s="1055"/>
      <c r="I406" s="1055"/>
      <c r="J406" s="1055"/>
    </row>
    <row r="407" spans="1:10">
      <c r="A407" s="2">
        <f>A406+1</f>
        <v>251</v>
      </c>
      <c r="C407" s="1060" t="s">
        <v>1218</v>
      </c>
      <c r="D407" s="1055"/>
      <c r="E407" s="1061"/>
      <c r="F407" s="1062">
        <v>7.4999999999999997E-3</v>
      </c>
      <c r="G407" s="450" t="s">
        <v>1219</v>
      </c>
      <c r="H407" s="1055"/>
      <c r="I407" s="1055"/>
      <c r="J407" s="1055"/>
    </row>
    <row r="408" spans="1:10">
      <c r="A408" s="2">
        <f>A407+1</f>
        <v>252</v>
      </c>
      <c r="C408" s="1060" t="s">
        <v>1220</v>
      </c>
      <c r="D408" s="1055"/>
      <c r="E408" s="1058"/>
      <c r="F408" s="1059" t="s">
        <v>931</v>
      </c>
      <c r="G408" s="1063" t="s">
        <v>1221</v>
      </c>
      <c r="H408" s="1055"/>
      <c r="I408" s="1055"/>
      <c r="J408" s="1055"/>
    </row>
    <row r="409" spans="1:10">
      <c r="A409" s="235"/>
      <c r="C409" s="1055"/>
      <c r="D409" s="1055"/>
      <c r="E409" s="1058"/>
      <c r="F409" s="1055"/>
      <c r="G409" s="1055"/>
      <c r="H409" s="1055"/>
      <c r="I409" s="1055"/>
      <c r="J409" s="1055"/>
    </row>
    <row r="410" spans="1:10">
      <c r="A410" s="235"/>
      <c r="C410" s="1054" t="s">
        <v>1222</v>
      </c>
      <c r="D410" s="1055"/>
      <c r="E410" s="1055"/>
      <c r="F410" s="1055"/>
      <c r="G410" s="1056" t="s">
        <v>1214</v>
      </c>
      <c r="H410" s="1055"/>
      <c r="I410" s="1055"/>
      <c r="J410" s="1055"/>
    </row>
    <row r="411" spans="1:10">
      <c r="A411" s="2">
        <f>A408+1</f>
        <v>253</v>
      </c>
      <c r="C411" s="1057" t="s">
        <v>1215</v>
      </c>
      <c r="D411" s="1055"/>
      <c r="E411" s="1058"/>
      <c r="F411" s="1059" t="s">
        <v>1216</v>
      </c>
      <c r="G411" s="450" t="s">
        <v>1217</v>
      </c>
      <c r="H411" s="1055"/>
      <c r="I411" s="1055"/>
      <c r="J411" s="1055"/>
    </row>
    <row r="412" spans="1:10">
      <c r="A412" s="2">
        <f>A411+1</f>
        <v>254</v>
      </c>
      <c r="C412" s="1060" t="s">
        <v>1218</v>
      </c>
      <c r="D412" s="1055"/>
      <c r="E412" s="1061"/>
      <c r="F412" s="1062">
        <v>1.2500000000000001E-2</v>
      </c>
      <c r="G412" s="450" t="s">
        <v>1219</v>
      </c>
      <c r="H412" s="1055"/>
      <c r="I412" s="1055"/>
      <c r="J412" s="1055"/>
    </row>
    <row r="413" spans="1:10">
      <c r="A413" s="2">
        <f>A412+1</f>
        <v>255</v>
      </c>
      <c r="C413" s="1060" t="s">
        <v>1220</v>
      </c>
      <c r="D413" s="1055"/>
      <c r="E413" s="1058"/>
      <c r="F413" s="1059" t="s">
        <v>1216</v>
      </c>
      <c r="G413" s="450" t="s">
        <v>1223</v>
      </c>
      <c r="H413" s="1055"/>
      <c r="I413" s="1055"/>
      <c r="J413" s="1055"/>
    </row>
    <row r="414" spans="1:10">
      <c r="A414" s="235"/>
      <c r="C414" s="1060"/>
      <c r="D414" s="1055"/>
      <c r="E414" s="1058"/>
      <c r="F414" s="1059"/>
      <c r="G414" s="1055"/>
      <c r="H414" s="1055"/>
      <c r="I414" s="1055"/>
      <c r="J414" s="1055"/>
    </row>
    <row r="415" spans="1:10">
      <c r="A415" s="235"/>
      <c r="C415" s="1054" t="s">
        <v>1224</v>
      </c>
      <c r="D415" s="1055"/>
      <c r="E415" s="450"/>
      <c r="F415" s="819"/>
      <c r="G415" s="1056" t="s">
        <v>1214</v>
      </c>
      <c r="H415" s="1055"/>
      <c r="I415" s="1055"/>
      <c r="J415" s="1055"/>
    </row>
    <row r="416" spans="1:10">
      <c r="A416" s="2">
        <f>A413+1</f>
        <v>256</v>
      </c>
      <c r="C416" s="1057" t="s">
        <v>1215</v>
      </c>
      <c r="D416" s="1055"/>
      <c r="E416" s="1058"/>
      <c r="F416" s="1059" t="s">
        <v>1216</v>
      </c>
      <c r="G416" s="450" t="s">
        <v>1217</v>
      </c>
      <c r="H416" s="1055"/>
      <c r="I416" s="1055"/>
      <c r="J416" s="1055"/>
    </row>
    <row r="417" spans="1:10">
      <c r="A417" s="2">
        <f>A416+1</f>
        <v>257</v>
      </c>
      <c r="C417" s="1060" t="s">
        <v>1218</v>
      </c>
      <c r="D417" s="1055"/>
      <c r="E417" s="1061"/>
      <c r="F417" s="1062">
        <v>0.01</v>
      </c>
      <c r="G417" s="450" t="s">
        <v>1225</v>
      </c>
      <c r="H417" s="1055"/>
      <c r="I417" s="1055"/>
      <c r="J417" s="1055"/>
    </row>
    <row r="418" spans="1:10">
      <c r="A418" s="2">
        <f>A417+1</f>
        <v>258</v>
      </c>
      <c r="C418" s="1060"/>
      <c r="D418" s="1055"/>
      <c r="E418" s="1061"/>
      <c r="F418" s="1062"/>
      <c r="G418" s="450" t="s">
        <v>1226</v>
      </c>
      <c r="H418" s="1055"/>
      <c r="I418" s="1055"/>
      <c r="J418" s="1055"/>
    </row>
    <row r="419" spans="1:10">
      <c r="A419" s="2">
        <f>A418+1</f>
        <v>259</v>
      </c>
      <c r="C419" s="1060" t="s">
        <v>1220</v>
      </c>
      <c r="D419" s="1055"/>
      <c r="E419" s="1058"/>
      <c r="F419" s="1059" t="s">
        <v>1216</v>
      </c>
      <c r="G419" s="450" t="s">
        <v>1223</v>
      </c>
      <c r="H419" s="1055"/>
      <c r="I419" s="1055"/>
      <c r="J419" s="1055"/>
    </row>
    <row r="420" spans="1:10">
      <c r="A420" s="235"/>
      <c r="C420" s="1060"/>
      <c r="D420" s="1055"/>
      <c r="E420" s="1058"/>
      <c r="F420" s="1059"/>
      <c r="G420" s="1055"/>
      <c r="H420" s="1055"/>
      <c r="I420" s="1055"/>
      <c r="J420" s="1055"/>
    </row>
    <row r="421" spans="1:10" ht="14.25">
      <c r="A421" s="235"/>
      <c r="C421" s="1054" t="s">
        <v>1227</v>
      </c>
      <c r="D421" s="1064"/>
      <c r="E421" s="450"/>
      <c r="F421" s="819"/>
      <c r="G421" s="1056" t="s">
        <v>1214</v>
      </c>
      <c r="H421" s="1064"/>
      <c r="I421" s="1064"/>
      <c r="J421" s="1064"/>
    </row>
    <row r="422" spans="1:10" ht="14.25">
      <c r="A422" s="2">
        <f>A419+1</f>
        <v>260</v>
      </c>
      <c r="C422" s="1057" t="s">
        <v>1215</v>
      </c>
      <c r="D422" s="1064"/>
      <c r="E422" s="1065"/>
      <c r="F422" s="1066" t="s">
        <v>931</v>
      </c>
      <c r="G422" s="450" t="s">
        <v>1228</v>
      </c>
      <c r="H422" s="1064"/>
      <c r="I422" s="1064"/>
      <c r="J422" s="1064"/>
    </row>
    <row r="423" spans="1:10" ht="14.25">
      <c r="A423" s="2">
        <f>A422+1</f>
        <v>261</v>
      </c>
      <c r="C423" s="1057"/>
      <c r="D423" s="1064"/>
      <c r="E423" s="1065"/>
      <c r="F423" s="1066"/>
      <c r="G423" s="1064" t="s">
        <v>1229</v>
      </c>
      <c r="H423" s="1064"/>
      <c r="I423" s="1064"/>
      <c r="J423" s="1064"/>
    </row>
    <row r="424" spans="1:10" ht="14.25">
      <c r="A424" s="2">
        <f>A423+1</f>
        <v>262</v>
      </c>
      <c r="C424" s="1067" t="s">
        <v>1218</v>
      </c>
      <c r="D424" s="1064"/>
      <c r="E424" s="1068"/>
      <c r="F424" s="1069">
        <v>0</v>
      </c>
      <c r="G424" s="450" t="s">
        <v>1230</v>
      </c>
      <c r="H424" s="1064"/>
      <c r="I424" s="1064"/>
      <c r="J424" s="1064"/>
    </row>
    <row r="425" spans="1:10" ht="14.25">
      <c r="A425" s="2">
        <f>A424+1</f>
        <v>263</v>
      </c>
      <c r="C425" s="1067"/>
      <c r="D425" s="1064"/>
      <c r="E425" s="1068"/>
      <c r="F425" s="1069"/>
      <c r="G425" s="450" t="s">
        <v>1231</v>
      </c>
      <c r="H425" s="1064"/>
      <c r="I425" s="1064"/>
      <c r="J425" s="1064"/>
    </row>
    <row r="426" spans="1:10" ht="14.25">
      <c r="A426" s="2">
        <f>A425+1</f>
        <v>264</v>
      </c>
      <c r="C426" s="1067" t="s">
        <v>1220</v>
      </c>
      <c r="D426" s="1064"/>
      <c r="E426" s="1065"/>
      <c r="F426" s="1066" t="s">
        <v>1216</v>
      </c>
      <c r="G426" s="450" t="s">
        <v>1223</v>
      </c>
      <c r="H426" s="1064"/>
      <c r="I426" s="1064"/>
      <c r="J426" s="1064"/>
    </row>
    <row r="427" spans="1:10" ht="14.25">
      <c r="A427" s="235"/>
      <c r="C427" s="1067"/>
      <c r="D427" s="1064"/>
      <c r="E427" s="1065"/>
      <c r="F427" s="1066"/>
      <c r="G427" s="1064"/>
      <c r="H427" s="1064"/>
      <c r="I427" s="1064"/>
      <c r="J427" s="1064"/>
    </row>
    <row r="428" spans="1:10" ht="14.25">
      <c r="A428" s="235"/>
      <c r="C428" s="1054" t="s">
        <v>1232</v>
      </c>
      <c r="D428" s="1064"/>
      <c r="E428" s="450"/>
      <c r="F428" s="819"/>
      <c r="G428" s="1056" t="s">
        <v>1214</v>
      </c>
      <c r="H428" s="1064"/>
      <c r="I428" s="1064"/>
      <c r="J428" s="1064"/>
    </row>
    <row r="429" spans="1:10" ht="14.25">
      <c r="A429" s="2">
        <f>A426+1</f>
        <v>265</v>
      </c>
      <c r="C429" s="1057" t="s">
        <v>1215</v>
      </c>
      <c r="D429" s="1064"/>
      <c r="E429" s="1065"/>
      <c r="F429" s="1066" t="s">
        <v>1216</v>
      </c>
      <c r="G429" s="1070" t="s">
        <v>1233</v>
      </c>
      <c r="H429" s="1064"/>
      <c r="I429" s="1064"/>
      <c r="J429" s="1064"/>
    </row>
    <row r="430" spans="1:10" ht="14.25">
      <c r="A430" s="2">
        <f>A429+1</f>
        <v>266</v>
      </c>
      <c r="C430" s="1067" t="s">
        <v>1218</v>
      </c>
      <c r="D430" s="1064"/>
      <c r="E430" s="1068"/>
      <c r="F430" s="1069">
        <v>0</v>
      </c>
      <c r="G430" s="1071" t="s">
        <v>373</v>
      </c>
      <c r="H430" s="1064"/>
      <c r="I430" s="1064"/>
      <c r="J430" s="1064"/>
    </row>
    <row r="431" spans="1:10" ht="14.25">
      <c r="A431" s="2">
        <f>A430+1</f>
        <v>267</v>
      </c>
      <c r="C431" s="1067" t="s">
        <v>1220</v>
      </c>
      <c r="D431" s="1064"/>
      <c r="E431" s="1065"/>
      <c r="F431" s="1066" t="s">
        <v>1216</v>
      </c>
      <c r="G431" s="1070" t="s">
        <v>1233</v>
      </c>
      <c r="H431" s="1064"/>
      <c r="I431" s="1064"/>
      <c r="J431" s="1064"/>
    </row>
    <row r="432" spans="1:10" ht="14.25">
      <c r="A432" s="235"/>
      <c r="C432" s="1064"/>
      <c r="D432" s="1064"/>
      <c r="E432" s="1064"/>
      <c r="F432" s="1066"/>
      <c r="G432" s="1064"/>
      <c r="H432" s="1064"/>
      <c r="I432" s="1064"/>
      <c r="J432" s="1064"/>
    </row>
    <row r="433" spans="1:10" ht="14.25">
      <c r="A433" s="235"/>
      <c r="C433" s="1054" t="s">
        <v>1234</v>
      </c>
      <c r="D433" s="1064"/>
      <c r="E433" s="450"/>
      <c r="F433" s="819"/>
      <c r="G433" s="1056" t="s">
        <v>1214</v>
      </c>
      <c r="H433" s="1064"/>
      <c r="I433" s="1064"/>
      <c r="J433" s="1064"/>
    </row>
    <row r="434" spans="1:10" ht="14.25">
      <c r="A434" s="2">
        <f>A431+1</f>
        <v>268</v>
      </c>
      <c r="C434" s="1057" t="s">
        <v>1215</v>
      </c>
      <c r="D434" s="1064"/>
      <c r="E434" s="1065"/>
      <c r="F434" s="1066" t="s">
        <v>1216</v>
      </c>
      <c r="G434" s="1070" t="s">
        <v>1233</v>
      </c>
      <c r="H434" s="1064"/>
      <c r="I434" s="450"/>
      <c r="J434" s="450"/>
    </row>
    <row r="435" spans="1:10" ht="14.25">
      <c r="A435" s="2">
        <f>A434+1</f>
        <v>269</v>
      </c>
      <c r="C435" s="1067" t="s">
        <v>1218</v>
      </c>
      <c r="D435" s="1064"/>
      <c r="E435" s="1068"/>
      <c r="F435" s="1069">
        <v>0</v>
      </c>
      <c r="G435" s="1071" t="s">
        <v>373</v>
      </c>
      <c r="H435" s="1064"/>
      <c r="I435" s="450"/>
      <c r="J435" s="450"/>
    </row>
    <row r="436" spans="1:10" ht="14.25">
      <c r="A436" s="2">
        <f>A435+1</f>
        <v>270</v>
      </c>
      <c r="C436" s="1067" t="s">
        <v>1220</v>
      </c>
      <c r="D436" s="1064"/>
      <c r="E436" s="1065"/>
      <c r="F436" s="1066" t="s">
        <v>1216</v>
      </c>
      <c r="G436" s="1070" t="s">
        <v>1233</v>
      </c>
      <c r="H436" s="1064"/>
      <c r="I436" s="450"/>
      <c r="J436" s="450"/>
    </row>
    <row r="437" spans="1:10" ht="14.25">
      <c r="A437" s="235"/>
      <c r="C437" s="1067"/>
      <c r="D437" s="1064"/>
      <c r="E437" s="1068"/>
      <c r="F437" s="1069"/>
      <c r="G437" s="450"/>
      <c r="H437" s="1064"/>
      <c r="I437" s="450"/>
      <c r="J437" s="450"/>
    </row>
    <row r="438" spans="1:10" ht="14.25">
      <c r="A438" s="235"/>
      <c r="C438" s="1054" t="s">
        <v>1235</v>
      </c>
      <c r="D438" s="1064"/>
      <c r="E438" s="450"/>
      <c r="F438" s="819"/>
      <c r="G438" s="1056" t="s">
        <v>1214</v>
      </c>
      <c r="H438" s="1064"/>
      <c r="I438" s="450"/>
      <c r="J438" s="450"/>
    </row>
    <row r="439" spans="1:10" ht="14.25">
      <c r="A439" s="2">
        <f>A436+1</f>
        <v>271</v>
      </c>
      <c r="C439" s="1057" t="s">
        <v>1215</v>
      </c>
      <c r="D439" s="1064"/>
      <c r="E439" s="1065"/>
      <c r="F439" s="1066" t="s">
        <v>1216</v>
      </c>
      <c r="G439" s="450" t="s">
        <v>1236</v>
      </c>
      <c r="H439" s="1064"/>
      <c r="I439" s="450"/>
      <c r="J439" s="450"/>
    </row>
    <row r="440" spans="1:10" ht="14.25">
      <c r="A440" s="2">
        <f>A439+1</f>
        <v>272</v>
      </c>
      <c r="C440" s="1067" t="s">
        <v>1218</v>
      </c>
      <c r="D440" s="1064"/>
      <c r="E440" s="1068"/>
      <c r="F440" s="1069">
        <v>0</v>
      </c>
      <c r="G440" s="450" t="s">
        <v>1237</v>
      </c>
      <c r="H440" s="1064"/>
      <c r="I440" s="450"/>
      <c r="J440" s="450"/>
    </row>
    <row r="441" spans="1:10" ht="14.25">
      <c r="A441" s="2">
        <f>A440+1</f>
        <v>273</v>
      </c>
      <c r="C441" s="1067" t="s">
        <v>1220</v>
      </c>
      <c r="D441" s="1064"/>
      <c r="E441" s="1065"/>
      <c r="F441" s="1066" t="s">
        <v>1216</v>
      </c>
      <c r="G441" s="450" t="s">
        <v>1238</v>
      </c>
      <c r="H441" s="1064"/>
      <c r="I441" s="450"/>
      <c r="J441" s="450"/>
    </row>
    <row r="442" spans="1:10" ht="14.25">
      <c r="A442" s="235"/>
      <c r="C442" s="1064"/>
      <c r="D442" s="1064"/>
      <c r="E442" s="1064"/>
      <c r="F442" s="1066"/>
      <c r="G442" s="1064"/>
      <c r="H442" s="1064"/>
      <c r="I442" s="1064"/>
      <c r="J442" s="1064"/>
    </row>
    <row r="443" spans="1:10" ht="14.25">
      <c r="A443" s="235"/>
      <c r="C443" s="1054" t="s">
        <v>1239</v>
      </c>
      <c r="D443" s="1064"/>
      <c r="E443" s="450"/>
      <c r="F443" s="819"/>
      <c r="G443" s="1056" t="s">
        <v>1214</v>
      </c>
      <c r="H443" s="1064"/>
      <c r="I443" s="1064"/>
      <c r="J443" s="1064"/>
    </row>
    <row r="444" spans="1:10" ht="14.25">
      <c r="A444" s="2">
        <f>A441+1</f>
        <v>274</v>
      </c>
      <c r="C444" s="1057" t="s">
        <v>1215</v>
      </c>
      <c r="D444" s="1064"/>
      <c r="E444" s="1065"/>
      <c r="F444" s="1066" t="s">
        <v>1216</v>
      </c>
      <c r="G444" s="1070" t="s">
        <v>1233</v>
      </c>
      <c r="H444" s="1064"/>
      <c r="I444" s="1064"/>
      <c r="J444" s="1064"/>
    </row>
    <row r="445" spans="1:10" ht="14.25">
      <c r="A445" s="2">
        <f>A444+1</f>
        <v>275</v>
      </c>
      <c r="C445" s="1067" t="s">
        <v>1218</v>
      </c>
      <c r="D445" s="1064"/>
      <c r="E445" s="1068"/>
      <c r="F445" s="1069">
        <v>0</v>
      </c>
      <c r="G445" s="1071" t="s">
        <v>373</v>
      </c>
      <c r="H445" s="1064"/>
      <c r="I445" s="1064"/>
      <c r="J445" s="1064"/>
    </row>
    <row r="446" spans="1:10" ht="14.25">
      <c r="A446" s="2">
        <f>A445+1</f>
        <v>276</v>
      </c>
      <c r="C446" s="1067" t="s">
        <v>1220</v>
      </c>
      <c r="D446" s="1064"/>
      <c r="E446" s="1065"/>
      <c r="F446" s="1066" t="s">
        <v>1216</v>
      </c>
      <c r="G446" s="1070" t="s">
        <v>1233</v>
      </c>
      <c r="H446" s="1064"/>
      <c r="I446" s="1064"/>
      <c r="J446" s="1064"/>
    </row>
    <row r="447" spans="1:10" ht="14.25">
      <c r="A447" s="235"/>
      <c r="C447" s="1064"/>
      <c r="D447" s="1064"/>
      <c r="E447" s="1064"/>
      <c r="F447" s="1066"/>
      <c r="G447" s="1064"/>
      <c r="H447" s="1064"/>
      <c r="I447" s="1064"/>
      <c r="J447" s="1064"/>
    </row>
    <row r="448" spans="1:10" ht="14.25">
      <c r="A448" s="235"/>
      <c r="C448" s="1054" t="s">
        <v>1240</v>
      </c>
      <c r="D448" s="1064"/>
      <c r="E448" s="450"/>
      <c r="F448" s="819"/>
      <c r="G448" s="1056" t="s">
        <v>1214</v>
      </c>
      <c r="H448" s="1064"/>
      <c r="I448" s="1064"/>
      <c r="J448" s="1064"/>
    </row>
    <row r="449" spans="1:10" ht="14.25">
      <c r="A449" s="2">
        <f>A446+1</f>
        <v>277</v>
      </c>
      <c r="C449" s="1057" t="s">
        <v>1215</v>
      </c>
      <c r="D449" s="1064"/>
      <c r="E449" s="1065"/>
      <c r="F449" s="1066" t="s">
        <v>1216</v>
      </c>
      <c r="G449" s="1070" t="s">
        <v>1233</v>
      </c>
      <c r="H449" s="1064"/>
      <c r="I449" s="1064"/>
      <c r="J449" s="1064"/>
    </row>
    <row r="450" spans="1:10" ht="14.25">
      <c r="A450" s="2">
        <f>A449+1</f>
        <v>278</v>
      </c>
      <c r="C450" s="1067" t="s">
        <v>1218</v>
      </c>
      <c r="D450" s="1064"/>
      <c r="E450" s="1068"/>
      <c r="F450" s="1069">
        <v>0</v>
      </c>
      <c r="G450" s="1071" t="s">
        <v>373</v>
      </c>
      <c r="H450" s="1064"/>
      <c r="I450" s="1064"/>
      <c r="J450" s="1064"/>
    </row>
    <row r="451" spans="1:10" ht="14.25">
      <c r="A451" s="2">
        <f>A450+1</f>
        <v>279</v>
      </c>
      <c r="C451" s="1067" t="s">
        <v>1220</v>
      </c>
      <c r="D451" s="1064"/>
      <c r="E451" s="1065"/>
      <c r="F451" s="1066" t="s">
        <v>1216</v>
      </c>
      <c r="G451" s="1070" t="s">
        <v>1233</v>
      </c>
      <c r="H451" s="1064"/>
      <c r="I451" s="1064"/>
      <c r="J451" s="1064"/>
    </row>
    <row r="452" spans="1:10" ht="14.25">
      <c r="A452" s="235"/>
      <c r="C452" s="1064"/>
      <c r="D452" s="1064"/>
      <c r="E452" s="1064"/>
      <c r="F452" s="1066"/>
      <c r="G452" s="1064"/>
      <c r="H452" s="1064"/>
      <c r="I452" s="1064"/>
      <c r="J452" s="1064"/>
    </row>
    <row r="453" spans="1:10" ht="14.25">
      <c r="A453" s="235"/>
      <c r="C453" s="1072" t="s">
        <v>2966</v>
      </c>
      <c r="D453" s="1064"/>
      <c r="E453" s="1064"/>
      <c r="F453" s="1064"/>
      <c r="G453" s="1056" t="s">
        <v>1214</v>
      </c>
      <c r="H453" s="1064"/>
      <c r="I453" s="1064"/>
      <c r="J453" s="1064"/>
    </row>
    <row r="454" spans="1:10" ht="14.25">
      <c r="A454" s="2">
        <f>A451+1</f>
        <v>280</v>
      </c>
      <c r="C454" s="1057" t="s">
        <v>1215</v>
      </c>
      <c r="D454" s="1064"/>
      <c r="E454" s="1064"/>
      <c r="F454" s="450" t="s">
        <v>1216</v>
      </c>
      <c r="G454" s="450" t="s">
        <v>1241</v>
      </c>
      <c r="H454" s="1064"/>
      <c r="I454" s="1064"/>
      <c r="J454" s="1064"/>
    </row>
    <row r="455" spans="1:10" ht="14.25">
      <c r="A455" s="2">
        <f>A454+1</f>
        <v>281</v>
      </c>
      <c r="C455" s="1067" t="s">
        <v>1218</v>
      </c>
      <c r="D455" s="1064"/>
      <c r="E455" s="1064"/>
      <c r="F455" s="1069">
        <v>0</v>
      </c>
      <c r="G455" s="1071" t="s">
        <v>373</v>
      </c>
      <c r="H455" s="1064"/>
      <c r="I455" s="1064"/>
      <c r="J455" s="1064"/>
    </row>
    <row r="456" spans="1:10" ht="14.25">
      <c r="A456" s="2">
        <f>A455+1</f>
        <v>282</v>
      </c>
      <c r="C456" s="1067" t="s">
        <v>1220</v>
      </c>
      <c r="D456" s="1064"/>
      <c r="E456" s="1064"/>
      <c r="F456" s="450" t="s">
        <v>931</v>
      </c>
      <c r="G456" s="1071" t="s">
        <v>373</v>
      </c>
      <c r="H456" s="1064"/>
      <c r="I456" s="1064"/>
      <c r="J456" s="1064"/>
    </row>
    <row r="457" spans="1:10" ht="14.25">
      <c r="A457" s="235"/>
      <c r="C457" s="1064"/>
      <c r="D457" s="1064"/>
      <c r="E457" s="1064"/>
      <c r="F457" s="1064"/>
      <c r="G457" s="1064"/>
      <c r="H457" s="1064"/>
      <c r="I457" s="1064"/>
      <c r="J457" s="1064"/>
    </row>
    <row r="458" spans="1:10" ht="14.25">
      <c r="A458" s="235"/>
      <c r="C458" s="1072" t="s">
        <v>2967</v>
      </c>
      <c r="D458" s="1064"/>
      <c r="E458" s="1064"/>
      <c r="F458" s="1064"/>
      <c r="G458" s="1056" t="s">
        <v>1214</v>
      </c>
      <c r="H458" s="1064"/>
      <c r="I458" s="1064"/>
      <c r="J458" s="1064"/>
    </row>
    <row r="459" spans="1:10" ht="14.25">
      <c r="A459" s="2">
        <f>A456+1</f>
        <v>283</v>
      </c>
      <c r="C459" s="1057" t="s">
        <v>1215</v>
      </c>
      <c r="D459" s="1064"/>
      <c r="E459" s="1064"/>
      <c r="F459" s="450" t="s">
        <v>1216</v>
      </c>
      <c r="G459" s="450" t="s">
        <v>1241</v>
      </c>
      <c r="H459" s="1064"/>
      <c r="I459" s="1064"/>
      <c r="J459" s="1064"/>
    </row>
    <row r="460" spans="1:10" ht="14.25">
      <c r="A460" s="2">
        <f>A459+1</f>
        <v>284</v>
      </c>
      <c r="C460" s="1067" t="s">
        <v>1218</v>
      </c>
      <c r="D460" s="1064"/>
      <c r="E460" s="1064"/>
      <c r="F460" s="1069">
        <v>0</v>
      </c>
      <c r="G460" s="1071" t="s">
        <v>373</v>
      </c>
      <c r="H460" s="1064"/>
      <c r="I460" s="1064"/>
      <c r="J460" s="1064"/>
    </row>
    <row r="461" spans="1:10" ht="14.25">
      <c r="A461" s="2">
        <f>A460+1</f>
        <v>285</v>
      </c>
      <c r="C461" s="1067" t="s">
        <v>1220</v>
      </c>
      <c r="D461" s="1064"/>
      <c r="E461" s="1064"/>
      <c r="F461" s="450" t="s">
        <v>1216</v>
      </c>
      <c r="G461" s="450" t="s">
        <v>1242</v>
      </c>
      <c r="H461" s="1064"/>
      <c r="I461" s="1064"/>
      <c r="J461" s="1064"/>
    </row>
    <row r="462" spans="1:10" ht="14.25">
      <c r="A462" s="235"/>
      <c r="C462" s="1064"/>
      <c r="D462" s="1064"/>
      <c r="E462" s="1064"/>
      <c r="F462" s="1064"/>
      <c r="G462" s="1064"/>
      <c r="H462" s="1064"/>
      <c r="I462" s="1064"/>
      <c r="J462" s="1064"/>
    </row>
    <row r="463" spans="1:10" ht="14.25">
      <c r="A463" s="235"/>
      <c r="C463" s="1072" t="s">
        <v>2968</v>
      </c>
      <c r="D463" s="1064"/>
      <c r="E463" s="1064"/>
      <c r="F463" s="1064"/>
      <c r="G463" s="1056" t="s">
        <v>1214</v>
      </c>
      <c r="H463" s="1064"/>
      <c r="I463" s="1064"/>
      <c r="J463" s="1064"/>
    </row>
    <row r="464" spans="1:10" ht="14.25">
      <c r="A464" s="2">
        <f>A461+1</f>
        <v>286</v>
      </c>
      <c r="C464" s="1057" t="s">
        <v>1215</v>
      </c>
      <c r="D464" s="1064"/>
      <c r="E464" s="1064"/>
      <c r="F464" s="450" t="s">
        <v>1216</v>
      </c>
      <c r="G464" s="450" t="s">
        <v>1241</v>
      </c>
      <c r="H464" s="1064"/>
      <c r="I464" s="1064"/>
      <c r="J464" s="1064"/>
    </row>
    <row r="465" spans="1:10" ht="14.25">
      <c r="A465" s="2">
        <f>A464+1</f>
        <v>287</v>
      </c>
      <c r="C465" s="1067" t="s">
        <v>1218</v>
      </c>
      <c r="D465" s="1064"/>
      <c r="E465" s="1064"/>
      <c r="F465" s="1069">
        <v>0</v>
      </c>
      <c r="G465" s="1071" t="s">
        <v>373</v>
      </c>
      <c r="H465" s="1064"/>
      <c r="I465" s="1064"/>
      <c r="J465" s="1064"/>
    </row>
    <row r="466" spans="1:10" ht="14.25">
      <c r="A466" s="2">
        <f>A465+1</f>
        <v>288</v>
      </c>
      <c r="C466" s="1067" t="s">
        <v>1220</v>
      </c>
      <c r="D466" s="1064"/>
      <c r="E466" s="1064"/>
      <c r="F466" s="450" t="s">
        <v>1216</v>
      </c>
      <c r="G466" s="450" t="s">
        <v>1242</v>
      </c>
      <c r="H466" s="1064"/>
      <c r="I466" s="1064"/>
      <c r="J466" s="1064"/>
    </row>
    <row r="467" spans="1:10">
      <c r="A467" s="2"/>
      <c r="C467" s="1073"/>
      <c r="D467" s="1073"/>
      <c r="E467" s="1073"/>
      <c r="F467" s="1073"/>
      <c r="G467" s="1073"/>
      <c r="H467" s="1073"/>
      <c r="I467" s="1073"/>
      <c r="J467" s="1073"/>
    </row>
    <row r="468" spans="1:10" ht="14.25">
      <c r="A468" s="2"/>
      <c r="C468" s="1072" t="s">
        <v>2969</v>
      </c>
      <c r="D468" s="1064"/>
      <c r="E468" s="1064"/>
      <c r="F468" s="1064"/>
      <c r="G468" s="1056" t="s">
        <v>1214</v>
      </c>
      <c r="H468" s="1064"/>
      <c r="I468" s="1064"/>
      <c r="J468" s="1064"/>
    </row>
    <row r="469" spans="1:10" ht="14.25">
      <c r="A469" s="2">
        <f>A466+1</f>
        <v>289</v>
      </c>
      <c r="C469" s="1057" t="s">
        <v>1215</v>
      </c>
      <c r="D469" s="1064"/>
      <c r="E469" s="1064"/>
      <c r="F469" s="450" t="s">
        <v>1216</v>
      </c>
      <c r="G469" s="450" t="s">
        <v>1243</v>
      </c>
      <c r="H469" s="1064"/>
      <c r="I469" s="1064"/>
      <c r="J469" s="1064"/>
    </row>
    <row r="470" spans="1:10" ht="14.25">
      <c r="A470" s="2">
        <f t="shared" ref="A470:A471" si="55">A469+1</f>
        <v>290</v>
      </c>
      <c r="C470" s="1067" t="s">
        <v>1218</v>
      </c>
      <c r="D470" s="1064"/>
      <c r="E470" s="1064"/>
      <c r="F470" s="1069">
        <v>0</v>
      </c>
      <c r="G470" s="1071"/>
      <c r="H470" s="1064"/>
      <c r="I470" s="1064"/>
      <c r="J470" s="1064"/>
    </row>
    <row r="471" spans="1:10" ht="14.25">
      <c r="A471" s="2">
        <f t="shared" si="55"/>
        <v>291</v>
      </c>
      <c r="C471" s="1067" t="s">
        <v>1220</v>
      </c>
      <c r="D471" s="1064"/>
      <c r="E471" s="1064"/>
      <c r="F471" s="450" t="s">
        <v>1216</v>
      </c>
      <c r="G471" s="450" t="s">
        <v>1244</v>
      </c>
      <c r="H471" s="1064"/>
      <c r="I471" s="1064"/>
      <c r="J471" s="1064"/>
    </row>
    <row r="472" spans="1:10">
      <c r="A472" s="2"/>
      <c r="C472" s="1073"/>
      <c r="D472" s="1073"/>
      <c r="E472" s="1073"/>
      <c r="F472" s="1073"/>
      <c r="G472" s="1073"/>
      <c r="H472" s="1073"/>
      <c r="I472" s="1073"/>
      <c r="J472" s="1073"/>
    </row>
    <row r="473" spans="1:10">
      <c r="A473" s="2"/>
      <c r="B473" s="593"/>
      <c r="C473" s="1096" t="s">
        <v>2970</v>
      </c>
      <c r="D473" s="394"/>
      <c r="E473" s="394"/>
      <c r="F473" s="394"/>
      <c r="G473" s="106" t="s">
        <v>1214</v>
      </c>
      <c r="H473" s="394"/>
      <c r="I473" s="394"/>
      <c r="J473" s="394"/>
    </row>
    <row r="474" spans="1:10">
      <c r="A474" s="2">
        <f>A471+1</f>
        <v>292</v>
      </c>
      <c r="B474" s="593"/>
      <c r="C474" s="266" t="s">
        <v>1215</v>
      </c>
      <c r="D474" s="242"/>
      <c r="E474" s="242"/>
      <c r="F474" s="450" t="s">
        <v>1216</v>
      </c>
      <c r="G474" s="242" t="s">
        <v>2949</v>
      </c>
      <c r="H474" s="242"/>
      <c r="I474" s="394"/>
      <c r="J474" s="394"/>
    </row>
    <row r="475" spans="1:10" ht="14.25">
      <c r="A475" s="2">
        <f t="shared" ref="A475:A476" si="56">A474+1</f>
        <v>293</v>
      </c>
      <c r="B475" s="593"/>
      <c r="C475" s="266" t="s">
        <v>1218</v>
      </c>
      <c r="D475" s="242"/>
      <c r="E475" s="242"/>
      <c r="F475" s="1097">
        <v>0</v>
      </c>
      <c r="G475" s="242"/>
      <c r="H475" s="242"/>
      <c r="I475" s="394"/>
      <c r="J475" s="394"/>
    </row>
    <row r="476" spans="1:10">
      <c r="A476" s="2">
        <f t="shared" si="56"/>
        <v>294</v>
      </c>
      <c r="B476" s="593"/>
      <c r="C476" s="266" t="s">
        <v>1220</v>
      </c>
      <c r="D476" s="242"/>
      <c r="E476" s="242"/>
      <c r="F476" s="450" t="s">
        <v>1216</v>
      </c>
      <c r="G476" s="242" t="s">
        <v>2950</v>
      </c>
      <c r="H476" s="242"/>
      <c r="I476" s="394"/>
      <c r="J476" s="394"/>
    </row>
    <row r="477" spans="1:10">
      <c r="A477" s="2"/>
      <c r="B477" s="593"/>
      <c r="C477" s="1076"/>
      <c r="D477" s="394"/>
      <c r="E477" s="394"/>
      <c r="F477" s="394"/>
      <c r="G477" s="394"/>
      <c r="H477" s="394"/>
      <c r="I477" s="394"/>
      <c r="J477" s="394"/>
    </row>
    <row r="478" spans="1:10">
      <c r="A478" s="2"/>
      <c r="B478" s="593"/>
      <c r="C478" s="1096" t="s">
        <v>2948</v>
      </c>
      <c r="D478" s="242"/>
      <c r="E478" s="242"/>
      <c r="F478" s="242"/>
      <c r="G478" s="106" t="s">
        <v>1214</v>
      </c>
      <c r="H478" s="242"/>
      <c r="I478" s="394"/>
      <c r="J478" s="394"/>
    </row>
    <row r="479" spans="1:10">
      <c r="A479" s="2">
        <f>A476+1</f>
        <v>295</v>
      </c>
      <c r="B479" s="593"/>
      <c r="C479" s="266" t="s">
        <v>1215</v>
      </c>
      <c r="D479" s="242"/>
      <c r="E479" s="242"/>
      <c r="F479" s="450" t="s">
        <v>1216</v>
      </c>
      <c r="G479" s="242" t="s">
        <v>2949</v>
      </c>
      <c r="H479" s="242"/>
      <c r="I479" s="394"/>
      <c r="J479" s="394"/>
    </row>
    <row r="480" spans="1:10" ht="14.25">
      <c r="A480" s="2">
        <f t="shared" ref="A480:A481" si="57">A479+1</f>
        <v>296</v>
      </c>
      <c r="B480" s="593"/>
      <c r="C480" s="266" t="s">
        <v>1218</v>
      </c>
      <c r="D480" s="242"/>
      <c r="E480" s="242"/>
      <c r="F480" s="1097">
        <v>0</v>
      </c>
      <c r="G480" s="242"/>
      <c r="H480" s="242"/>
      <c r="I480" s="394"/>
      <c r="J480" s="394"/>
    </row>
    <row r="481" spans="1:10">
      <c r="A481" s="2">
        <f t="shared" si="57"/>
        <v>297</v>
      </c>
      <c r="B481" s="593"/>
      <c r="C481" s="266" t="s">
        <v>1220</v>
      </c>
      <c r="D481" s="242"/>
      <c r="E481" s="242"/>
      <c r="F481" s="450" t="s">
        <v>1216</v>
      </c>
      <c r="G481" s="242" t="s">
        <v>2950</v>
      </c>
      <c r="H481" s="242"/>
      <c r="I481" s="394"/>
      <c r="J481" s="394"/>
    </row>
    <row r="482" spans="1:10">
      <c r="A482" s="2"/>
      <c r="B482" s="593"/>
      <c r="C482" s="1073"/>
      <c r="D482" s="1073"/>
      <c r="E482" s="1073"/>
      <c r="F482" s="1073"/>
      <c r="G482" s="1073"/>
      <c r="H482" s="1073"/>
      <c r="I482" s="1077"/>
      <c r="J482" s="1077"/>
    </row>
    <row r="483" spans="1:10">
      <c r="A483" s="2"/>
      <c r="B483" s="593"/>
      <c r="C483" s="1096" t="s">
        <v>2947</v>
      </c>
      <c r="D483" s="242"/>
      <c r="E483" s="242"/>
      <c r="F483" s="242"/>
      <c r="G483" s="106" t="s">
        <v>1214</v>
      </c>
      <c r="H483" s="242"/>
      <c r="I483" s="394"/>
      <c r="J483" s="394"/>
    </row>
    <row r="484" spans="1:10">
      <c r="A484" s="2">
        <f>A481+1</f>
        <v>298</v>
      </c>
      <c r="B484" s="593"/>
      <c r="C484" s="266" t="s">
        <v>1215</v>
      </c>
      <c r="D484" s="242"/>
      <c r="E484" s="242"/>
      <c r="F484" s="242"/>
      <c r="G484" s="242"/>
      <c r="H484" s="242"/>
      <c r="I484" s="394"/>
      <c r="J484" s="394"/>
    </row>
    <row r="485" spans="1:10">
      <c r="A485" s="2">
        <f t="shared" ref="A485:A486" si="58">A484+1</f>
        <v>299</v>
      </c>
      <c r="B485" s="593"/>
      <c r="C485" s="266" t="s">
        <v>1218</v>
      </c>
      <c r="D485" s="242"/>
      <c r="E485" s="242"/>
      <c r="F485" s="242"/>
      <c r="G485" s="242"/>
      <c r="H485" s="242"/>
      <c r="I485" s="394"/>
      <c r="J485" s="394"/>
    </row>
    <row r="486" spans="1:10">
      <c r="A486" s="2">
        <f t="shared" si="58"/>
        <v>300</v>
      </c>
      <c r="B486" s="593"/>
      <c r="C486" s="266" t="s">
        <v>1220</v>
      </c>
      <c r="D486" s="242"/>
      <c r="E486" s="242"/>
      <c r="F486" s="242"/>
      <c r="G486" s="242"/>
      <c r="H486" s="242"/>
      <c r="I486" s="394"/>
      <c r="J486" s="394"/>
    </row>
    <row r="487" spans="1:10">
      <c r="A487" s="54"/>
      <c r="B487" s="54"/>
      <c r="C487" s="54"/>
      <c r="D487" s="54"/>
      <c r="E487" s="54"/>
      <c r="F487" s="54"/>
      <c r="G487" s="54"/>
      <c r="H487" s="54"/>
      <c r="I487" s="54"/>
      <c r="J487" s="54"/>
    </row>
    <row r="488" spans="1:10">
      <c r="A488" s="54"/>
      <c r="B488" s="54"/>
      <c r="C488" s="54"/>
      <c r="D488" s="54"/>
      <c r="E488" s="54"/>
      <c r="F488" s="54"/>
      <c r="G488" s="54"/>
      <c r="H488" s="54"/>
      <c r="I488" s="54"/>
      <c r="J488" s="54"/>
    </row>
    <row r="489" spans="1:10">
      <c r="A489" s="54"/>
      <c r="B489" s="54"/>
      <c r="C489" s="1086" t="s">
        <v>815</v>
      </c>
      <c r="D489" s="54"/>
      <c r="E489" s="54"/>
      <c r="F489" s="54"/>
      <c r="G489" s="54"/>
      <c r="H489" s="54"/>
      <c r="I489" s="54"/>
      <c r="J489" s="54"/>
    </row>
    <row r="490" spans="1:10">
      <c r="B490" s="47" t="s">
        <v>426</v>
      </c>
    </row>
    <row r="491" spans="1:10">
      <c r="C491" s="235" t="s">
        <v>1245</v>
      </c>
    </row>
    <row r="492" spans="1:10">
      <c r="C492" t="s">
        <v>1246</v>
      </c>
    </row>
  </sheetData>
  <phoneticPr fontId="23" type="noConversion"/>
  <pageMargins left="0.75" right="0.75" top="1" bottom="0.75" header="0.5" footer="0.5"/>
  <pageSetup scale="58" orientation="portrait" cellComments="asDisplayed" r:id="rId1"/>
  <headerFooter alignWithMargins="0">
    <oddHeader>&amp;CSchedule 14
Incentive Plant
&amp;RTO2025 Annual Update 
Attachment 1</oddHeader>
    <oddFooter>&amp;R&amp;A</oddFooter>
  </headerFooter>
  <rowBreaks count="6" manualBreakCount="6">
    <brk id="89" max="9" man="1"/>
    <brk id="173" max="9" man="1"/>
    <brk id="249" max="9" man="1"/>
    <brk id="325" max="9" man="1"/>
    <brk id="402" max="9" man="1"/>
    <brk id="471"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75"/>
  <cols>
    <col min="1" max="2" width="4.5703125" customWidth="1"/>
    <col min="3" max="4" width="10.5703125" customWidth="1"/>
    <col min="5" max="9" width="15.5703125" customWidth="1"/>
  </cols>
  <sheetData>
    <row r="1" spans="1:9">
      <c r="A1" s="1" t="s">
        <v>1247</v>
      </c>
      <c r="B1" s="1"/>
    </row>
    <row r="2" spans="1:9">
      <c r="A2" s="1"/>
      <c r="B2" s="1"/>
      <c r="G2" s="266" t="s">
        <v>1061</v>
      </c>
      <c r="H2" s="266"/>
    </row>
    <row r="3" spans="1:9">
      <c r="A3" s="1"/>
      <c r="B3" s="235" t="s">
        <v>1248</v>
      </c>
    </row>
    <row r="4" spans="1:9">
      <c r="A4" s="1"/>
      <c r="B4" s="234" t="s">
        <v>1249</v>
      </c>
    </row>
    <row r="5" spans="1:9">
      <c r="A5" s="1"/>
      <c r="B5" s="234" t="s">
        <v>1250</v>
      </c>
    </row>
    <row r="7" spans="1:9" ht="13.5" customHeight="1">
      <c r="B7" s="1" t="s">
        <v>1251</v>
      </c>
    </row>
    <row r="8" spans="1:9">
      <c r="A8" s="1"/>
      <c r="B8" s="1"/>
    </row>
    <row r="9" spans="1:9">
      <c r="A9" s="1"/>
      <c r="B9" s="1"/>
      <c r="C9" s="235" t="s">
        <v>1252</v>
      </c>
    </row>
    <row r="10" spans="1:9">
      <c r="A10" s="1"/>
      <c r="B10" s="1"/>
      <c r="C10" s="235" t="s">
        <v>1253</v>
      </c>
    </row>
    <row r="11" spans="1:9">
      <c r="A11" s="1"/>
      <c r="B11" s="1"/>
      <c r="C11" s="235"/>
    </row>
    <row r="12" spans="1:9">
      <c r="A12" s="1"/>
      <c r="B12" s="1"/>
      <c r="C12" s="235" t="s">
        <v>1254</v>
      </c>
    </row>
    <row r="13" spans="1:9">
      <c r="A13" s="1"/>
      <c r="B13" s="1"/>
    </row>
    <row r="14" spans="1:9">
      <c r="A14" s="30" t="s">
        <v>266</v>
      </c>
      <c r="B14" s="1"/>
      <c r="C14" s="235" t="s">
        <v>271</v>
      </c>
      <c r="G14" s="62" t="s">
        <v>102</v>
      </c>
      <c r="I14" s="3" t="s">
        <v>644</v>
      </c>
    </row>
    <row r="15" spans="1:9">
      <c r="A15" s="2">
        <v>1</v>
      </c>
      <c r="B15" s="1"/>
      <c r="C15" s="234" t="s">
        <v>1255</v>
      </c>
      <c r="G15" s="7">
        <f>'1-BaseTRR'!K82</f>
        <v>0.47499999999999998</v>
      </c>
      <c r="I15" s="235" t="str">
        <f>"1-BaseTRR, L "&amp;'1-BaseTRR'!A82&amp;""</f>
        <v>1-BaseTRR, L 47</v>
      </c>
    </row>
    <row r="16" spans="1:9">
      <c r="A16" s="2">
        <v>2</v>
      </c>
      <c r="B16" s="1"/>
      <c r="C16" s="234" t="s">
        <v>190</v>
      </c>
      <c r="G16" s="7">
        <f>'1-BaseTRR'!K104</f>
        <v>0.27983599999999997</v>
      </c>
      <c r="I16" s="235" t="str">
        <f>"1-BaseTRR, L "&amp;'1-BaseTRR'!A104&amp;""</f>
        <v>1-BaseTRR, L 59</v>
      </c>
    </row>
    <row r="17" spans="1:9">
      <c r="A17" s="2">
        <v>3</v>
      </c>
      <c r="B17" s="1"/>
      <c r="F17" s="233" t="s">
        <v>1256</v>
      </c>
      <c r="G17" s="6">
        <f>G15*(1/(1-G16))* 10000</f>
        <v>6595.7198638087975</v>
      </c>
      <c r="I17" s="235" t="s">
        <v>1257</v>
      </c>
    </row>
    <row r="19" spans="1:9">
      <c r="B19" s="1" t="s">
        <v>1258</v>
      </c>
    </row>
    <row r="20" spans="1:9">
      <c r="A20" s="1"/>
      <c r="B20" s="1"/>
      <c r="C20" s="235" t="s">
        <v>1259</v>
      </c>
    </row>
    <row r="21" spans="1:9">
      <c r="A21" s="1"/>
      <c r="B21" s="1"/>
      <c r="C21" s="235" t="s">
        <v>1260</v>
      </c>
    </row>
    <row r="22" spans="1:9">
      <c r="A22" s="1"/>
      <c r="B22" s="1"/>
    </row>
    <row r="23" spans="1:9">
      <c r="A23" s="1"/>
      <c r="B23" s="1"/>
      <c r="F23" s="2" t="s">
        <v>1261</v>
      </c>
    </row>
    <row r="24" spans="1:9">
      <c r="A24" s="30" t="s">
        <v>266</v>
      </c>
      <c r="B24" s="30"/>
      <c r="E24" s="3" t="s">
        <v>1262</v>
      </c>
      <c r="F24" s="3" t="s">
        <v>1263</v>
      </c>
      <c r="G24" s="3" t="s">
        <v>644</v>
      </c>
    </row>
    <row r="25" spans="1:9">
      <c r="A25" s="2">
        <f>A17+1</f>
        <v>4</v>
      </c>
      <c r="B25" s="2"/>
      <c r="C25" t="s">
        <v>1167</v>
      </c>
      <c r="E25" s="26">
        <f>'14-IncentivePlant'!F407</f>
        <v>7.4999999999999997E-3</v>
      </c>
      <c r="F25" s="55">
        <f>E25/0.01</f>
        <v>0.75</v>
      </c>
      <c r="G25" s="234" t="str">
        <f>"14-IncentivePlant, L "&amp;'14-IncentivePlant'!A407&amp;""</f>
        <v>14-IncentivePlant, L 251</v>
      </c>
    </row>
    <row r="26" spans="1:9">
      <c r="A26" s="2">
        <f>A25+1</f>
        <v>5</v>
      </c>
      <c r="B26" s="2"/>
      <c r="C26" t="s">
        <v>1168</v>
      </c>
      <c r="E26" s="26">
        <f>'14-IncentivePlant'!F412</f>
        <v>1.2500000000000001E-2</v>
      </c>
      <c r="F26" s="55">
        <f>E26/0.01</f>
        <v>1.25</v>
      </c>
      <c r="G26" s="234" t="str">
        <f>"14-IncentivePlant, L "&amp;'14-IncentivePlant'!A412&amp;""</f>
        <v>14-IncentivePlant, L 254</v>
      </c>
    </row>
    <row r="27" spans="1:9">
      <c r="A27" s="2">
        <f>A26+1</f>
        <v>6</v>
      </c>
      <c r="B27" s="2"/>
      <c r="C27" s="235" t="s">
        <v>1264</v>
      </c>
      <c r="E27" s="26">
        <f>'14-IncentivePlant'!F417</f>
        <v>0.01</v>
      </c>
      <c r="F27" s="55">
        <f>E27/0.01</f>
        <v>1</v>
      </c>
      <c r="G27" s="234" t="str">
        <f>"14-IncentivePlant, L "&amp;'14-IncentivePlant'!A417&amp;""</f>
        <v>14-IncentivePlant, L 257</v>
      </c>
    </row>
    <row r="28" spans="1:9">
      <c r="A28" s="2">
        <f>A27+1</f>
        <v>7</v>
      </c>
      <c r="B28" s="2"/>
      <c r="C28" s="242"/>
      <c r="D28" s="54"/>
      <c r="E28" s="26"/>
      <c r="F28" s="55"/>
    </row>
    <row r="29" spans="1:9">
      <c r="A29" s="2">
        <f>A28+1</f>
        <v>8</v>
      </c>
      <c r="B29" s="2"/>
      <c r="C29" s="250" t="s">
        <v>815</v>
      </c>
      <c r="E29" s="26"/>
      <c r="F29" s="55"/>
    </row>
    <row r="31" spans="1:9">
      <c r="B31" s="1" t="s">
        <v>1265</v>
      </c>
    </row>
    <row r="32" spans="1:9">
      <c r="A32" s="1"/>
      <c r="B32" s="1"/>
      <c r="C32" s="235" t="s">
        <v>1266</v>
      </c>
    </row>
    <row r="33" spans="1:9">
      <c r="A33" s="1"/>
      <c r="B33" s="1"/>
      <c r="C33" s="235" t="s">
        <v>1267</v>
      </c>
    </row>
    <row r="34" spans="1:9">
      <c r="A34" s="1"/>
      <c r="B34" s="1"/>
      <c r="C34" s="235" t="s">
        <v>1268</v>
      </c>
    </row>
    <row r="35" spans="1:9">
      <c r="E35" s="2"/>
      <c r="G35" s="2"/>
    </row>
    <row r="36" spans="1:9">
      <c r="E36" s="2" t="s">
        <v>852</v>
      </c>
      <c r="G36" s="2" t="s">
        <v>852</v>
      </c>
    </row>
    <row r="37" spans="1:9">
      <c r="E37" s="2" t="s">
        <v>1150</v>
      </c>
      <c r="F37" s="2" t="s">
        <v>1261</v>
      </c>
      <c r="G37" s="2" t="s">
        <v>1150</v>
      </c>
    </row>
    <row r="38" spans="1:9">
      <c r="A38" s="30" t="s">
        <v>266</v>
      </c>
      <c r="B38" s="30"/>
      <c r="E38" s="3" t="s">
        <v>123</v>
      </c>
      <c r="F38" s="3" t="s">
        <v>1263</v>
      </c>
      <c r="G38" s="3" t="s">
        <v>1269</v>
      </c>
      <c r="H38" s="3" t="s">
        <v>644</v>
      </c>
    </row>
    <row r="39" spans="1:9">
      <c r="A39" s="2">
        <f>A29+1</f>
        <v>9</v>
      </c>
      <c r="B39" s="2"/>
      <c r="C39" t="s">
        <v>1167</v>
      </c>
      <c r="E39" s="6">
        <f>'14-IncentivePlant'!E49</f>
        <v>121797748.52306066</v>
      </c>
      <c r="F39" s="55">
        <f>F25</f>
        <v>0.75</v>
      </c>
      <c r="G39" s="6">
        <f>(E39/1000000)*(F39*$G$17)</f>
        <v>602507.87197555485</v>
      </c>
      <c r="H39" s="234" t="str">
        <f>"14-IncentivePlant, L "&amp;'14-IncentivePlant'!A49&amp;", Col. 1"</f>
        <v>14-IncentivePlant, L 16, Col. 1</v>
      </c>
    </row>
    <row r="40" spans="1:9">
      <c r="A40" s="2">
        <f>A39+1</f>
        <v>10</v>
      </c>
      <c r="B40" s="2"/>
      <c r="C40" t="s">
        <v>1168</v>
      </c>
      <c r="E40" s="6">
        <f>'14-IncentivePlant'!E50</f>
        <v>2287802831.2136316</v>
      </c>
      <c r="F40" s="55">
        <f>F26</f>
        <v>1.25</v>
      </c>
      <c r="G40" s="6">
        <f>(E40/1000000)*(F40*$G$17)</f>
        <v>18862133.222892199</v>
      </c>
      <c r="H40" s="234" t="str">
        <f>"14-IncentivePlant, L "&amp;'14-IncentivePlant'!A50&amp;", Col. 1"</f>
        <v>14-IncentivePlant, L 17, Col. 1</v>
      </c>
    </row>
    <row r="41" spans="1:9">
      <c r="A41" s="2">
        <f>A40+1</f>
        <v>11</v>
      </c>
      <c r="B41" s="2"/>
      <c r="C41" s="235" t="s">
        <v>1264</v>
      </c>
      <c r="E41" s="6">
        <f>'14-IncentivePlant'!E51</f>
        <v>570527359.1756326</v>
      </c>
      <c r="F41" s="55">
        <f>F27</f>
        <v>1</v>
      </c>
      <c r="G41" s="6">
        <f>(E41/1000000)*(F41*$G$17)</f>
        <v>3763038.6357610961</v>
      </c>
      <c r="H41" s="234" t="str">
        <f>"14-IncentivePlant, L "&amp;'14-IncentivePlant'!A51&amp;", Col. 1"</f>
        <v>14-IncentivePlant, L 18, Col. 1</v>
      </c>
    </row>
    <row r="42" spans="1:9">
      <c r="A42" s="2">
        <f>A41+1</f>
        <v>12</v>
      </c>
      <c r="B42" s="2"/>
      <c r="C42" s="242"/>
      <c r="D42" s="54"/>
    </row>
    <row r="43" spans="1:9">
      <c r="A43" s="2">
        <f>A42+1</f>
        <v>13</v>
      </c>
      <c r="B43" s="2"/>
      <c r="C43" s="250" t="s">
        <v>815</v>
      </c>
    </row>
    <row r="44" spans="1:9">
      <c r="A44" s="2">
        <f>A43+1</f>
        <v>14</v>
      </c>
      <c r="F44" s="25" t="s">
        <v>1270</v>
      </c>
      <c r="G44" s="6">
        <f>SUM(G39:G42)</f>
        <v>23227679.730628852</v>
      </c>
      <c r="H44" s="234" t="s">
        <v>1271</v>
      </c>
    </row>
    <row r="45" spans="1:9">
      <c r="H45" s="234" t="s">
        <v>1272</v>
      </c>
      <c r="I45" s="6"/>
    </row>
    <row r="46" spans="1:9">
      <c r="B46" s="1" t="s">
        <v>1273</v>
      </c>
    </row>
    <row r="47" spans="1:9">
      <c r="A47" s="1"/>
      <c r="B47" s="1"/>
      <c r="C47" s="235" t="s">
        <v>1274</v>
      </c>
    </row>
    <row r="48" spans="1:9">
      <c r="A48" s="1"/>
      <c r="B48" s="1"/>
      <c r="C48" s="235" t="s">
        <v>1275</v>
      </c>
    </row>
    <row r="49" spans="1:9">
      <c r="A49" s="1"/>
      <c r="B49" s="1"/>
      <c r="C49" s="235" t="s">
        <v>1276</v>
      </c>
    </row>
    <row r="51" spans="1:9">
      <c r="E51" s="2" t="s">
        <v>1277</v>
      </c>
      <c r="G51" s="2" t="s">
        <v>1277</v>
      </c>
    </row>
    <row r="52" spans="1:9">
      <c r="E52" s="2" t="s">
        <v>1150</v>
      </c>
      <c r="F52" s="2" t="s">
        <v>1261</v>
      </c>
      <c r="G52" s="2" t="s">
        <v>1150</v>
      </c>
    </row>
    <row r="53" spans="1:9">
      <c r="A53" s="30" t="s">
        <v>266</v>
      </c>
      <c r="B53" s="30"/>
      <c r="E53" s="3" t="s">
        <v>1199</v>
      </c>
      <c r="F53" s="3" t="s">
        <v>1263</v>
      </c>
      <c r="G53" s="3" t="s">
        <v>1269</v>
      </c>
      <c r="H53" s="3" t="s">
        <v>644</v>
      </c>
    </row>
    <row r="54" spans="1:9">
      <c r="A54" s="2">
        <f>A44+1</f>
        <v>15</v>
      </c>
      <c r="B54" s="2"/>
      <c r="C54" t="s">
        <v>1167</v>
      </c>
      <c r="E54" s="6">
        <f>'14-IncentivePlant'!E63</f>
        <v>124167273.04378615</v>
      </c>
      <c r="F54" s="55">
        <f>F25</f>
        <v>0.75</v>
      </c>
      <c r="G54" s="6">
        <f>(E54/1000000)*(F54*$G$17)</f>
        <v>614229.41193740326</v>
      </c>
      <c r="H54" s="234" t="str">
        <f>"14-IncentivePlant, L "&amp;'14-IncentivePlant'!A63&amp;", Col. 1"</f>
        <v>14-IncentivePlant, L 22, Col. 1</v>
      </c>
    </row>
    <row r="55" spans="1:9">
      <c r="A55" s="2">
        <f>A54+1</f>
        <v>16</v>
      </c>
      <c r="B55" s="2"/>
      <c r="C55" t="s">
        <v>1168</v>
      </c>
      <c r="E55" s="6">
        <f>'14-IncentivePlant'!E64</f>
        <v>2326112447.2765141</v>
      </c>
      <c r="F55" s="55">
        <f>F26</f>
        <v>1.25</v>
      </c>
      <c r="G55" s="6">
        <f>(E55/1000000)*(F55*$G$17)</f>
        <v>19177982.59244325</v>
      </c>
      <c r="H55" s="234" t="str">
        <f>"14-IncentivePlant, L "&amp;'14-IncentivePlant'!A64&amp;", Col. 1"</f>
        <v>14-IncentivePlant, L 23, Col. 1</v>
      </c>
    </row>
    <row r="56" spans="1:9">
      <c r="A56" s="2">
        <f>A55+1</f>
        <v>17</v>
      </c>
      <c r="B56" s="2"/>
      <c r="C56" s="235" t="s">
        <v>1264</v>
      </c>
      <c r="E56" s="6">
        <f>'14-IncentivePlant'!E65</f>
        <v>580391798.01132119</v>
      </c>
      <c r="F56" s="55">
        <f>F27</f>
        <v>1</v>
      </c>
      <c r="G56" s="6">
        <f>(E56/1000000)*(F56*$G$17)</f>
        <v>3828101.7109349743</v>
      </c>
      <c r="H56" s="234" t="str">
        <f>"14-IncentivePlant, L "&amp;'14-IncentivePlant'!A65&amp;", Col. 1"</f>
        <v>14-IncentivePlant, L 24, Col. 1</v>
      </c>
    </row>
    <row r="57" spans="1:9">
      <c r="A57" s="2">
        <f>A56+1</f>
        <v>18</v>
      </c>
      <c r="B57" s="2"/>
      <c r="C57" s="242"/>
      <c r="D57" s="54"/>
    </row>
    <row r="58" spans="1:9">
      <c r="A58" s="2">
        <f>A57+1</f>
        <v>19</v>
      </c>
      <c r="B58" s="2"/>
      <c r="C58" s="250" t="s">
        <v>815</v>
      </c>
    </row>
    <row r="59" spans="1:9">
      <c r="A59" s="2">
        <f>A58+1</f>
        <v>20</v>
      </c>
      <c r="F59" s="233" t="s">
        <v>1278</v>
      </c>
      <c r="G59" s="6">
        <f>SUM(G54:G57)</f>
        <v>23620313.715315629</v>
      </c>
      <c r="H59" s="234" t="s">
        <v>1271</v>
      </c>
    </row>
    <row r="60" spans="1:9">
      <c r="H60" s="234" t="s">
        <v>1272</v>
      </c>
      <c r="I60" s="6"/>
    </row>
    <row r="61" spans="1:9">
      <c r="B61" s="1" t="s">
        <v>1279</v>
      </c>
    </row>
    <row r="63" spans="1:9">
      <c r="C63" s="1" t="s">
        <v>1280</v>
      </c>
    </row>
    <row r="65" spans="1:7">
      <c r="E65" s="2" t="s">
        <v>466</v>
      </c>
    </row>
    <row r="66" spans="1:7">
      <c r="C66" s="2" t="s">
        <v>1150</v>
      </c>
      <c r="E66" s="2" t="s">
        <v>1164</v>
      </c>
    </row>
    <row r="67" spans="1:7">
      <c r="A67" s="30" t="s">
        <v>266</v>
      </c>
      <c r="C67" s="3" t="s">
        <v>1065</v>
      </c>
      <c r="E67" s="3" t="s">
        <v>1166</v>
      </c>
      <c r="F67" s="3" t="s">
        <v>644</v>
      </c>
    </row>
    <row r="68" spans="1:7">
      <c r="A68" s="2">
        <f>A59+1</f>
        <v>21</v>
      </c>
      <c r="C68" t="s">
        <v>1167</v>
      </c>
      <c r="E68" s="6">
        <f>'14-IncentivePlant'!G63</f>
        <v>124167273.04378615</v>
      </c>
      <c r="F68" s="234" t="str">
        <f>"14-IncentivePlant, L "&amp;'14-IncentivePlant'!A63&amp;", Col. 3"</f>
        <v>14-IncentivePlant, L 22, Col. 3</v>
      </c>
    </row>
    <row r="69" spans="1:7">
      <c r="A69" s="2">
        <f t="shared" ref="A69:A71" si="0">A68+1</f>
        <v>22</v>
      </c>
      <c r="C69" t="s">
        <v>1168</v>
      </c>
      <c r="E69" s="6">
        <f>'14-IncentivePlant'!G64</f>
        <v>2325536961.5380526</v>
      </c>
      <c r="F69" s="234" t="str">
        <f>"14-IncentivePlant, L "&amp;'14-IncentivePlant'!A64&amp;", Col. 3"</f>
        <v>14-IncentivePlant, L 23, Col. 3</v>
      </c>
    </row>
    <row r="70" spans="1:7">
      <c r="A70" s="2">
        <f t="shared" si="0"/>
        <v>23</v>
      </c>
      <c r="C70" s="235" t="s">
        <v>1264</v>
      </c>
      <c r="E70" s="6">
        <f>'14-IncentivePlant'!G65</f>
        <v>580391798.01132119</v>
      </c>
      <c r="F70" s="234" t="str">
        <f>"14-IncentivePlant, L "&amp;'14-IncentivePlant'!A65&amp;", Col. 3"</f>
        <v>14-IncentivePlant, L 24, Col. 3</v>
      </c>
    </row>
    <row r="71" spans="1:7">
      <c r="A71" s="2">
        <f t="shared" si="0"/>
        <v>24</v>
      </c>
      <c r="C71" s="242"/>
      <c r="F71" s="234"/>
    </row>
    <row r="72" spans="1:7">
      <c r="C72" s="250" t="s">
        <v>815</v>
      </c>
    </row>
    <row r="73" spans="1:7">
      <c r="C73" s="250"/>
    </row>
    <row r="74" spans="1:7">
      <c r="C74" s="1" t="s">
        <v>1281</v>
      </c>
    </row>
    <row r="75" spans="1:7">
      <c r="C75" s="1"/>
    </row>
    <row r="76" spans="1:7">
      <c r="E76" s="3" t="s">
        <v>329</v>
      </c>
      <c r="F76" s="3" t="s">
        <v>330</v>
      </c>
    </row>
    <row r="77" spans="1:7">
      <c r="E77" s="3"/>
      <c r="F77" s="2" t="s">
        <v>1282</v>
      </c>
    </row>
    <row r="78" spans="1:7">
      <c r="E78" s="2" t="s">
        <v>359</v>
      </c>
      <c r="F78" s="2" t="s">
        <v>359</v>
      </c>
    </row>
    <row r="79" spans="1:7">
      <c r="C79" s="2" t="s">
        <v>1150</v>
      </c>
      <c r="E79" s="2" t="s">
        <v>1150</v>
      </c>
      <c r="F79" s="2" t="s">
        <v>1150</v>
      </c>
    </row>
    <row r="80" spans="1:7">
      <c r="A80" s="30" t="s">
        <v>266</v>
      </c>
      <c r="C80" s="3" t="s">
        <v>1065</v>
      </c>
      <c r="E80" s="3" t="s">
        <v>1269</v>
      </c>
      <c r="F80" s="3" t="s">
        <v>1269</v>
      </c>
      <c r="G80" s="3" t="s">
        <v>644</v>
      </c>
    </row>
    <row r="81" spans="1:7">
      <c r="A81" s="2">
        <f>A71+1</f>
        <v>25</v>
      </c>
      <c r="C81" t="s">
        <v>1167</v>
      </c>
      <c r="E81" s="6">
        <f>(E68/1000000)*(F54*$G$17)</f>
        <v>614229.41193740326</v>
      </c>
      <c r="F81" s="6">
        <f>E81*(1-$G$16)</f>
        <v>442345.91021848808</v>
      </c>
      <c r="G81" s="234" t="s">
        <v>569</v>
      </c>
    </row>
    <row r="82" spans="1:7">
      <c r="A82" s="2">
        <f t="shared" ref="A82:A86" si="1">A81+1</f>
        <v>26</v>
      </c>
      <c r="C82" t="s">
        <v>1168</v>
      </c>
      <c r="E82" s="6">
        <f>(E69/1000000)*(F55*$G$17)</f>
        <v>19173237.914047614</v>
      </c>
      <c r="F82" s="6">
        <f>E82*(1-$G$16)</f>
        <v>13807875.709132187</v>
      </c>
      <c r="G82" s="234" t="s">
        <v>569</v>
      </c>
    </row>
    <row r="83" spans="1:7">
      <c r="A83" s="2">
        <f t="shared" si="1"/>
        <v>27</v>
      </c>
      <c r="C83" s="235" t="s">
        <v>1264</v>
      </c>
      <c r="E83" s="6">
        <f>(E70/1000000)*(F56*$G$17)</f>
        <v>3828101.7109349743</v>
      </c>
      <c r="F83" s="6">
        <f>E83*(1-$G$16)</f>
        <v>2756861.0405537747</v>
      </c>
      <c r="G83" s="234" t="s">
        <v>569</v>
      </c>
    </row>
    <row r="84" spans="1:7">
      <c r="A84" s="2">
        <f t="shared" si="1"/>
        <v>28</v>
      </c>
      <c r="C84" s="242"/>
      <c r="E84" s="6"/>
      <c r="F84" s="6"/>
      <c r="G84" s="234" t="s">
        <v>569</v>
      </c>
    </row>
    <row r="85" spans="1:7">
      <c r="A85" s="2">
        <f t="shared" si="1"/>
        <v>29</v>
      </c>
      <c r="C85" s="250" t="s">
        <v>815</v>
      </c>
      <c r="E85" s="6"/>
      <c r="F85" s="6"/>
    </row>
    <row r="86" spans="1:7">
      <c r="A86" s="2">
        <f t="shared" si="1"/>
        <v>30</v>
      </c>
      <c r="E86" s="233" t="s">
        <v>402</v>
      </c>
      <c r="F86" s="6">
        <f>SUM(F81:F85)</f>
        <v>17007082.65990445</v>
      </c>
    </row>
    <row r="88" spans="1:7">
      <c r="C88" s="1" t="s">
        <v>1283</v>
      </c>
    </row>
    <row r="89" spans="1:7">
      <c r="A89" s="30" t="s">
        <v>266</v>
      </c>
      <c r="F89" s="3" t="s">
        <v>79</v>
      </c>
      <c r="G89" s="3" t="s">
        <v>644</v>
      </c>
    </row>
    <row r="90" spans="1:7">
      <c r="A90" s="2">
        <f>A86+1</f>
        <v>31</v>
      </c>
      <c r="E90" s="233" t="s">
        <v>1284</v>
      </c>
      <c r="F90" s="6">
        <f>'4-TUTRR'!J29</f>
        <v>7475969075.5569906</v>
      </c>
      <c r="G90" s="234" t="str">
        <f>"4-TUTRR, Line "&amp;'4-TUTRR'!A29&amp;""</f>
        <v>4-TUTRR, Line 18</v>
      </c>
    </row>
    <row r="91" spans="1:7">
      <c r="A91" s="2">
        <f t="shared" ref="A91:A94" si="2">A90+1</f>
        <v>32</v>
      </c>
      <c r="E91" s="233" t="s">
        <v>1285</v>
      </c>
      <c r="F91" s="53">
        <f>'4-TUTRR'!J24</f>
        <v>296319924.04384613</v>
      </c>
      <c r="G91" s="234" t="str">
        <f>"4-TUTRR, Line "&amp;'4-TUTRR'!A24&amp;""</f>
        <v>4-TUTRR, Line 14</v>
      </c>
    </row>
    <row r="92" spans="1:7">
      <c r="A92" s="2">
        <f t="shared" si="2"/>
        <v>33</v>
      </c>
      <c r="E92" s="233" t="s">
        <v>1286</v>
      </c>
      <c r="F92" s="6">
        <f>F90-F91</f>
        <v>7179649151.5131445</v>
      </c>
      <c r="G92" s="12" t="str">
        <f>"Line "&amp;A90&amp;" - Line "&amp;A91&amp;""</f>
        <v>Line 31 - Line 32</v>
      </c>
    </row>
    <row r="93" spans="1:7">
      <c r="A93" s="2">
        <f t="shared" si="2"/>
        <v>34</v>
      </c>
      <c r="E93" s="233" t="s">
        <v>1287</v>
      </c>
      <c r="F93" s="7">
        <f>'1-BaseTRR'!K82</f>
        <v>0.47499999999999998</v>
      </c>
      <c r="G93" s="234" t="str">
        <f>"1-BaseTRR, Line "&amp;'1-BaseTRR'!A82&amp;""</f>
        <v>1-BaseTRR, Line 47</v>
      </c>
    </row>
    <row r="94" spans="1:7">
      <c r="A94" s="2">
        <f t="shared" si="2"/>
        <v>35</v>
      </c>
      <c r="E94" s="233" t="s">
        <v>1288</v>
      </c>
      <c r="F94" s="6">
        <f>F92*F93</f>
        <v>3410333346.9687433</v>
      </c>
      <c r="G94" s="12" t="str">
        <f>"Line "&amp;A92&amp;" * Line "&amp;A93&amp;""</f>
        <v>Line 33 * Line 34</v>
      </c>
    </row>
    <row r="96" spans="1:7">
      <c r="C96" s="1" t="s">
        <v>1289</v>
      </c>
    </row>
    <row r="97" spans="1:7">
      <c r="A97" s="30" t="s">
        <v>266</v>
      </c>
    </row>
    <row r="98" spans="1:7">
      <c r="A98" s="2">
        <f>A94+1</f>
        <v>36</v>
      </c>
      <c r="E98" s="233" t="s">
        <v>1290</v>
      </c>
      <c r="F98" s="26">
        <f>F86/F94</f>
        <v>4.9869267692031058E-3</v>
      </c>
      <c r="G98" s="12" t="str">
        <f>"Line "&amp;A86&amp;" / Line "&amp;A94&amp;""</f>
        <v>Line 30 / Line 35</v>
      </c>
    </row>
    <row r="99" spans="1:7">
      <c r="A99" s="2">
        <f t="shared" ref="A99:A101" si="3">A98+1</f>
        <v>37</v>
      </c>
      <c r="E99" s="233" t="s">
        <v>1291</v>
      </c>
    </row>
    <row r="100" spans="1:7">
      <c r="A100" s="2">
        <f t="shared" si="3"/>
        <v>38</v>
      </c>
      <c r="E100" s="233" t="s">
        <v>1292</v>
      </c>
      <c r="F100" s="251">
        <f>'1-BaseTRR'!K87</f>
        <v>0.10299999999999999</v>
      </c>
      <c r="G100" s="234" t="str">
        <f>"1-BaseTRR, Line "&amp;'1-BaseTRR'!A87&amp;""</f>
        <v>1-BaseTRR, Line 50</v>
      </c>
    </row>
    <row r="101" spans="1:7">
      <c r="A101" s="2">
        <f t="shared" si="3"/>
        <v>39</v>
      </c>
      <c r="E101" s="233" t="s">
        <v>1293</v>
      </c>
      <c r="F101" s="26">
        <f>F98+F100</f>
        <v>0.1079869267692031</v>
      </c>
      <c r="G101" s="12" t="str">
        <f>"Line "&amp;A98&amp;" + Line "&amp;A100&amp;""</f>
        <v>Line 36 + Line 38</v>
      </c>
    </row>
    <row r="103" spans="1:7">
      <c r="B103" s="1" t="s">
        <v>426</v>
      </c>
    </row>
    <row r="104" spans="1:7">
      <c r="B104" s="235" t="s">
        <v>1294</v>
      </c>
    </row>
    <row r="105" spans="1:7">
      <c r="B105" s="235" t="s">
        <v>1295</v>
      </c>
    </row>
    <row r="107" spans="1:7">
      <c r="B107" s="1" t="s">
        <v>226</v>
      </c>
    </row>
    <row r="108" spans="1:7">
      <c r="B108" s="235" t="str">
        <f>"1) Column 1: The True Up Incentive Adder for each Incentive Project equals the IREF on Line "&amp;A17&amp;","</f>
        <v>1) Column 1: The True Up Incentive Adder for each Incentive Project equals the IREF on Line 3,</v>
      </c>
    </row>
    <row r="109" spans="1:7">
      <c r="B109" s="235" t="str">
        <f>"times the applicable Multiplicative Factor on Lines "&amp;A54&amp;" to "&amp;A57&amp;", times the million $ of"</f>
        <v>times the applicable Multiplicative Factor on Lines 15 to 18, times the million $ of</v>
      </c>
    </row>
    <row r="110" spans="1:7">
      <c r="B110" s="235" t="str">
        <f>"TIP Net Plant In Service on Lines "&amp;A68&amp;" to "&amp;A71&amp;"."</f>
        <v>TIP Net Plant In Service on Lines 21 to 24.</v>
      </c>
    </row>
    <row r="111" spans="1:7">
      <c r="B111" s="235" t="s">
        <v>1296</v>
      </c>
    </row>
    <row r="112" spans="1:7">
      <c r="B112" s="235"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&amp;RTO2025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89" workbookViewId="0"/>
  </sheetViews>
  <sheetFormatPr defaultColWidth="9.42578125" defaultRowHeight="12.75"/>
  <cols>
    <col min="1" max="1" width="4.5703125" style="305" customWidth="1"/>
    <col min="2" max="2" width="6" style="305" customWidth="1"/>
    <col min="3" max="3" width="15.5703125" style="305" customWidth="1"/>
    <col min="4" max="4" width="9.42578125" style="305" customWidth="1"/>
    <col min="5" max="5" width="16" style="305" customWidth="1"/>
    <col min="6" max="6" width="14.5703125" style="305" customWidth="1"/>
    <col min="7" max="7" width="16" style="305" bestFit="1" customWidth="1"/>
    <col min="8" max="8" width="18.42578125" style="305" customWidth="1"/>
    <col min="9" max="10" width="15.5703125" style="305" customWidth="1"/>
    <col min="11" max="11" width="16.5703125" style="305" customWidth="1"/>
    <col min="12" max="13" width="15.5703125" style="305" customWidth="1"/>
    <col min="14" max="14" width="17" style="305" customWidth="1"/>
    <col min="15" max="16" width="15.5703125" style="305" customWidth="1"/>
    <col min="17" max="17" width="2.5703125" style="305" customWidth="1"/>
    <col min="18" max="21" width="18.5703125" style="305" customWidth="1"/>
    <col min="22" max="22" width="15.5703125" style="305" customWidth="1"/>
    <col min="23" max="23" width="20.5703125" style="305" bestFit="1" customWidth="1"/>
    <col min="24" max="40" width="15.5703125" style="305" customWidth="1"/>
    <col min="41" max="16384" width="9.42578125" style="305"/>
  </cols>
  <sheetData>
    <row r="1" spans="1:40">
      <c r="A1" s="309" t="s">
        <v>1297</v>
      </c>
    </row>
    <row r="2" spans="1:40">
      <c r="F2" s="316" t="s">
        <v>1298</v>
      </c>
      <c r="G2" s="316"/>
    </row>
    <row r="3" spans="1:40">
      <c r="B3" s="305" t="s">
        <v>1299</v>
      </c>
    </row>
    <row r="4" spans="1:40">
      <c r="B4" s="305" t="s">
        <v>1300</v>
      </c>
    </row>
    <row r="5" spans="1:40">
      <c r="B5" s="305" t="s">
        <v>1301</v>
      </c>
    </row>
    <row r="7" spans="1:40">
      <c r="B7" s="309" t="s">
        <v>1302</v>
      </c>
    </row>
    <row r="8" spans="1:40">
      <c r="E8" s="337" t="s">
        <v>329</v>
      </c>
      <c r="F8" s="337" t="s">
        <v>330</v>
      </c>
      <c r="G8" s="337" t="s">
        <v>331</v>
      </c>
      <c r="H8" s="337" t="s">
        <v>332</v>
      </c>
      <c r="I8" s="337" t="s">
        <v>333</v>
      </c>
      <c r="J8" s="337" t="s">
        <v>334</v>
      </c>
      <c r="K8" s="337" t="s">
        <v>335</v>
      </c>
      <c r="L8" s="337" t="s">
        <v>336</v>
      </c>
      <c r="M8" s="337" t="s">
        <v>337</v>
      </c>
      <c r="N8" s="337" t="s">
        <v>582</v>
      </c>
      <c r="O8" s="337" t="s">
        <v>583</v>
      </c>
      <c r="P8" s="337" t="s">
        <v>584</v>
      </c>
      <c r="T8" s="337"/>
      <c r="U8" s="337"/>
      <c r="X8" s="330"/>
      <c r="Y8" s="330"/>
      <c r="Z8" s="330"/>
      <c r="AA8" s="330"/>
      <c r="AB8" s="330"/>
      <c r="AC8" s="330"/>
      <c r="AD8" s="330"/>
      <c r="AE8" s="330"/>
      <c r="AF8" s="330"/>
      <c r="AG8" s="330"/>
      <c r="AH8" s="330"/>
      <c r="AI8" s="330"/>
      <c r="AJ8" s="330"/>
      <c r="AK8" s="330"/>
      <c r="AL8" s="330"/>
      <c r="AM8" s="330"/>
      <c r="AN8" s="330"/>
    </row>
    <row r="9" spans="1:40">
      <c r="E9" s="338" t="s">
        <v>339</v>
      </c>
      <c r="F9" s="338" t="s">
        <v>339</v>
      </c>
      <c r="G9" s="338" t="s">
        <v>339</v>
      </c>
      <c r="H9" s="338" t="s">
        <v>339</v>
      </c>
      <c r="I9" s="338" t="s">
        <v>339</v>
      </c>
      <c r="J9" s="338" t="s">
        <v>339</v>
      </c>
      <c r="K9" s="338" t="s">
        <v>339</v>
      </c>
      <c r="L9" s="338" t="s">
        <v>339</v>
      </c>
      <c r="M9" s="338" t="s">
        <v>339</v>
      </c>
      <c r="N9" s="338" t="s">
        <v>339</v>
      </c>
      <c r="O9" s="338" t="s">
        <v>339</v>
      </c>
      <c r="P9" s="338" t="s">
        <v>339</v>
      </c>
      <c r="Q9" s="339"/>
    </row>
    <row r="10" spans="1:40">
      <c r="C10" s="312" t="s">
        <v>976</v>
      </c>
      <c r="E10" s="312" t="s">
        <v>975</v>
      </c>
      <c r="F10" s="312"/>
      <c r="G10" s="312"/>
      <c r="H10" s="312"/>
      <c r="I10" s="312" t="s">
        <v>1303</v>
      </c>
      <c r="J10" s="312"/>
      <c r="K10" s="312"/>
      <c r="L10" s="312"/>
      <c r="M10" s="312"/>
      <c r="O10" s="312" t="s">
        <v>975</v>
      </c>
      <c r="P10" s="312" t="s">
        <v>1304</v>
      </c>
      <c r="T10" s="312"/>
      <c r="U10" s="312"/>
      <c r="X10" s="312"/>
      <c r="Y10" s="312"/>
      <c r="Z10" s="312"/>
      <c r="AA10" s="312"/>
      <c r="AB10" s="312"/>
      <c r="AC10" s="312"/>
      <c r="AD10" s="312"/>
      <c r="AE10" s="312"/>
      <c r="AF10" s="312"/>
      <c r="AG10" s="312"/>
      <c r="AH10" s="312"/>
      <c r="AI10" s="312"/>
      <c r="AJ10" s="312"/>
      <c r="AK10" s="312"/>
      <c r="AL10" s="312"/>
      <c r="AM10" s="312"/>
      <c r="AN10" s="312"/>
    </row>
    <row r="11" spans="1:40">
      <c r="B11" s="309"/>
      <c r="C11" s="312" t="s">
        <v>612</v>
      </c>
      <c r="E11" s="312" t="s">
        <v>244</v>
      </c>
      <c r="F11" s="312" t="s">
        <v>979</v>
      </c>
      <c r="G11" s="312" t="s">
        <v>980</v>
      </c>
      <c r="H11" s="312" t="s">
        <v>1305</v>
      </c>
      <c r="I11" s="312" t="s">
        <v>1306</v>
      </c>
      <c r="J11" s="312"/>
      <c r="K11" s="312" t="s">
        <v>1148</v>
      </c>
      <c r="L11" s="312" t="s">
        <v>38</v>
      </c>
      <c r="M11" s="312" t="s">
        <v>1148</v>
      </c>
      <c r="O11" s="312" t="s">
        <v>1307</v>
      </c>
      <c r="P11" s="312" t="s">
        <v>1307</v>
      </c>
      <c r="T11" s="312"/>
      <c r="U11" s="312"/>
      <c r="X11" s="312"/>
      <c r="Y11" s="312"/>
      <c r="Z11" s="312"/>
      <c r="AA11" s="312"/>
      <c r="AB11" s="312"/>
      <c r="AC11" s="312"/>
      <c r="AD11" s="312"/>
      <c r="AE11" s="312"/>
      <c r="AF11" s="312"/>
      <c r="AG11" s="312"/>
      <c r="AH11" s="312"/>
      <c r="AI11" s="312"/>
      <c r="AJ11" s="312"/>
      <c r="AK11" s="312"/>
      <c r="AL11" s="312"/>
      <c r="AM11" s="312"/>
      <c r="AN11" s="312"/>
    </row>
    <row r="12" spans="1:40">
      <c r="A12" s="340" t="s">
        <v>266</v>
      </c>
      <c r="C12" s="330" t="s">
        <v>364</v>
      </c>
      <c r="D12" s="330" t="s">
        <v>365</v>
      </c>
      <c r="E12" s="330" t="s">
        <v>985</v>
      </c>
      <c r="F12" s="330" t="s">
        <v>986</v>
      </c>
      <c r="G12" s="330" t="s">
        <v>987</v>
      </c>
      <c r="H12" s="330" t="s">
        <v>1308</v>
      </c>
      <c r="I12" s="330" t="s">
        <v>1309</v>
      </c>
      <c r="J12" s="330" t="s">
        <v>1303</v>
      </c>
      <c r="K12" s="330" t="s">
        <v>1310</v>
      </c>
      <c r="L12" s="330" t="s">
        <v>1311</v>
      </c>
      <c r="M12" s="330" t="s">
        <v>746</v>
      </c>
      <c r="N12" s="330" t="s">
        <v>1199</v>
      </c>
      <c r="O12" s="330" t="s">
        <v>1309</v>
      </c>
      <c r="P12" s="330" t="s">
        <v>1309</v>
      </c>
      <c r="T12" s="330"/>
      <c r="U12" s="330"/>
      <c r="V12" s="330"/>
      <c r="W12" s="330"/>
      <c r="X12" s="330"/>
      <c r="Y12" s="330"/>
      <c r="Z12" s="330"/>
      <c r="AA12" s="330"/>
      <c r="AB12" s="330"/>
      <c r="AC12" s="330"/>
      <c r="AD12" s="330"/>
      <c r="AE12" s="330"/>
      <c r="AF12" s="330"/>
      <c r="AG12" s="330"/>
      <c r="AH12" s="330"/>
      <c r="AI12" s="330"/>
      <c r="AJ12" s="330"/>
      <c r="AK12" s="330"/>
      <c r="AL12" s="330"/>
      <c r="AM12" s="330"/>
      <c r="AN12" s="330"/>
    </row>
    <row r="13" spans="1:40">
      <c r="A13" s="312">
        <v>1</v>
      </c>
      <c r="C13" s="305" t="str">
        <f>C45</f>
        <v>January</v>
      </c>
      <c r="D13" s="481">
        <v>2024</v>
      </c>
      <c r="E13" s="307">
        <f t="shared" ref="E13:P13" si="0">E45+E76</f>
        <v>14051970.008839019</v>
      </c>
      <c r="F13" s="307">
        <f t="shared" si="0"/>
        <v>1273723.9508333332</v>
      </c>
      <c r="G13" s="307">
        <f t="shared" si="0"/>
        <v>958368.45435042633</v>
      </c>
      <c r="H13" s="307">
        <f t="shared" si="0"/>
        <v>1032309.4293248889</v>
      </c>
      <c r="I13" s="307">
        <f t="shared" si="0"/>
        <v>11871558.437236222</v>
      </c>
      <c r="J13" s="307">
        <f t="shared" si="0"/>
        <v>356146.75311708666</v>
      </c>
      <c r="K13" s="307">
        <f t="shared" si="0"/>
        <v>14334175.786981642</v>
      </c>
      <c r="L13" s="307">
        <f t="shared" si="0"/>
        <v>0</v>
      </c>
      <c r="M13" s="307">
        <f>M45+M76</f>
        <v>0</v>
      </c>
      <c r="N13" s="307">
        <f t="shared" ref="N13:N36" si="1">N45+N76</f>
        <v>14334175.786981642</v>
      </c>
      <c r="O13" s="307">
        <f t="shared" si="0"/>
        <v>1957064.1640682016</v>
      </c>
      <c r="P13" s="307">
        <f t="shared" si="0"/>
        <v>1989551.4291917337</v>
      </c>
      <c r="T13" s="307"/>
      <c r="U13" s="307"/>
      <c r="V13" s="341"/>
      <c r="W13" s="307"/>
      <c r="X13" s="342"/>
      <c r="Y13" s="244"/>
      <c r="Z13" s="307"/>
      <c r="AA13" s="307"/>
      <c r="AB13" s="307"/>
      <c r="AC13" s="307"/>
      <c r="AD13" s="307"/>
      <c r="AE13" s="307"/>
      <c r="AF13" s="307"/>
      <c r="AG13" s="307"/>
      <c r="AH13" s="307"/>
      <c r="AI13" s="307"/>
      <c r="AJ13" s="307"/>
      <c r="AK13" s="307"/>
      <c r="AL13" s="307"/>
      <c r="AM13" s="307"/>
      <c r="AN13" s="307"/>
    </row>
    <row r="14" spans="1:40">
      <c r="A14" s="312">
        <f>A13+1</f>
        <v>2</v>
      </c>
      <c r="C14" s="305" t="str">
        <f t="shared" ref="C14:C29" si="2">C46</f>
        <v>February</v>
      </c>
      <c r="D14" s="481">
        <v>2024</v>
      </c>
      <c r="E14" s="307">
        <f t="shared" ref="E14" si="3">E46+E77</f>
        <v>13848441.666239014</v>
      </c>
      <c r="F14" s="307">
        <f t="shared" ref="F14:P14" si="4">F46+F77</f>
        <v>1205473.6508333334</v>
      </c>
      <c r="G14" s="307">
        <f t="shared" si="4"/>
        <v>948222.601155426</v>
      </c>
      <c r="H14" s="307">
        <f t="shared" si="4"/>
        <v>1034026.8493248887</v>
      </c>
      <c r="I14" s="307">
        <f t="shared" si="4"/>
        <v>11891308.767236218</v>
      </c>
      <c r="J14" s="307">
        <f t="shared" si="4"/>
        <v>356739.26301708655</v>
      </c>
      <c r="K14" s="307">
        <f t="shared" si="4"/>
        <v>28453552.468068279</v>
      </c>
      <c r="L14" s="307">
        <f t="shared" si="4"/>
        <v>30679.246389545158</v>
      </c>
      <c r="M14" s="307">
        <f t="shared" si="4"/>
        <v>30679.246389545158</v>
      </c>
      <c r="N14" s="307">
        <f t="shared" si="1"/>
        <v>28422873.221678734</v>
      </c>
      <c r="O14" s="307">
        <f t="shared" si="4"/>
        <v>3255424.9881364033</v>
      </c>
      <c r="P14" s="307">
        <f t="shared" si="4"/>
        <v>3309465.0429394678</v>
      </c>
      <c r="T14" s="307"/>
      <c r="U14" s="307"/>
      <c r="V14" s="341"/>
      <c r="W14" s="307"/>
      <c r="X14" s="342"/>
      <c r="Y14" s="244"/>
      <c r="Z14" s="307"/>
      <c r="AA14" s="307"/>
      <c r="AB14" s="307"/>
      <c r="AC14" s="307"/>
      <c r="AD14" s="307"/>
      <c r="AE14" s="307"/>
      <c r="AF14" s="307"/>
      <c r="AG14" s="307"/>
      <c r="AH14" s="307"/>
      <c r="AI14" s="307"/>
      <c r="AJ14" s="307"/>
      <c r="AK14" s="307"/>
      <c r="AL14" s="307"/>
      <c r="AM14" s="307"/>
      <c r="AN14" s="307"/>
    </row>
    <row r="15" spans="1:40">
      <c r="A15" s="312">
        <f t="shared" ref="A15:A37" si="5">A14+1</f>
        <v>3</v>
      </c>
      <c r="C15" s="305" t="str">
        <f t="shared" si="2"/>
        <v>March</v>
      </c>
      <c r="D15" s="481">
        <v>2024</v>
      </c>
      <c r="E15" s="307">
        <f t="shared" ref="E15" si="6">E47+E78</f>
        <v>16443066.086239021</v>
      </c>
      <c r="F15" s="307">
        <f t="shared" ref="F15:P15" si="7">F47+F78</f>
        <v>3806641.0708333328</v>
      </c>
      <c r="G15" s="307">
        <f t="shared" si="7"/>
        <v>947731.87615542661</v>
      </c>
      <c r="H15" s="307">
        <f t="shared" si="7"/>
        <v>1033464.1513248893</v>
      </c>
      <c r="I15" s="307">
        <f t="shared" si="7"/>
        <v>11884837.740236226</v>
      </c>
      <c r="J15" s="307">
        <f t="shared" si="7"/>
        <v>356545.13220708678</v>
      </c>
      <c r="K15" s="307">
        <f t="shared" si="7"/>
        <v>45167431.411344931</v>
      </c>
      <c r="L15" s="307">
        <f t="shared" si="7"/>
        <v>60898.761100622163</v>
      </c>
      <c r="M15" s="307">
        <f t="shared" si="7"/>
        <v>91578.007490167307</v>
      </c>
      <c r="N15" s="307">
        <f t="shared" si="1"/>
        <v>45075853.403854758</v>
      </c>
      <c r="O15" s="307">
        <f t="shared" si="7"/>
        <v>4557554.352204605</v>
      </c>
      <c r="P15" s="307">
        <f t="shared" si="7"/>
        <v>4633209.7544512022</v>
      </c>
      <c r="T15" s="307"/>
      <c r="U15" s="307"/>
      <c r="V15" s="341"/>
      <c r="W15" s="307"/>
      <c r="X15" s="342"/>
      <c r="Y15" s="244"/>
      <c r="Z15" s="307"/>
      <c r="AA15" s="307"/>
      <c r="AB15" s="307"/>
      <c r="AC15" s="307"/>
      <c r="AD15" s="307"/>
      <c r="AE15" s="307"/>
      <c r="AF15" s="307"/>
      <c r="AG15" s="307"/>
      <c r="AH15" s="307"/>
      <c r="AI15" s="307"/>
      <c r="AJ15" s="307"/>
      <c r="AK15" s="307"/>
      <c r="AL15" s="307"/>
      <c r="AM15" s="307"/>
      <c r="AN15" s="307"/>
    </row>
    <row r="16" spans="1:40">
      <c r="A16" s="312">
        <f t="shared" si="5"/>
        <v>4</v>
      </c>
      <c r="C16" s="305" t="str">
        <f t="shared" si="2"/>
        <v>April</v>
      </c>
      <c r="D16" s="481">
        <v>2024</v>
      </c>
      <c r="E16" s="307">
        <f t="shared" ref="E16" si="8">E48+E79</f>
        <v>96061943.466639012</v>
      </c>
      <c r="F16" s="307">
        <f t="shared" ref="F16:P16" si="9">F48+F79</f>
        <v>76198794.366433322</v>
      </c>
      <c r="G16" s="307">
        <f t="shared" si="9"/>
        <v>1489736.1825154261</v>
      </c>
      <c r="H16" s="307">
        <f t="shared" si="9"/>
        <v>1599852.2466176886</v>
      </c>
      <c r="I16" s="307">
        <f t="shared" si="9"/>
        <v>18398300.836103417</v>
      </c>
      <c r="J16" s="307">
        <f t="shared" si="9"/>
        <v>551949.02508310252</v>
      </c>
      <c r="K16" s="307">
        <f t="shared" si="9"/>
        <v>141671207.83896479</v>
      </c>
      <c r="L16" s="307">
        <f t="shared" si="9"/>
        <v>96671.254604679372</v>
      </c>
      <c r="M16" s="307">
        <f t="shared" si="9"/>
        <v>188249.26209484666</v>
      </c>
      <c r="N16" s="307">
        <f t="shared" si="1"/>
        <v>141482958.57686993</v>
      </c>
      <c r="O16" s="307">
        <f t="shared" si="9"/>
        <v>19803929.704272807</v>
      </c>
      <c r="P16" s="307">
        <f t="shared" si="9"/>
        <v>20132674.937363736</v>
      </c>
      <c r="T16" s="307"/>
      <c r="U16" s="307"/>
      <c r="V16" s="341"/>
      <c r="W16" s="307"/>
      <c r="X16" s="342"/>
      <c r="Y16" s="244"/>
      <c r="Z16" s="307"/>
      <c r="AA16" s="307"/>
      <c r="AB16" s="307"/>
      <c r="AC16" s="307"/>
      <c r="AD16" s="307"/>
      <c r="AE16" s="307"/>
      <c r="AF16" s="307"/>
      <c r="AG16" s="307"/>
      <c r="AH16" s="307"/>
      <c r="AI16" s="307"/>
      <c r="AJ16" s="307"/>
      <c r="AK16" s="307"/>
      <c r="AL16" s="307"/>
      <c r="AM16" s="307"/>
      <c r="AN16" s="307"/>
    </row>
    <row r="17" spans="1:40">
      <c r="A17" s="312">
        <f t="shared" si="5"/>
        <v>5</v>
      </c>
      <c r="C17" s="305" t="str">
        <f t="shared" si="2"/>
        <v>May</v>
      </c>
      <c r="D17" s="481">
        <v>2024</v>
      </c>
      <c r="E17" s="307">
        <f t="shared" ref="E17" si="10">E49+E80</f>
        <v>100730199.326239</v>
      </c>
      <c r="F17" s="307">
        <f t="shared" ref="F17:P17" si="11">F49+F80</f>
        <v>83600685.31083332</v>
      </c>
      <c r="G17" s="307">
        <f t="shared" si="11"/>
        <v>1284713.5511554263</v>
      </c>
      <c r="H17" s="307">
        <f t="shared" si="11"/>
        <v>1258671.4913248888</v>
      </c>
      <c r="I17" s="307">
        <f t="shared" si="11"/>
        <v>14474722.150236221</v>
      </c>
      <c r="J17" s="307">
        <f t="shared" si="11"/>
        <v>434241.66450708662</v>
      </c>
      <c r="K17" s="307">
        <f t="shared" si="11"/>
        <v>242861690.88954142</v>
      </c>
      <c r="L17" s="307">
        <f t="shared" si="11"/>
        <v>303217.00781313499</v>
      </c>
      <c r="M17" s="307">
        <f t="shared" si="11"/>
        <v>491466.26990798174</v>
      </c>
      <c r="N17" s="307">
        <f t="shared" si="1"/>
        <v>242370224.61963344</v>
      </c>
      <c r="O17" s="307">
        <f t="shared" si="11"/>
        <v>25524954.988341007</v>
      </c>
      <c r="P17" s="307">
        <f t="shared" si="11"/>
        <v>25948669.24114747</v>
      </c>
      <c r="T17" s="307"/>
      <c r="U17" s="307"/>
      <c r="V17" s="341"/>
      <c r="W17" s="307"/>
      <c r="X17" s="342"/>
      <c r="Y17" s="244"/>
      <c r="Z17" s="307"/>
      <c r="AA17" s="307"/>
      <c r="AB17" s="307"/>
      <c r="AC17" s="307"/>
      <c r="AD17" s="307"/>
      <c r="AE17" s="307"/>
      <c r="AF17" s="307"/>
      <c r="AG17" s="307"/>
      <c r="AH17" s="307"/>
      <c r="AI17" s="307"/>
      <c r="AJ17" s="307"/>
      <c r="AK17" s="307"/>
      <c r="AL17" s="307"/>
      <c r="AM17" s="307"/>
      <c r="AN17" s="307"/>
    </row>
    <row r="18" spans="1:40">
      <c r="A18" s="312">
        <f t="shared" si="5"/>
        <v>6</v>
      </c>
      <c r="C18" s="305" t="str">
        <f t="shared" si="2"/>
        <v xml:space="preserve">June </v>
      </c>
      <c r="D18" s="481">
        <v>2024</v>
      </c>
      <c r="E18" s="307">
        <f t="shared" ref="E18" si="12">E50+E81</f>
        <v>37338345.160027012</v>
      </c>
      <c r="F18" s="307">
        <f t="shared" ref="F18:P18" si="13">F50+F81</f>
        <v>20139303.251021333</v>
      </c>
      <c r="G18" s="307">
        <f t="shared" si="13"/>
        <v>1289928.1431754259</v>
      </c>
      <c r="H18" s="307">
        <f t="shared" si="13"/>
        <v>1345740.6341744885</v>
      </c>
      <c r="I18" s="307">
        <f t="shared" si="13"/>
        <v>15476017.293006618</v>
      </c>
      <c r="J18" s="307">
        <f t="shared" si="13"/>
        <v>464280.51879019849</v>
      </c>
      <c r="K18" s="307">
        <f t="shared" si="13"/>
        <v>280608504.07735956</v>
      </c>
      <c r="L18" s="307">
        <f t="shared" si="13"/>
        <v>519793.65706876968</v>
      </c>
      <c r="M18" s="307">
        <f t="shared" si="13"/>
        <v>1011259.9269767513</v>
      </c>
      <c r="N18" s="307">
        <f t="shared" si="1"/>
        <v>279597244.15038288</v>
      </c>
      <c r="O18" s="307">
        <f t="shared" si="13"/>
        <v>26987187.582409211</v>
      </c>
      <c r="P18" s="307">
        <f t="shared" si="13"/>
        <v>27435174.896277204</v>
      </c>
      <c r="T18" s="307"/>
      <c r="U18" s="307"/>
      <c r="V18" s="341"/>
      <c r="W18" s="307"/>
      <c r="X18" s="342"/>
      <c r="Y18" s="244"/>
      <c r="Z18" s="307"/>
      <c r="AA18" s="307"/>
      <c r="AB18" s="307"/>
      <c r="AC18" s="307"/>
      <c r="AD18" s="307"/>
      <c r="AE18" s="307"/>
      <c r="AF18" s="307"/>
      <c r="AG18" s="307"/>
      <c r="AH18" s="307"/>
      <c r="AI18" s="307"/>
      <c r="AJ18" s="307"/>
      <c r="AK18" s="307"/>
      <c r="AL18" s="307"/>
      <c r="AM18" s="307"/>
      <c r="AN18" s="307"/>
    </row>
    <row r="19" spans="1:40">
      <c r="A19" s="312">
        <f t="shared" si="5"/>
        <v>7</v>
      </c>
      <c r="C19" s="305" t="str">
        <f t="shared" si="2"/>
        <v>July</v>
      </c>
      <c r="D19" s="481">
        <v>2024</v>
      </c>
      <c r="E19" s="307">
        <f t="shared" ref="E19" si="14">E51+E82</f>
        <v>87897462.396239042</v>
      </c>
      <c r="F19" s="307">
        <f t="shared" ref="F19:P19" si="15">F51+F82</f>
        <v>55319411.380833328</v>
      </c>
      <c r="G19" s="307">
        <f t="shared" si="15"/>
        <v>2443353.8261554278</v>
      </c>
      <c r="H19" s="307">
        <f t="shared" si="15"/>
        <v>2580310.7193248905</v>
      </c>
      <c r="I19" s="307">
        <f t="shared" si="15"/>
        <v>29673573.272236239</v>
      </c>
      <c r="J19" s="307">
        <f t="shared" si="15"/>
        <v>890207.19816708716</v>
      </c>
      <c r="K19" s="307">
        <f t="shared" si="15"/>
        <v>369259216.77859622</v>
      </c>
      <c r="L19" s="307">
        <f t="shared" si="15"/>
        <v>600582.66087469109</v>
      </c>
      <c r="M19" s="307">
        <f t="shared" si="15"/>
        <v>1611842.5878514424</v>
      </c>
      <c r="N19" s="307">
        <f t="shared" si="1"/>
        <v>367647374.19074476</v>
      </c>
      <c r="O19" s="307">
        <f t="shared" si="15"/>
        <v>28285548.40647741</v>
      </c>
      <c r="P19" s="307">
        <f t="shared" si="15"/>
        <v>28755088.510024935</v>
      </c>
      <c r="T19" s="307"/>
      <c r="U19" s="307"/>
      <c r="V19" s="341"/>
      <c r="W19" s="307"/>
      <c r="X19" s="342"/>
      <c r="Y19" s="244"/>
      <c r="Z19" s="307"/>
      <c r="AA19" s="307"/>
      <c r="AB19" s="307"/>
      <c r="AC19" s="307"/>
      <c r="AD19" s="307"/>
      <c r="AE19" s="307"/>
      <c r="AF19" s="307"/>
      <c r="AG19" s="307"/>
      <c r="AH19" s="307"/>
      <c r="AI19" s="307"/>
      <c r="AJ19" s="307"/>
      <c r="AK19" s="307"/>
      <c r="AL19" s="307"/>
      <c r="AM19" s="307"/>
      <c r="AN19" s="307"/>
    </row>
    <row r="20" spans="1:40">
      <c r="A20" s="312">
        <f t="shared" si="5"/>
        <v>8</v>
      </c>
      <c r="C20" s="305" t="str">
        <f t="shared" si="2"/>
        <v>August</v>
      </c>
      <c r="D20" s="481">
        <v>2024</v>
      </c>
      <c r="E20" s="307">
        <f t="shared" ref="E20" si="16">E52+E83</f>
        <v>18685848.676239014</v>
      </c>
      <c r="F20" s="307">
        <f t="shared" ref="F20:P20" si="17">F52+F83</f>
        <v>2502534.6608333332</v>
      </c>
      <c r="G20" s="307">
        <f t="shared" si="17"/>
        <v>1213748.5511554261</v>
      </c>
      <c r="H20" s="307">
        <f t="shared" si="17"/>
        <v>1270621.1053248886</v>
      </c>
      <c r="I20" s="307">
        <f t="shared" si="17"/>
        <v>14612142.711236218</v>
      </c>
      <c r="J20" s="307">
        <f t="shared" si="17"/>
        <v>438364.28133708652</v>
      </c>
      <c r="K20" s="307">
        <f t="shared" si="17"/>
        <v>388326557.18200284</v>
      </c>
      <c r="L20" s="307">
        <f t="shared" si="17"/>
        <v>790320.60590813309</v>
      </c>
      <c r="M20" s="307">
        <f t="shared" si="17"/>
        <v>2402163.1937595755</v>
      </c>
      <c r="N20" s="307">
        <f t="shared" si="1"/>
        <v>385924393.98824328</v>
      </c>
      <c r="O20" s="307">
        <f t="shared" si="17"/>
        <v>29662980.060545612</v>
      </c>
      <c r="P20" s="307">
        <f t="shared" si="17"/>
        <v>30155385.529550672</v>
      </c>
      <c r="T20" s="307"/>
      <c r="U20" s="307"/>
      <c r="V20" s="341"/>
      <c r="W20" s="307"/>
      <c r="X20" s="342"/>
      <c r="Y20" s="244"/>
      <c r="Z20" s="307"/>
      <c r="AA20" s="307"/>
      <c r="AB20" s="307"/>
      <c r="AC20" s="307"/>
      <c r="AD20" s="307"/>
      <c r="AE20" s="307"/>
      <c r="AF20" s="307"/>
      <c r="AG20" s="307"/>
      <c r="AH20" s="307"/>
      <c r="AI20" s="307"/>
      <c r="AJ20" s="307"/>
      <c r="AK20" s="307"/>
      <c r="AL20" s="307"/>
      <c r="AM20" s="307"/>
      <c r="AN20" s="307"/>
    </row>
    <row r="21" spans="1:40">
      <c r="A21" s="312">
        <f t="shared" si="5"/>
        <v>9</v>
      </c>
      <c r="C21" s="305" t="str">
        <f t="shared" si="2"/>
        <v>September</v>
      </c>
      <c r="D21" s="481">
        <v>2024</v>
      </c>
      <c r="E21" s="307">
        <f t="shared" ref="E21" si="18">E53+E84</f>
        <v>16007958.120135009</v>
      </c>
      <c r="F21" s="307">
        <f t="shared" ref="F21:P21" si="19">F53+F84</f>
        <v>773969.6457293334</v>
      </c>
      <c r="G21" s="307">
        <f t="shared" si="19"/>
        <v>1142549.1355804256</v>
      </c>
      <c r="H21" s="307">
        <f t="shared" si="19"/>
        <v>1191556.2707988883</v>
      </c>
      <c r="I21" s="307">
        <f t="shared" si="19"/>
        <v>13702897.114187215</v>
      </c>
      <c r="J21" s="307">
        <f t="shared" si="19"/>
        <v>411086.9134256164</v>
      </c>
      <c r="K21" s="307">
        <f t="shared" si="19"/>
        <v>404696595.08034503</v>
      </c>
      <c r="L21" s="307">
        <f t="shared" si="19"/>
        <v>831130.18177232158</v>
      </c>
      <c r="M21" s="307">
        <f t="shared" si="19"/>
        <v>3233293.3755318969</v>
      </c>
      <c r="N21" s="307">
        <f t="shared" si="1"/>
        <v>401463301.70481312</v>
      </c>
      <c r="O21" s="307">
        <f t="shared" si="19"/>
        <v>30961340.884613812</v>
      </c>
      <c r="P21" s="307">
        <f t="shared" si="19"/>
        <v>31475299.143298402</v>
      </c>
      <c r="T21" s="307"/>
      <c r="U21" s="307"/>
      <c r="V21" s="341"/>
      <c r="W21" s="307"/>
      <c r="X21" s="342"/>
      <c r="Y21" s="244"/>
      <c r="Z21" s="307"/>
      <c r="AA21" s="307"/>
      <c r="AB21" s="307"/>
      <c r="AC21" s="307"/>
      <c r="AD21" s="307"/>
      <c r="AE21" s="307"/>
      <c r="AF21" s="307"/>
      <c r="AG21" s="307"/>
      <c r="AH21" s="307"/>
      <c r="AI21" s="307"/>
      <c r="AJ21" s="307"/>
      <c r="AK21" s="307"/>
      <c r="AL21" s="307"/>
      <c r="AM21" s="307"/>
      <c r="AN21" s="307"/>
    </row>
    <row r="22" spans="1:40">
      <c r="A22" s="312">
        <f t="shared" si="5"/>
        <v>10</v>
      </c>
      <c r="C22" s="305" t="str">
        <f t="shared" si="2"/>
        <v xml:space="preserve">October </v>
      </c>
      <c r="D22" s="481">
        <v>2024</v>
      </c>
      <c r="E22" s="307">
        <f t="shared" ref="E22" si="20">E54+E85</f>
        <v>30448705.141239047</v>
      </c>
      <c r="F22" s="307">
        <f t="shared" ref="F22:P22" si="21">F54+F85</f>
        <v>14116216.625833334</v>
      </c>
      <c r="G22" s="307">
        <f t="shared" si="21"/>
        <v>1224936.6386554283</v>
      </c>
      <c r="H22" s="307">
        <f t="shared" si="21"/>
        <v>1331868.1123248914</v>
      </c>
      <c r="I22" s="307">
        <f t="shared" si="21"/>
        <v>15316483.291736249</v>
      </c>
      <c r="J22" s="307">
        <f t="shared" si="21"/>
        <v>459494.49875208747</v>
      </c>
      <c r="K22" s="307">
        <f t="shared" si="21"/>
        <v>435497863.24666667</v>
      </c>
      <c r="L22" s="307">
        <f t="shared" si="21"/>
        <v>866166.75684666599</v>
      </c>
      <c r="M22" s="307">
        <f t="shared" si="21"/>
        <v>4099460.1323785633</v>
      </c>
      <c r="N22" s="307">
        <f t="shared" si="1"/>
        <v>431398403.11428809</v>
      </c>
      <c r="O22" s="307">
        <f t="shared" si="21"/>
        <v>34267677.873682015</v>
      </c>
      <c r="P22" s="307">
        <f t="shared" si="21"/>
        <v>34836521.32638514</v>
      </c>
      <c r="T22" s="307"/>
      <c r="U22" s="307"/>
      <c r="V22" s="341"/>
      <c r="W22" s="307"/>
      <c r="X22" s="342"/>
      <c r="Y22" s="244"/>
      <c r="Z22" s="307"/>
      <c r="AA22" s="307"/>
      <c r="AB22" s="307"/>
      <c r="AC22" s="307"/>
      <c r="AD22" s="307"/>
      <c r="AE22" s="307"/>
      <c r="AF22" s="307"/>
      <c r="AG22" s="307"/>
      <c r="AH22" s="307"/>
      <c r="AI22" s="307"/>
      <c r="AJ22" s="307"/>
      <c r="AK22" s="307"/>
      <c r="AL22" s="307"/>
      <c r="AM22" s="307"/>
      <c r="AN22" s="307"/>
    </row>
    <row r="23" spans="1:40">
      <c r="A23" s="312">
        <f t="shared" si="5"/>
        <v>11</v>
      </c>
      <c r="C23" s="305" t="str">
        <f t="shared" si="2"/>
        <v>November</v>
      </c>
      <c r="D23" s="481">
        <v>2024</v>
      </c>
      <c r="E23" s="307">
        <f t="shared" ref="E23" si="22">E55+E86</f>
        <v>15166943.752439022</v>
      </c>
      <c r="F23" s="307">
        <f t="shared" ref="F23:P23" si="23">F55+F86</f>
        <v>891467.7370333334</v>
      </c>
      <c r="G23" s="307">
        <f t="shared" si="23"/>
        <v>1070660.7011554264</v>
      </c>
      <c r="H23" s="307">
        <f t="shared" si="23"/>
        <v>1136819.0373248891</v>
      </c>
      <c r="I23" s="307">
        <f t="shared" si="23"/>
        <v>13073418.929236226</v>
      </c>
      <c r="J23" s="307">
        <f t="shared" si="23"/>
        <v>392202.56787708675</v>
      </c>
      <c r="K23" s="307">
        <f t="shared" si="23"/>
        <v>450990851.23081326</v>
      </c>
      <c r="L23" s="307">
        <f t="shared" si="23"/>
        <v>932090.30272945412</v>
      </c>
      <c r="M23" s="307">
        <f t="shared" si="23"/>
        <v>5031550.4351080172</v>
      </c>
      <c r="N23" s="307">
        <f t="shared" si="1"/>
        <v>445959300.7957052</v>
      </c>
      <c r="O23" s="307">
        <f t="shared" si="23"/>
        <v>35790688.363950215</v>
      </c>
      <c r="P23" s="307">
        <f t="shared" si="23"/>
        <v>36384813.790791787</v>
      </c>
      <c r="T23" s="307"/>
      <c r="U23" s="307"/>
      <c r="V23" s="341"/>
      <c r="W23" s="307"/>
      <c r="X23" s="342"/>
      <c r="Y23" s="244"/>
      <c r="Z23" s="307"/>
      <c r="AA23" s="307"/>
      <c r="AB23" s="307"/>
      <c r="AC23" s="307"/>
      <c r="AD23" s="307"/>
      <c r="AE23" s="307"/>
      <c r="AF23" s="307"/>
      <c r="AG23" s="307"/>
      <c r="AH23" s="307"/>
      <c r="AI23" s="307"/>
      <c r="AJ23" s="307"/>
      <c r="AK23" s="307"/>
      <c r="AL23" s="307"/>
      <c r="AM23" s="307"/>
      <c r="AN23" s="307"/>
    </row>
    <row r="24" spans="1:40">
      <c r="A24" s="312">
        <f t="shared" si="5"/>
        <v>12</v>
      </c>
      <c r="C24" s="305" t="str">
        <f t="shared" si="2"/>
        <v>December</v>
      </c>
      <c r="D24" s="481">
        <v>2024</v>
      </c>
      <c r="E24" s="307">
        <f t="shared" ref="E24" si="24">E56+E87</f>
        <v>68547369.332239062</v>
      </c>
      <c r="F24" s="307">
        <f t="shared" ref="F24:P24" si="25">F56+F87</f>
        <v>48882855.316833332</v>
      </c>
      <c r="G24" s="307">
        <f t="shared" si="25"/>
        <v>1474838.5511554293</v>
      </c>
      <c r="H24" s="307">
        <f t="shared" si="25"/>
        <v>1421872.8313248935</v>
      </c>
      <c r="I24" s="307">
        <f t="shared" si="25"/>
        <v>16351537.560236275</v>
      </c>
      <c r="J24" s="307">
        <f t="shared" si="25"/>
        <v>490546.12680708827</v>
      </c>
      <c r="K24" s="307">
        <f t="shared" si="25"/>
        <v>520081732.40969002</v>
      </c>
      <c r="L24" s="307">
        <f t="shared" si="25"/>
        <v>965249.73950066895</v>
      </c>
      <c r="M24" s="307">
        <f t="shared" si="25"/>
        <v>5996800.174608686</v>
      </c>
      <c r="N24" s="307">
        <f t="shared" si="1"/>
        <v>514084932.23508132</v>
      </c>
      <c r="O24" s="307">
        <f t="shared" si="25"/>
        <v>37580203.978018411</v>
      </c>
      <c r="P24" s="307">
        <f t="shared" si="25"/>
        <v>38204035.364053518</v>
      </c>
      <c r="T24" s="307"/>
      <c r="U24" s="307"/>
      <c r="V24" s="341"/>
      <c r="W24" s="307"/>
      <c r="X24" s="342"/>
      <c r="Y24" s="244"/>
      <c r="Z24" s="307"/>
      <c r="AA24" s="307"/>
      <c r="AB24" s="307"/>
      <c r="AC24" s="307"/>
      <c r="AD24" s="307"/>
      <c r="AE24" s="307"/>
      <c r="AF24" s="307"/>
      <c r="AG24" s="307"/>
      <c r="AH24" s="307"/>
      <c r="AI24" s="307"/>
      <c r="AJ24" s="307"/>
      <c r="AK24" s="307"/>
      <c r="AL24" s="307"/>
      <c r="AM24" s="307"/>
      <c r="AN24" s="307"/>
    </row>
    <row r="25" spans="1:40">
      <c r="A25" s="312">
        <f t="shared" si="5"/>
        <v>13</v>
      </c>
      <c r="C25" s="305" t="str">
        <f t="shared" si="2"/>
        <v>January</v>
      </c>
      <c r="D25" s="481">
        <v>2025</v>
      </c>
      <c r="E25" s="307">
        <f t="shared" ref="E25" si="26">E57+E88</f>
        <v>16953087.400546253</v>
      </c>
      <c r="F25" s="307">
        <f t="shared" ref="F25:P25" si="27">F57+F88</f>
        <v>116389.45</v>
      </c>
      <c r="G25" s="307">
        <f t="shared" si="27"/>
        <v>1262752.3462909688</v>
      </c>
      <c r="H25" s="307">
        <f t="shared" si="27"/>
        <v>1409421.9177469779</v>
      </c>
      <c r="I25" s="307">
        <f t="shared" si="27"/>
        <v>16208352.054090245</v>
      </c>
      <c r="J25" s="307">
        <f t="shared" si="27"/>
        <v>486250.56162270735</v>
      </c>
      <c r="K25" s="307">
        <f t="shared" si="27"/>
        <v>537374400.80040288</v>
      </c>
      <c r="L25" s="307">
        <f t="shared" si="27"/>
        <v>1113124.0364576401</v>
      </c>
      <c r="M25" s="307">
        <f t="shared" si="27"/>
        <v>7109924.2110663261</v>
      </c>
      <c r="N25" s="307">
        <f t="shared" si="1"/>
        <v>530264476.58933657</v>
      </c>
      <c r="O25" s="307">
        <f t="shared" si="27"/>
        <v>38387739.235211283</v>
      </c>
      <c r="P25" s="307">
        <f t="shared" si="27"/>
        <v>39024975.706515789</v>
      </c>
      <c r="T25" s="307"/>
      <c r="U25" s="307"/>
      <c r="V25" s="341"/>
      <c r="W25" s="307"/>
      <c r="X25" s="342"/>
      <c r="Y25" s="244"/>
      <c r="Z25" s="307"/>
      <c r="AA25" s="307"/>
      <c r="AB25" s="307"/>
      <c r="AC25" s="307"/>
      <c r="AD25" s="307"/>
      <c r="AE25" s="307"/>
      <c r="AF25" s="307"/>
      <c r="AG25" s="307"/>
      <c r="AH25" s="307"/>
      <c r="AI25" s="307"/>
      <c r="AJ25" s="307"/>
      <c r="AK25" s="307"/>
      <c r="AL25" s="307"/>
      <c r="AM25" s="307"/>
      <c r="AN25" s="307"/>
    </row>
    <row r="26" spans="1:40">
      <c r="A26" s="312">
        <f t="shared" si="5"/>
        <v>14</v>
      </c>
      <c r="C26" s="305" t="str">
        <f t="shared" si="2"/>
        <v>February</v>
      </c>
      <c r="D26" s="481">
        <v>2025</v>
      </c>
      <c r="E26" s="307">
        <f t="shared" ref="E26" si="28">E58+E89</f>
        <v>89188743.650550365</v>
      </c>
      <c r="F26" s="307">
        <f t="shared" ref="F26:P26" si="29">F58+F89</f>
        <v>36444308.320603997</v>
      </c>
      <c r="G26" s="307">
        <f t="shared" si="29"/>
        <v>3955832.6497459775</v>
      </c>
      <c r="H26" s="307">
        <f t="shared" si="29"/>
        <v>2056293.5683753875</v>
      </c>
      <c r="I26" s="307">
        <f t="shared" si="29"/>
        <v>23647376.036316957</v>
      </c>
      <c r="J26" s="307">
        <f t="shared" si="29"/>
        <v>709421.28108950867</v>
      </c>
      <c r="K26" s="307">
        <f t="shared" si="29"/>
        <v>629172104.81341338</v>
      </c>
      <c r="L26" s="307">
        <f t="shared" si="29"/>
        <v>1150135.3053422596</v>
      </c>
      <c r="M26" s="307">
        <f t="shared" si="29"/>
        <v>8260059.5164085859</v>
      </c>
      <c r="N26" s="307">
        <f t="shared" si="1"/>
        <v>620912045.29700482</v>
      </c>
      <c r="O26" s="307">
        <f t="shared" si="29"/>
        <v>39195274.492404148</v>
      </c>
      <c r="P26" s="307">
        <f t="shared" si="29"/>
        <v>39845916.048978053</v>
      </c>
      <c r="T26" s="307"/>
      <c r="U26" s="307"/>
      <c r="V26" s="341"/>
      <c r="W26" s="307"/>
      <c r="X26" s="342"/>
      <c r="Y26" s="244"/>
      <c r="Z26" s="307"/>
      <c r="AA26" s="307"/>
      <c r="AB26" s="307"/>
      <c r="AC26" s="307"/>
      <c r="AD26" s="307"/>
      <c r="AE26" s="307"/>
      <c r="AF26" s="307"/>
      <c r="AG26" s="307"/>
      <c r="AH26" s="307"/>
      <c r="AI26" s="307"/>
      <c r="AJ26" s="307"/>
      <c r="AK26" s="307"/>
      <c r="AL26" s="307"/>
      <c r="AM26" s="307"/>
      <c r="AN26" s="307"/>
    </row>
    <row r="27" spans="1:40">
      <c r="A27" s="312">
        <f t="shared" si="5"/>
        <v>15</v>
      </c>
      <c r="C27" s="305" t="str">
        <f t="shared" si="2"/>
        <v>March</v>
      </c>
      <c r="D27" s="481">
        <v>2025</v>
      </c>
      <c r="E27" s="307">
        <f t="shared" ref="E27" si="30">E59+E90</f>
        <v>30109260.35054636</v>
      </c>
      <c r="F27" s="307">
        <f t="shared" ref="F27:P27" si="31">F59+F90</f>
        <v>1747014.4</v>
      </c>
      <c r="G27" s="307">
        <f t="shared" si="31"/>
        <v>2127168.4462909773</v>
      </c>
      <c r="H27" s="307">
        <f t="shared" si="31"/>
        <v>2306279.2817469873</v>
      </c>
      <c r="I27" s="307">
        <f t="shared" si="31"/>
        <v>26522211.740090352</v>
      </c>
      <c r="J27" s="307">
        <f t="shared" si="31"/>
        <v>795666.35220271046</v>
      </c>
      <c r="K27" s="307">
        <f t="shared" si="31"/>
        <v>659897920.6807065</v>
      </c>
      <c r="L27" s="307">
        <f t="shared" si="31"/>
        <v>1346608.7141564204</v>
      </c>
      <c r="M27" s="307">
        <f t="shared" si="31"/>
        <v>9606668.2305650059</v>
      </c>
      <c r="N27" s="307">
        <f t="shared" si="1"/>
        <v>650291252.45014143</v>
      </c>
      <c r="O27" s="307">
        <f t="shared" si="31"/>
        <v>40002809.749597013</v>
      </c>
      <c r="P27" s="307">
        <f t="shared" si="31"/>
        <v>40666856.391440324</v>
      </c>
      <c r="T27" s="307"/>
      <c r="U27" s="307"/>
      <c r="V27" s="341"/>
      <c r="W27" s="307"/>
      <c r="X27" s="342"/>
      <c r="Y27" s="244"/>
      <c r="Z27" s="307"/>
      <c r="AA27" s="307"/>
      <c r="AB27" s="307"/>
      <c r="AC27" s="307"/>
      <c r="AD27" s="307"/>
      <c r="AE27" s="307"/>
      <c r="AF27" s="307"/>
      <c r="AG27" s="307"/>
      <c r="AH27" s="307"/>
      <c r="AI27" s="307"/>
      <c r="AJ27" s="307"/>
      <c r="AK27" s="307"/>
      <c r="AL27" s="307"/>
      <c r="AM27" s="307"/>
      <c r="AN27" s="307"/>
    </row>
    <row r="28" spans="1:40">
      <c r="A28" s="312">
        <f t="shared" si="5"/>
        <v>16</v>
      </c>
      <c r="C28" s="305" t="str">
        <f t="shared" si="2"/>
        <v>April</v>
      </c>
      <c r="D28" s="481">
        <v>2025</v>
      </c>
      <c r="E28" s="307">
        <f t="shared" ref="E28" si="32">E60+E91</f>
        <v>23301189.710546367</v>
      </c>
      <c r="F28" s="307">
        <f t="shared" ref="F28:P28" si="33">F60+F91</f>
        <v>5182610.7600000007</v>
      </c>
      <c r="G28" s="307">
        <f t="shared" si="33"/>
        <v>1358893.4212909774</v>
      </c>
      <c r="H28" s="307">
        <f t="shared" si="33"/>
        <v>1441628.2297469876</v>
      </c>
      <c r="I28" s="307">
        <f t="shared" si="33"/>
        <v>16578724.642090356</v>
      </c>
      <c r="J28" s="307">
        <f t="shared" si="33"/>
        <v>497361.73926271067</v>
      </c>
      <c r="K28" s="307">
        <f t="shared" si="33"/>
        <v>683613737.32205951</v>
      </c>
      <c r="L28" s="307">
        <f t="shared" si="33"/>
        <v>1412370.7704839697</v>
      </c>
      <c r="M28" s="307">
        <f t="shared" si="33"/>
        <v>11019039.001048975</v>
      </c>
      <c r="N28" s="307">
        <f t="shared" si="1"/>
        <v>672594698.32101059</v>
      </c>
      <c r="O28" s="307">
        <f t="shared" si="33"/>
        <v>40810345.006789878</v>
      </c>
      <c r="P28" s="307">
        <f t="shared" si="33"/>
        <v>41487796.733902596</v>
      </c>
      <c r="T28" s="307"/>
      <c r="U28" s="307"/>
      <c r="V28" s="341"/>
      <c r="W28" s="307"/>
      <c r="X28" s="342"/>
      <c r="Y28" s="244"/>
      <c r="Z28" s="307"/>
      <c r="AA28" s="307"/>
      <c r="AB28" s="307"/>
      <c r="AC28" s="307"/>
      <c r="AD28" s="307"/>
      <c r="AE28" s="307"/>
      <c r="AF28" s="307"/>
      <c r="AG28" s="307"/>
      <c r="AH28" s="307"/>
      <c r="AI28" s="307"/>
      <c r="AJ28" s="307"/>
      <c r="AK28" s="307"/>
      <c r="AL28" s="307"/>
      <c r="AM28" s="307"/>
      <c r="AN28" s="307"/>
    </row>
    <row r="29" spans="1:40">
      <c r="A29" s="312">
        <f t="shared" si="5"/>
        <v>17</v>
      </c>
      <c r="C29" s="305" t="str">
        <f t="shared" si="2"/>
        <v>May</v>
      </c>
      <c r="D29" s="481">
        <v>2025</v>
      </c>
      <c r="E29" s="307">
        <f t="shared" ref="E29" si="34">E61+E92</f>
        <v>29725000.030546308</v>
      </c>
      <c r="F29" s="307">
        <f t="shared" ref="F29:P29" si="35">F61+F92</f>
        <v>-544758.92000000016</v>
      </c>
      <c r="G29" s="307">
        <f t="shared" si="35"/>
        <v>2270231.9212909732</v>
      </c>
      <c r="H29" s="307">
        <f t="shared" si="35"/>
        <v>2486629.7097469824</v>
      </c>
      <c r="I29" s="307">
        <f t="shared" si="35"/>
        <v>28596241.662090298</v>
      </c>
      <c r="J29" s="307">
        <f t="shared" si="35"/>
        <v>857887.24986270885</v>
      </c>
      <c r="K29" s="307">
        <f t="shared" si="35"/>
        <v>713980226.81401253</v>
      </c>
      <c r="L29" s="307">
        <f t="shared" si="35"/>
        <v>1463129.418409171</v>
      </c>
      <c r="M29" s="307">
        <f t="shared" si="35"/>
        <v>12482168.419458147</v>
      </c>
      <c r="N29" s="307">
        <f t="shared" si="1"/>
        <v>701498058.39455438</v>
      </c>
      <c r="O29" s="307">
        <f t="shared" si="35"/>
        <v>41617880.26398275</v>
      </c>
      <c r="P29" s="307">
        <f t="shared" si="35"/>
        <v>42308737.076364867</v>
      </c>
      <c r="T29" s="307"/>
      <c r="U29" s="307"/>
      <c r="V29" s="341"/>
      <c r="W29" s="307"/>
      <c r="X29" s="342"/>
      <c r="Y29" s="244"/>
      <c r="Z29" s="307"/>
      <c r="AA29" s="307"/>
      <c r="AB29" s="307"/>
      <c r="AC29" s="307"/>
      <c r="AD29" s="307"/>
      <c r="AE29" s="307"/>
      <c r="AF29" s="307"/>
      <c r="AG29" s="307"/>
      <c r="AH29" s="307"/>
      <c r="AI29" s="307"/>
      <c r="AJ29" s="307"/>
      <c r="AK29" s="307"/>
      <c r="AL29" s="307"/>
      <c r="AM29" s="307"/>
      <c r="AN29" s="307"/>
    </row>
    <row r="30" spans="1:40">
      <c r="A30" s="312">
        <f t="shared" si="5"/>
        <v>18</v>
      </c>
      <c r="C30" s="305" t="str">
        <f t="shared" ref="C30:C33" si="36">C62</f>
        <v xml:space="preserve">June </v>
      </c>
      <c r="D30" s="481">
        <v>2025</v>
      </c>
      <c r="E30" s="307">
        <f t="shared" ref="E30" si="37">E62+E93</f>
        <v>22423106.040546358</v>
      </c>
      <c r="F30" s="307">
        <f t="shared" ref="F30:P30" si="38">F62+F93</f>
        <v>-774833.90999999992</v>
      </c>
      <c r="G30" s="307">
        <f t="shared" si="38"/>
        <v>1739845.4962909769</v>
      </c>
      <c r="H30" s="307">
        <f t="shared" si="38"/>
        <v>1878367.275746987</v>
      </c>
      <c r="I30" s="307">
        <f t="shared" si="38"/>
        <v>21601223.67109035</v>
      </c>
      <c r="J30" s="307">
        <f t="shared" si="38"/>
        <v>648036.71013271052</v>
      </c>
      <c r="K30" s="307">
        <f t="shared" si="38"/>
        <v>736912847.78523564</v>
      </c>
      <c r="L30" s="307">
        <f t="shared" si="38"/>
        <v>1528122.4132596501</v>
      </c>
      <c r="M30" s="307">
        <f t="shared" si="38"/>
        <v>14010290.832717797</v>
      </c>
      <c r="N30" s="307">
        <f t="shared" si="1"/>
        <v>722902556.95251775</v>
      </c>
      <c r="O30" s="307">
        <f t="shared" si="38"/>
        <v>42425415.521175615</v>
      </c>
      <c r="P30" s="307">
        <f t="shared" si="38"/>
        <v>43129677.418827131</v>
      </c>
      <c r="T30" s="307"/>
      <c r="U30" s="307"/>
      <c r="V30" s="341"/>
      <c r="W30" s="307"/>
      <c r="X30" s="342"/>
      <c r="Y30" s="244"/>
      <c r="Z30" s="307"/>
      <c r="AA30" s="307"/>
      <c r="AB30" s="307"/>
      <c r="AC30" s="307"/>
      <c r="AD30" s="307"/>
      <c r="AE30" s="307"/>
      <c r="AF30" s="307"/>
      <c r="AG30" s="307"/>
      <c r="AH30" s="307"/>
      <c r="AI30" s="307"/>
      <c r="AJ30" s="307"/>
      <c r="AK30" s="307"/>
      <c r="AL30" s="307"/>
      <c r="AM30" s="307"/>
      <c r="AN30" s="307"/>
    </row>
    <row r="31" spans="1:40">
      <c r="A31" s="312">
        <f t="shared" si="5"/>
        <v>19</v>
      </c>
      <c r="C31" s="305" t="str">
        <f t="shared" si="36"/>
        <v>July</v>
      </c>
      <c r="D31" s="481">
        <v>2025</v>
      </c>
      <c r="E31" s="307">
        <f t="shared" ref="E31" si="39">E63+E94</f>
        <v>34516036.34054631</v>
      </c>
      <c r="F31" s="307">
        <f t="shared" ref="F31:P31" si="40">F63+F94</f>
        <v>104110.39</v>
      </c>
      <c r="G31" s="307">
        <f t="shared" si="40"/>
        <v>2580894.4462909731</v>
      </c>
      <c r="H31" s="307">
        <f t="shared" si="40"/>
        <v>2543175.9997469825</v>
      </c>
      <c r="I31" s="307">
        <f t="shared" si="40"/>
        <v>29246523.997090299</v>
      </c>
      <c r="J31" s="307">
        <f t="shared" si="40"/>
        <v>877395.71991270897</v>
      </c>
      <c r="K31" s="307">
        <f t="shared" si="40"/>
        <v>772343998.29223847</v>
      </c>
      <c r="L31" s="307">
        <f t="shared" si="40"/>
        <v>1577204.7978759441</v>
      </c>
      <c r="M31" s="307">
        <f t="shared" si="40"/>
        <v>15587495.630593741</v>
      </c>
      <c r="N31" s="307">
        <f t="shared" si="1"/>
        <v>756756502.66164482</v>
      </c>
      <c r="O31" s="307">
        <f t="shared" si="40"/>
        <v>43232950.778368481</v>
      </c>
      <c r="P31" s="307">
        <f t="shared" si="40"/>
        <v>43950617.761289395</v>
      </c>
      <c r="T31" s="307"/>
      <c r="U31" s="307"/>
      <c r="V31" s="341"/>
      <c r="W31" s="307"/>
      <c r="X31" s="342"/>
      <c r="Y31" s="244"/>
      <c r="Z31" s="307"/>
      <c r="AA31" s="307"/>
      <c r="AB31" s="307"/>
      <c r="AC31" s="307"/>
      <c r="AD31" s="307"/>
      <c r="AE31" s="307"/>
      <c r="AF31" s="307"/>
      <c r="AG31" s="307"/>
      <c r="AH31" s="307"/>
      <c r="AI31" s="307"/>
      <c r="AJ31" s="307"/>
      <c r="AK31" s="307"/>
      <c r="AL31" s="307"/>
      <c r="AM31" s="307"/>
      <c r="AN31" s="307"/>
    </row>
    <row r="32" spans="1:40">
      <c r="A32" s="312">
        <f t="shared" si="5"/>
        <v>20</v>
      </c>
      <c r="C32" s="305" t="str">
        <f t="shared" si="36"/>
        <v>August</v>
      </c>
      <c r="D32" s="481">
        <v>2025</v>
      </c>
      <c r="E32" s="307">
        <f t="shared" ref="E32" si="41">E64+E95</f>
        <v>31686935.200546384</v>
      </c>
      <c r="F32" s="307">
        <f t="shared" ref="F32:P32" si="42">F64+F95</f>
        <v>910941.25</v>
      </c>
      <c r="G32" s="307">
        <f t="shared" si="42"/>
        <v>2308199.5462909788</v>
      </c>
      <c r="H32" s="307">
        <f t="shared" si="42"/>
        <v>2608201.3737469893</v>
      </c>
      <c r="I32" s="307">
        <f t="shared" si="42"/>
        <v>29994315.798090376</v>
      </c>
      <c r="J32" s="307">
        <f t="shared" si="42"/>
        <v>899829.47394271125</v>
      </c>
      <c r="K32" s="307">
        <f t="shared" si="42"/>
        <v>804630761.13927162</v>
      </c>
      <c r="L32" s="307">
        <f t="shared" si="42"/>
        <v>1653037.6195479524</v>
      </c>
      <c r="M32" s="307">
        <f t="shared" si="42"/>
        <v>17240533.250141695</v>
      </c>
      <c r="N32" s="307">
        <f t="shared" si="1"/>
        <v>787390227.88912988</v>
      </c>
      <c r="O32" s="307">
        <f t="shared" si="42"/>
        <v>44040486.035561346</v>
      </c>
      <c r="P32" s="307">
        <f t="shared" si="42"/>
        <v>44771558.103751667</v>
      </c>
      <c r="T32" s="307"/>
      <c r="U32" s="307"/>
      <c r="V32" s="341"/>
      <c r="W32" s="307"/>
      <c r="X32" s="342"/>
      <c r="Y32" s="244"/>
      <c r="Z32" s="307"/>
      <c r="AA32" s="307"/>
      <c r="AB32" s="307"/>
      <c r="AC32" s="307"/>
      <c r="AD32" s="307"/>
      <c r="AE32" s="307"/>
      <c r="AF32" s="307"/>
      <c r="AG32" s="307"/>
      <c r="AH32" s="307"/>
      <c r="AI32" s="307"/>
      <c r="AJ32" s="307"/>
      <c r="AK32" s="307"/>
      <c r="AL32" s="307"/>
      <c r="AM32" s="307"/>
      <c r="AN32" s="307"/>
    </row>
    <row r="33" spans="1:40">
      <c r="A33" s="312">
        <f t="shared" si="5"/>
        <v>21</v>
      </c>
      <c r="C33" s="305" t="str">
        <f t="shared" si="36"/>
        <v>September</v>
      </c>
      <c r="D33" s="481">
        <v>2025</v>
      </c>
      <c r="E33" s="307">
        <f t="shared" ref="E33" si="43">E65+E96</f>
        <v>16062551.950546324</v>
      </c>
      <c r="F33" s="307">
        <f t="shared" ref="F33:P33" si="44">F65+F96</f>
        <v>0</v>
      </c>
      <c r="G33" s="307">
        <f t="shared" si="44"/>
        <v>1204691.3962909742</v>
      </c>
      <c r="H33" s="307">
        <f t="shared" si="44"/>
        <v>1345339.3617469838</v>
      </c>
      <c r="I33" s="307">
        <f t="shared" si="44"/>
        <v>15471402.660090314</v>
      </c>
      <c r="J33" s="307">
        <f t="shared" si="44"/>
        <v>464142.0798027094</v>
      </c>
      <c r="K33" s="307">
        <f t="shared" si="44"/>
        <v>821016807.20416462</v>
      </c>
      <c r="L33" s="307">
        <f t="shared" si="44"/>
        <v>1722140.5500006787</v>
      </c>
      <c r="M33" s="307">
        <f t="shared" si="44"/>
        <v>18962673.80014237</v>
      </c>
      <c r="N33" s="307">
        <f t="shared" si="1"/>
        <v>802054133.40402222</v>
      </c>
      <c r="O33" s="307">
        <f t="shared" si="44"/>
        <v>44848021.292754218</v>
      </c>
      <c r="P33" s="307">
        <f t="shared" si="44"/>
        <v>45592498.446213938</v>
      </c>
      <c r="T33" s="307"/>
      <c r="U33" s="307"/>
      <c r="V33" s="341"/>
      <c r="W33" s="307"/>
      <c r="X33" s="342"/>
      <c r="Y33" s="244"/>
      <c r="Z33" s="307"/>
      <c r="AA33" s="307"/>
      <c r="AB33" s="307"/>
      <c r="AC33" s="307"/>
      <c r="AD33" s="307"/>
      <c r="AE33" s="307"/>
      <c r="AF33" s="307"/>
      <c r="AG33" s="307"/>
      <c r="AH33" s="307"/>
      <c r="AI33" s="307"/>
      <c r="AJ33" s="307"/>
      <c r="AK33" s="307"/>
      <c r="AL33" s="307"/>
      <c r="AM33" s="307"/>
      <c r="AN33" s="307"/>
    </row>
    <row r="34" spans="1:40">
      <c r="A34" s="312">
        <f t="shared" si="5"/>
        <v>22</v>
      </c>
      <c r="C34" s="305" t="str">
        <f t="shared" ref="C34" si="45">C66</f>
        <v>October</v>
      </c>
      <c r="D34" s="481">
        <v>2025</v>
      </c>
      <c r="E34" s="307">
        <f t="shared" ref="E34" si="46">E66+E97</f>
        <v>16611110.950546384</v>
      </c>
      <c r="F34" s="307">
        <f t="shared" ref="F34:P34" si="47">F66+F97</f>
        <v>0</v>
      </c>
      <c r="G34" s="307">
        <f t="shared" si="47"/>
        <v>1245833.3212909787</v>
      </c>
      <c r="H34" s="307">
        <f t="shared" si="47"/>
        <v>1392515.435746989</v>
      </c>
      <c r="I34" s="307">
        <f t="shared" si="47"/>
        <v>16013927.511090374</v>
      </c>
      <c r="J34" s="307">
        <f t="shared" si="47"/>
        <v>480417.82533271122</v>
      </c>
      <c r="K34" s="307">
        <f t="shared" si="47"/>
        <v>837961653.86558771</v>
      </c>
      <c r="L34" s="307">
        <f t="shared" si="47"/>
        <v>1757211.3871416501</v>
      </c>
      <c r="M34" s="307">
        <f t="shared" si="47"/>
        <v>20719885.187284023</v>
      </c>
      <c r="N34" s="307">
        <f t="shared" si="1"/>
        <v>817241768.67830372</v>
      </c>
      <c r="O34" s="307">
        <f t="shared" si="47"/>
        <v>45655556.549947083</v>
      </c>
      <c r="P34" s="307">
        <f t="shared" si="47"/>
        <v>46413438.78867621</v>
      </c>
      <c r="T34" s="307"/>
      <c r="U34" s="307"/>
      <c r="V34" s="341"/>
      <c r="W34" s="307"/>
      <c r="X34" s="342"/>
      <c r="Y34" s="244"/>
      <c r="Z34" s="307"/>
      <c r="AA34" s="307"/>
      <c r="AB34" s="307"/>
      <c r="AC34" s="307"/>
      <c r="AD34" s="307"/>
      <c r="AE34" s="307"/>
      <c r="AF34" s="307"/>
      <c r="AG34" s="307"/>
      <c r="AH34" s="307"/>
      <c r="AI34" s="307"/>
      <c r="AJ34" s="307"/>
      <c r="AK34" s="307"/>
      <c r="AL34" s="307"/>
      <c r="AM34" s="307"/>
      <c r="AN34" s="307"/>
    </row>
    <row r="35" spans="1:40">
      <c r="A35" s="312">
        <f t="shared" si="5"/>
        <v>23</v>
      </c>
      <c r="C35" s="305" t="str">
        <f t="shared" ref="C35" si="48">C67</f>
        <v>November</v>
      </c>
      <c r="D35" s="481">
        <v>2025</v>
      </c>
      <c r="E35" s="307">
        <f t="shared" ref="E35" si="49">E67+E98</f>
        <v>18062551.950546324</v>
      </c>
      <c r="F35" s="307">
        <f t="shared" ref="F35:P35" si="50">F67+F98</f>
        <v>0</v>
      </c>
      <c r="G35" s="307">
        <f t="shared" si="50"/>
        <v>1354691.3962909742</v>
      </c>
      <c r="H35" s="307">
        <f t="shared" si="50"/>
        <v>1345339.3617469838</v>
      </c>
      <c r="I35" s="307">
        <f t="shared" si="50"/>
        <v>15471402.660090314</v>
      </c>
      <c r="J35" s="307">
        <f t="shared" si="50"/>
        <v>464142.0798027094</v>
      </c>
      <c r="K35" s="307">
        <f t="shared" si="50"/>
        <v>856497699.93048072</v>
      </c>
      <c r="L35" s="307">
        <f t="shared" si="50"/>
        <v>1793478.2177906081</v>
      </c>
      <c r="M35" s="307">
        <f t="shared" si="50"/>
        <v>22513363.40507463</v>
      </c>
      <c r="N35" s="307">
        <f t="shared" si="1"/>
        <v>833984336.525406</v>
      </c>
      <c r="O35" s="307">
        <f t="shared" si="50"/>
        <v>46463091.807139948</v>
      </c>
      <c r="P35" s="307">
        <f t="shared" si="50"/>
        <v>47234379.131138474</v>
      </c>
      <c r="T35" s="307"/>
      <c r="U35" s="307"/>
      <c r="V35" s="341"/>
      <c r="W35" s="307"/>
      <c r="X35" s="342"/>
      <c r="Y35" s="244"/>
      <c r="Z35" s="307"/>
      <c r="AA35" s="307"/>
      <c r="AB35" s="307"/>
      <c r="AC35" s="307"/>
      <c r="AD35" s="307"/>
      <c r="AE35" s="307"/>
      <c r="AF35" s="307"/>
      <c r="AG35" s="307"/>
      <c r="AH35" s="307"/>
      <c r="AI35" s="307"/>
      <c r="AJ35" s="307"/>
      <c r="AK35" s="307"/>
      <c r="AL35" s="307"/>
      <c r="AM35" s="307"/>
      <c r="AN35" s="307"/>
    </row>
    <row r="36" spans="1:40">
      <c r="A36" s="312">
        <f t="shared" si="5"/>
        <v>24</v>
      </c>
      <c r="C36" s="305" t="str">
        <f t="shared" ref="C36" si="51">C68</f>
        <v>December</v>
      </c>
      <c r="D36" s="481">
        <v>2025</v>
      </c>
      <c r="E36" s="307">
        <f t="shared" ref="E36" si="52">E68+E99</f>
        <v>107321549.01054633</v>
      </c>
      <c r="F36" s="307">
        <f t="shared" ref="F36:P36" si="53">F68+F99</f>
        <v>2911814.06</v>
      </c>
      <c r="G36" s="307">
        <f t="shared" si="53"/>
        <v>7830730.1212909743</v>
      </c>
      <c r="H36" s="307">
        <f t="shared" si="53"/>
        <v>8307670.5157469846</v>
      </c>
      <c r="I36" s="307">
        <f t="shared" si="53"/>
        <v>95538210.931090325</v>
      </c>
      <c r="J36" s="307">
        <f t="shared" si="53"/>
        <v>2866146.3279327098</v>
      </c>
      <c r="K36" s="343">
        <f t="shared" si="53"/>
        <v>966208454.87450361</v>
      </c>
      <c r="L36" s="307">
        <f t="shared" si="53"/>
        <v>1833150.6714261551</v>
      </c>
      <c r="M36" s="307">
        <f t="shared" si="53"/>
        <v>24346514.076500785</v>
      </c>
      <c r="N36" s="343">
        <f t="shared" si="1"/>
        <v>941861940.79800284</v>
      </c>
      <c r="O36" s="307">
        <f t="shared" si="53"/>
        <v>63410506.624332815</v>
      </c>
      <c r="P36" s="343">
        <f t="shared" si="53"/>
        <v>64463121.034296736</v>
      </c>
      <c r="T36" s="307"/>
      <c r="U36" s="307"/>
      <c r="V36" s="341"/>
      <c r="W36" s="307"/>
      <c r="X36" s="342"/>
      <c r="Y36" s="244"/>
      <c r="Z36" s="307"/>
      <c r="AA36" s="307"/>
      <c r="AB36" s="307"/>
      <c r="AC36" s="307"/>
      <c r="AD36" s="307"/>
      <c r="AE36" s="307"/>
      <c r="AF36" s="307"/>
      <c r="AG36" s="307"/>
      <c r="AH36" s="307"/>
      <c r="AI36" s="307"/>
      <c r="AJ36" s="307"/>
      <c r="AK36" s="307"/>
      <c r="AL36" s="307"/>
      <c r="AM36" s="307"/>
      <c r="AN36" s="307"/>
    </row>
    <row r="37" spans="1:40" s="309" customFormat="1">
      <c r="A37" s="312">
        <f t="shared" si="5"/>
        <v>25</v>
      </c>
      <c r="D37" s="314" t="s">
        <v>990</v>
      </c>
      <c r="K37" s="357">
        <f>AVERAGE(K24:K36)</f>
        <v>733822488.1485976</v>
      </c>
      <c r="M37" s="357"/>
      <c r="N37" s="357">
        <f>AVERAGE(N24:N36)</f>
        <v>719372071.55355048</v>
      </c>
      <c r="O37" s="357"/>
      <c r="P37" s="357">
        <f>AVERAGE(P24:P36)</f>
        <v>44391816.00041914</v>
      </c>
      <c r="Q37" s="358"/>
    </row>
    <row r="38" spans="1:40">
      <c r="A38" s="312"/>
      <c r="T38" s="307"/>
      <c r="U38" s="307"/>
      <c r="Z38" s="307"/>
    </row>
    <row r="39" spans="1:40">
      <c r="A39" s="312"/>
      <c r="B39" s="309" t="s">
        <v>1312</v>
      </c>
      <c r="G39" s="312"/>
      <c r="K39" s="244"/>
      <c r="M39" s="244"/>
      <c r="N39" s="244"/>
      <c r="O39" s="244"/>
      <c r="P39" s="244"/>
    </row>
    <row r="40" spans="1:40">
      <c r="A40" s="312"/>
      <c r="B40" s="309"/>
      <c r="E40" s="330" t="s">
        <v>329</v>
      </c>
      <c r="F40" s="330" t="s">
        <v>330</v>
      </c>
      <c r="G40" s="330" t="s">
        <v>331</v>
      </c>
      <c r="H40" s="330" t="s">
        <v>332</v>
      </c>
      <c r="I40" s="330" t="s">
        <v>333</v>
      </c>
      <c r="J40" s="330" t="s">
        <v>334</v>
      </c>
      <c r="K40" s="359" t="s">
        <v>335</v>
      </c>
      <c r="L40" s="330" t="s">
        <v>336</v>
      </c>
      <c r="M40" s="359" t="s">
        <v>337</v>
      </c>
      <c r="N40" s="359" t="s">
        <v>582</v>
      </c>
      <c r="O40" s="359" t="s">
        <v>583</v>
      </c>
      <c r="P40" s="359" t="s">
        <v>584</v>
      </c>
    </row>
    <row r="41" spans="1:40" ht="25.5">
      <c r="A41" s="312"/>
      <c r="B41" s="309"/>
      <c r="E41" s="626" t="s">
        <v>1313</v>
      </c>
      <c r="F41" s="626" t="s">
        <v>1314</v>
      </c>
      <c r="G41" s="626" t="s">
        <v>1315</v>
      </c>
      <c r="H41" s="627" t="s">
        <v>438</v>
      </c>
      <c r="I41" s="627" t="s">
        <v>438</v>
      </c>
      <c r="J41" s="339" t="s">
        <v>438</v>
      </c>
      <c r="K41" s="624" t="s">
        <v>1316</v>
      </c>
      <c r="L41" s="624" t="s">
        <v>1317</v>
      </c>
      <c r="M41" s="625" t="s">
        <v>1318</v>
      </c>
      <c r="N41" s="628" t="s">
        <v>1319</v>
      </c>
      <c r="O41" s="628"/>
      <c r="P41" s="625" t="s">
        <v>1320</v>
      </c>
    </row>
    <row r="42" spans="1:40">
      <c r="A42" s="312"/>
      <c r="C42" s="312" t="str">
        <f>C10</f>
        <v>Forecast</v>
      </c>
      <c r="E42" s="312" t="str">
        <f>E10</f>
        <v>Unloaded</v>
      </c>
      <c r="F42" s="312"/>
      <c r="G42" s="312"/>
      <c r="I42" s="312" t="str">
        <f>I10</f>
        <v>AFUDC</v>
      </c>
      <c r="J42" s="312"/>
      <c r="K42" s="312"/>
      <c r="L42" s="312"/>
      <c r="M42" s="312"/>
      <c r="N42" s="312"/>
      <c r="O42" s="312" t="str">
        <f t="shared" ref="O42:P44" si="54">O10</f>
        <v>Unloaded</v>
      </c>
      <c r="P42" s="312" t="str">
        <f t="shared" si="54"/>
        <v>Loaded</v>
      </c>
    </row>
    <row r="43" spans="1:40">
      <c r="A43" s="312"/>
      <c r="B43" s="309"/>
      <c r="C43" s="312" t="str">
        <f>C11</f>
        <v>Period</v>
      </c>
      <c r="E43" s="312" t="str">
        <f>E11</f>
        <v>Total</v>
      </c>
      <c r="F43" s="312" t="str">
        <f t="shared" ref="F43:H44" si="55">F11</f>
        <v>Prior Period</v>
      </c>
      <c r="G43" s="312" t="str">
        <f t="shared" si="55"/>
        <v>Over Heads</v>
      </c>
      <c r="H43" s="312" t="str">
        <f t="shared" si="55"/>
        <v xml:space="preserve">Cost of </v>
      </c>
      <c r="I43" s="312" t="str">
        <f>I11</f>
        <v>Eligible Plant</v>
      </c>
      <c r="J43" s="312"/>
      <c r="K43" s="312" t="str">
        <f>K11</f>
        <v>Incremental</v>
      </c>
      <c r="L43" s="312" t="str">
        <f>L11</f>
        <v>Depreciation</v>
      </c>
      <c r="M43" s="312"/>
      <c r="N43" s="312"/>
      <c r="O43" s="312" t="str">
        <f t="shared" si="54"/>
        <v>Low Voltage</v>
      </c>
      <c r="P43" s="312" t="str">
        <f t="shared" si="54"/>
        <v>Low Voltage</v>
      </c>
    </row>
    <row r="44" spans="1:40">
      <c r="A44" s="340" t="s">
        <v>266</v>
      </c>
      <c r="C44" s="330" t="str">
        <f t="shared" ref="C44:D44" si="56">C12</f>
        <v>Month</v>
      </c>
      <c r="D44" s="330" t="str">
        <f t="shared" si="56"/>
        <v>Year</v>
      </c>
      <c r="E44" s="330" t="str">
        <f>E12</f>
        <v>Plant Adds</v>
      </c>
      <c r="F44" s="330" t="str">
        <f t="shared" si="55"/>
        <v>CWIP Closed</v>
      </c>
      <c r="G44" s="330" t="str">
        <f t="shared" si="55"/>
        <v>Closed to PIS</v>
      </c>
      <c r="H44" s="330" t="str">
        <f t="shared" si="55"/>
        <v>Removal</v>
      </c>
      <c r="I44" s="330" t="str">
        <f>I12</f>
        <v>Additions</v>
      </c>
      <c r="J44" s="330" t="str">
        <f>J12</f>
        <v>AFUDC</v>
      </c>
      <c r="K44" s="330" t="str">
        <f>K12</f>
        <v>Gross Plant</v>
      </c>
      <c r="L44" s="330" t="str">
        <f>L12</f>
        <v>Accrual</v>
      </c>
      <c r="M44" s="330" t="str">
        <f>M12</f>
        <v>Reserve</v>
      </c>
      <c r="N44" s="330" t="str">
        <f>N12</f>
        <v>Net Plant</v>
      </c>
      <c r="O44" s="330" t="str">
        <f t="shared" si="54"/>
        <v>Additions</v>
      </c>
      <c r="P44" s="330" t="str">
        <f t="shared" si="54"/>
        <v>Additions</v>
      </c>
      <c r="T44" s="330"/>
      <c r="U44" s="330"/>
      <c r="V44" s="330"/>
      <c r="W44" s="330"/>
      <c r="X44" s="330"/>
      <c r="Y44" s="330"/>
    </row>
    <row r="45" spans="1:40">
      <c r="A45" s="312">
        <f>A37+1</f>
        <v>26</v>
      </c>
      <c r="C45" s="331" t="s">
        <v>374</v>
      </c>
      <c r="D45" s="481">
        <v>2024</v>
      </c>
      <c r="E45" s="346">
        <f>'10-CWIP'!G55</f>
        <v>774648.04260000004</v>
      </c>
      <c r="F45" s="346">
        <f>'10-CWIP'!H55</f>
        <v>0</v>
      </c>
      <c r="G45" s="346">
        <f>'10-CWIP'!I55</f>
        <v>58098.603195000003</v>
      </c>
      <c r="H45" s="360">
        <v>0</v>
      </c>
      <c r="I45" s="307">
        <v>0</v>
      </c>
      <c r="J45" s="361">
        <v>0</v>
      </c>
      <c r="K45" s="307">
        <f>0+E45+G45</f>
        <v>832746.64579500002</v>
      </c>
      <c r="L45" s="307">
        <v>0</v>
      </c>
      <c r="M45" s="307">
        <f>L45- H45</f>
        <v>0</v>
      </c>
      <c r="N45" s="307">
        <f>K45-M45</f>
        <v>832746.64579500002</v>
      </c>
      <c r="O45" s="362">
        <v>0</v>
      </c>
      <c r="P45" s="361">
        <f t="shared" ref="P45:P68" si="57">O45*(1-$E$107)*(1+$E$103+$E$111)</f>
        <v>0</v>
      </c>
      <c r="S45" s="307"/>
      <c r="T45" s="345"/>
      <c r="U45" s="342"/>
      <c r="V45" s="244"/>
      <c r="W45" s="345"/>
      <c r="X45" s="342"/>
      <c r="Y45" s="244"/>
    </row>
    <row r="46" spans="1:40">
      <c r="A46" s="312">
        <f t="shared" ref="A46:A99" si="58">A45+1</f>
        <v>27</v>
      </c>
      <c r="C46" s="331" t="s">
        <v>375</v>
      </c>
      <c r="D46" s="481">
        <v>2024</v>
      </c>
      <c r="E46" s="346">
        <f>'10-CWIP'!G56</f>
        <v>619400</v>
      </c>
      <c r="F46" s="346">
        <f>'10-CWIP'!H56</f>
        <v>0</v>
      </c>
      <c r="G46" s="346">
        <f>'10-CWIP'!I56</f>
        <v>46455</v>
      </c>
      <c r="H46" s="360">
        <v>0</v>
      </c>
      <c r="I46" s="307">
        <v>0</v>
      </c>
      <c r="J46" s="361">
        <v>0</v>
      </c>
      <c r="K46" s="307">
        <f>K45+E46+G46</f>
        <v>1498601.645795</v>
      </c>
      <c r="L46" s="307">
        <f t="shared" ref="L46:L68" si="59">K45*$E$133/12</f>
        <v>1782.3166051594633</v>
      </c>
      <c r="M46" s="307">
        <f>(M45+L46)-H46</f>
        <v>1782.3166051594633</v>
      </c>
      <c r="N46" s="307">
        <f t="shared" ref="N46:N68" si="60">K46-M46</f>
        <v>1496819.3291898405</v>
      </c>
      <c r="O46" s="362">
        <v>0</v>
      </c>
      <c r="P46" s="361">
        <f t="shared" si="57"/>
        <v>0</v>
      </c>
      <c r="S46" s="307"/>
      <c r="T46" s="345"/>
      <c r="U46" s="342"/>
      <c r="V46" s="244"/>
      <c r="W46" s="345"/>
      <c r="X46" s="342"/>
      <c r="Y46" s="244"/>
    </row>
    <row r="47" spans="1:40">
      <c r="A47" s="312">
        <f t="shared" si="58"/>
        <v>28</v>
      </c>
      <c r="C47" s="331" t="s">
        <v>376</v>
      </c>
      <c r="D47" s="481">
        <v>2024</v>
      </c>
      <c r="E47" s="346">
        <f>'10-CWIP'!G57</f>
        <v>619400</v>
      </c>
      <c r="F47" s="346">
        <f>'10-CWIP'!H57</f>
        <v>0</v>
      </c>
      <c r="G47" s="346">
        <f>'10-CWIP'!I57</f>
        <v>46455</v>
      </c>
      <c r="H47" s="360">
        <v>0</v>
      </c>
      <c r="I47" s="307">
        <v>0</v>
      </c>
      <c r="J47" s="361">
        <v>0</v>
      </c>
      <c r="K47" s="307">
        <f t="shared" ref="K47:K68" si="61">K46+E47+G47</f>
        <v>2164456.6457949998</v>
      </c>
      <c r="L47" s="307">
        <f t="shared" si="59"/>
        <v>3207.4372335295525</v>
      </c>
      <c r="M47" s="307">
        <f>(M46+L47)-H47</f>
        <v>4989.7538386890155</v>
      </c>
      <c r="N47" s="307">
        <f t="shared" si="60"/>
        <v>2159466.8919563107</v>
      </c>
      <c r="O47" s="362">
        <v>0</v>
      </c>
      <c r="P47" s="361">
        <f t="shared" si="57"/>
        <v>0</v>
      </c>
      <c r="S47" s="307"/>
      <c r="T47" s="345"/>
      <c r="U47" s="342"/>
      <c r="V47" s="244"/>
      <c r="W47" s="345"/>
      <c r="X47" s="342"/>
      <c r="Y47" s="244"/>
    </row>
    <row r="48" spans="1:40">
      <c r="A48" s="312">
        <f t="shared" si="58"/>
        <v>29</v>
      </c>
      <c r="C48" s="331" t="s">
        <v>377</v>
      </c>
      <c r="D48" s="481">
        <v>2024</v>
      </c>
      <c r="E48" s="346">
        <f>'10-CWIP'!G58</f>
        <v>34592755.620000005</v>
      </c>
      <c r="F48" s="346">
        <f>'10-CWIP'!H58</f>
        <v>33332539.620000005</v>
      </c>
      <c r="G48" s="346">
        <f>'10-CWIP'!I58</f>
        <v>94516.2</v>
      </c>
      <c r="H48" s="360">
        <v>0</v>
      </c>
      <c r="I48" s="307">
        <v>0</v>
      </c>
      <c r="J48" s="361">
        <v>0</v>
      </c>
      <c r="K48" s="307">
        <f t="shared" si="61"/>
        <v>36851728.46579501</v>
      </c>
      <c r="L48" s="307">
        <f t="shared" si="59"/>
        <v>4632.5578618996415</v>
      </c>
      <c r="M48" s="307">
        <f t="shared" ref="M48:M67" si="62">(M47+L48)-H48</f>
        <v>9622.3117005886561</v>
      </c>
      <c r="N48" s="307">
        <f t="shared" si="60"/>
        <v>36842106.15409442</v>
      </c>
      <c r="O48" s="362">
        <v>0</v>
      </c>
      <c r="P48" s="361">
        <f t="shared" si="57"/>
        <v>0</v>
      </c>
      <c r="S48" s="307"/>
      <c r="T48" s="345"/>
      <c r="U48" s="342"/>
      <c r="V48" s="244"/>
      <c r="W48" s="345"/>
      <c r="X48" s="342"/>
      <c r="Y48" s="244"/>
    </row>
    <row r="49" spans="1:25">
      <c r="A49" s="312">
        <f t="shared" si="58"/>
        <v>30</v>
      </c>
      <c r="C49" s="331" t="s">
        <v>378</v>
      </c>
      <c r="D49" s="481">
        <v>2024</v>
      </c>
      <c r="E49" s="346">
        <f>'10-CWIP'!G59</f>
        <v>79995402.479999989</v>
      </c>
      <c r="F49" s="346">
        <f>'10-CWIP'!H59</f>
        <v>77501603.479999989</v>
      </c>
      <c r="G49" s="346">
        <f>'10-CWIP'!I59</f>
        <v>187034.92499999999</v>
      </c>
      <c r="H49" s="360">
        <v>0</v>
      </c>
      <c r="I49" s="307">
        <v>0</v>
      </c>
      <c r="J49" s="361">
        <v>0</v>
      </c>
      <c r="K49" s="307">
        <f t="shared" si="61"/>
        <v>117034165.870795</v>
      </c>
      <c r="L49" s="307">
        <f t="shared" si="59"/>
        <v>78873.265842710025</v>
      </c>
      <c r="M49" s="307">
        <f t="shared" si="62"/>
        <v>88495.577543298685</v>
      </c>
      <c r="N49" s="307">
        <f t="shared" si="60"/>
        <v>116945670.29325169</v>
      </c>
      <c r="O49" s="362">
        <v>0</v>
      </c>
      <c r="P49" s="361">
        <f t="shared" si="57"/>
        <v>0</v>
      </c>
      <c r="S49" s="307"/>
      <c r="T49" s="345"/>
      <c r="U49" s="342"/>
      <c r="V49" s="244"/>
      <c r="W49" s="345"/>
      <c r="X49" s="342"/>
      <c r="Y49" s="244"/>
    </row>
    <row r="50" spans="1:25">
      <c r="A50" s="312">
        <f t="shared" si="58"/>
        <v>31</v>
      </c>
      <c r="C50" s="331" t="s">
        <v>379</v>
      </c>
      <c r="D50" s="481">
        <v>2024</v>
      </c>
      <c r="E50" s="346">
        <f>'10-CWIP'!G60</f>
        <v>16868222.390000001</v>
      </c>
      <c r="F50" s="346">
        <f>'10-CWIP'!H60</f>
        <v>15317327.390000001</v>
      </c>
      <c r="G50" s="346">
        <f>'10-CWIP'!I60</f>
        <v>116317.125</v>
      </c>
      <c r="H50" s="360">
        <v>0</v>
      </c>
      <c r="I50" s="307">
        <v>0</v>
      </c>
      <c r="J50" s="361">
        <v>0</v>
      </c>
      <c r="K50" s="307">
        <f t="shared" si="61"/>
        <v>134018705.385795</v>
      </c>
      <c r="L50" s="307">
        <f t="shared" si="59"/>
        <v>250486.6735348636</v>
      </c>
      <c r="M50" s="307">
        <f t="shared" si="62"/>
        <v>338982.25107816228</v>
      </c>
      <c r="N50" s="307">
        <f t="shared" si="60"/>
        <v>133679723.13471684</v>
      </c>
      <c r="O50" s="362">
        <v>0</v>
      </c>
      <c r="P50" s="361">
        <f t="shared" si="57"/>
        <v>0</v>
      </c>
      <c r="S50" s="307"/>
      <c r="T50" s="345"/>
      <c r="U50" s="342"/>
      <c r="V50" s="244"/>
      <c r="W50" s="345"/>
      <c r="X50" s="342"/>
      <c r="Y50" s="244"/>
    </row>
    <row r="51" spans="1:25">
      <c r="A51" s="312">
        <f t="shared" si="58"/>
        <v>32</v>
      </c>
      <c r="C51" s="331" t="s">
        <v>380</v>
      </c>
      <c r="D51" s="481">
        <v>2024</v>
      </c>
      <c r="E51" s="346">
        <f>'10-CWIP'!G61</f>
        <v>38093059.869999997</v>
      </c>
      <c r="F51" s="346">
        <f>'10-CWIP'!H61</f>
        <v>35518621.869999997</v>
      </c>
      <c r="G51" s="346">
        <f>'10-CWIP'!I61</f>
        <v>193082.85</v>
      </c>
      <c r="H51" s="360">
        <v>0</v>
      </c>
      <c r="I51" s="307">
        <v>0</v>
      </c>
      <c r="J51" s="361">
        <v>0</v>
      </c>
      <c r="K51" s="307">
        <f t="shared" si="61"/>
        <v>172304848.105795</v>
      </c>
      <c r="L51" s="307">
        <f t="shared" si="59"/>
        <v>286838.45827207126</v>
      </c>
      <c r="M51" s="307">
        <f t="shared" si="62"/>
        <v>625820.70935023355</v>
      </c>
      <c r="N51" s="307">
        <f t="shared" si="60"/>
        <v>171679027.39644477</v>
      </c>
      <c r="O51" s="362">
        <v>0</v>
      </c>
      <c r="P51" s="361">
        <f t="shared" si="57"/>
        <v>0</v>
      </c>
      <c r="S51" s="307"/>
      <c r="T51" s="345"/>
      <c r="U51" s="342"/>
      <c r="V51" s="244"/>
      <c r="W51" s="345"/>
      <c r="X51" s="342"/>
      <c r="Y51" s="244"/>
    </row>
    <row r="52" spans="1:25">
      <c r="A52" s="312">
        <f t="shared" si="58"/>
        <v>33</v>
      </c>
      <c r="C52" s="331" t="s">
        <v>381</v>
      </c>
      <c r="D52" s="481">
        <v>2024</v>
      </c>
      <c r="E52" s="346">
        <f>'10-CWIP'!G62</f>
        <v>1408650</v>
      </c>
      <c r="F52" s="346">
        <f>'10-CWIP'!H62</f>
        <v>0</v>
      </c>
      <c r="G52" s="346">
        <f>'10-CWIP'!I62</f>
        <v>105648.75</v>
      </c>
      <c r="H52" s="360">
        <v>0</v>
      </c>
      <c r="I52" s="307">
        <v>0</v>
      </c>
      <c r="J52" s="361">
        <v>0</v>
      </c>
      <c r="K52" s="307">
        <f t="shared" si="61"/>
        <v>173819146.855795</v>
      </c>
      <c r="L52" s="307">
        <f t="shared" si="59"/>
        <v>368781.78192510881</v>
      </c>
      <c r="M52" s="307">
        <f t="shared" si="62"/>
        <v>994602.49127534241</v>
      </c>
      <c r="N52" s="307">
        <f t="shared" si="60"/>
        <v>172824544.36451966</v>
      </c>
      <c r="O52" s="362">
        <v>0</v>
      </c>
      <c r="P52" s="361">
        <f t="shared" si="57"/>
        <v>0</v>
      </c>
      <c r="S52" s="307"/>
      <c r="T52" s="345"/>
      <c r="U52" s="342"/>
      <c r="V52" s="244"/>
      <c r="W52" s="345"/>
      <c r="X52" s="342"/>
      <c r="Y52" s="244"/>
    </row>
    <row r="53" spans="1:25">
      <c r="A53" s="312">
        <f t="shared" si="58"/>
        <v>34</v>
      </c>
      <c r="C53" s="331" t="s">
        <v>382</v>
      </c>
      <c r="D53" s="481">
        <v>2024</v>
      </c>
      <c r="E53" s="346">
        <f>'10-CWIP'!G63</f>
        <v>1378683</v>
      </c>
      <c r="F53" s="346">
        <f>'10-CWIP'!H63</f>
        <v>0</v>
      </c>
      <c r="G53" s="346">
        <f>'10-CWIP'!I63</f>
        <v>103401.22500000001</v>
      </c>
      <c r="H53" s="360">
        <v>0</v>
      </c>
      <c r="I53" s="307">
        <v>0</v>
      </c>
      <c r="J53" s="361">
        <v>0</v>
      </c>
      <c r="K53" s="307">
        <f t="shared" si="61"/>
        <v>175301231.08079499</v>
      </c>
      <c r="L53" s="307">
        <f t="shared" si="59"/>
        <v>372022.81546265079</v>
      </c>
      <c r="M53" s="307">
        <f t="shared" si="62"/>
        <v>1366625.3067379931</v>
      </c>
      <c r="N53" s="307">
        <f t="shared" si="60"/>
        <v>173934605.774057</v>
      </c>
      <c r="O53" s="362">
        <v>0</v>
      </c>
      <c r="P53" s="361">
        <f t="shared" si="57"/>
        <v>0</v>
      </c>
      <c r="S53" s="307"/>
      <c r="T53" s="345"/>
      <c r="U53" s="342"/>
      <c r="V53" s="244"/>
      <c r="W53" s="345"/>
      <c r="X53" s="342"/>
      <c r="Y53" s="244"/>
    </row>
    <row r="54" spans="1:25">
      <c r="A54" s="312">
        <f t="shared" si="58"/>
        <v>35</v>
      </c>
      <c r="C54" s="331" t="s">
        <v>963</v>
      </c>
      <c r="D54" s="481">
        <v>2024</v>
      </c>
      <c r="E54" s="346">
        <f>'10-CWIP'!G64</f>
        <v>845650</v>
      </c>
      <c r="F54" s="346">
        <f>'10-CWIP'!H64</f>
        <v>0</v>
      </c>
      <c r="G54" s="346">
        <f>'10-CWIP'!I64</f>
        <v>63423.75</v>
      </c>
      <c r="H54" s="360">
        <v>0</v>
      </c>
      <c r="I54" s="307">
        <v>0</v>
      </c>
      <c r="J54" s="361">
        <v>0</v>
      </c>
      <c r="K54" s="307">
        <f t="shared" si="61"/>
        <v>176210304.83079499</v>
      </c>
      <c r="L54" s="307">
        <f t="shared" si="59"/>
        <v>375194.90067944635</v>
      </c>
      <c r="M54" s="307">
        <f t="shared" si="62"/>
        <v>1741820.2074174394</v>
      </c>
      <c r="N54" s="307">
        <f t="shared" si="60"/>
        <v>174468484.62337756</v>
      </c>
      <c r="O54" s="362">
        <v>0</v>
      </c>
      <c r="P54" s="361">
        <f t="shared" si="57"/>
        <v>0</v>
      </c>
      <c r="S54" s="307"/>
      <c r="T54" s="345"/>
      <c r="U54" s="342"/>
      <c r="V54" s="244"/>
      <c r="W54" s="345"/>
      <c r="X54" s="342"/>
      <c r="Y54" s="244"/>
    </row>
    <row r="55" spans="1:25">
      <c r="A55" s="312">
        <f t="shared" si="58"/>
        <v>36</v>
      </c>
      <c r="C55" s="331" t="s">
        <v>384</v>
      </c>
      <c r="D55" s="481">
        <v>2024</v>
      </c>
      <c r="E55" s="346">
        <f>'10-CWIP'!G65</f>
        <v>1056650</v>
      </c>
      <c r="F55" s="346">
        <f>'10-CWIP'!H65</f>
        <v>0</v>
      </c>
      <c r="G55" s="346">
        <f>'10-CWIP'!I65</f>
        <v>79248.75</v>
      </c>
      <c r="H55" s="360">
        <v>0</v>
      </c>
      <c r="I55" s="307">
        <v>0</v>
      </c>
      <c r="J55" s="361">
        <v>0</v>
      </c>
      <c r="K55" s="307">
        <f t="shared" si="61"/>
        <v>177346203.58079499</v>
      </c>
      <c r="L55" s="307">
        <f t="shared" si="59"/>
        <v>377140.57917376532</v>
      </c>
      <c r="M55" s="307">
        <f t="shared" si="62"/>
        <v>2118960.7865912048</v>
      </c>
      <c r="N55" s="307">
        <f t="shared" si="60"/>
        <v>175227242.79420379</v>
      </c>
      <c r="O55" s="362">
        <v>0</v>
      </c>
      <c r="P55" s="361">
        <f>O55*(1-$E$107)*(1+$E$103+$E$111)</f>
        <v>0</v>
      </c>
      <c r="S55" s="307"/>
      <c r="T55" s="345"/>
      <c r="U55" s="342"/>
      <c r="V55" s="244"/>
      <c r="W55" s="345"/>
      <c r="X55" s="342"/>
      <c r="Y55" s="244"/>
    </row>
    <row r="56" spans="1:25">
      <c r="A56" s="312">
        <f t="shared" si="58"/>
        <v>37</v>
      </c>
      <c r="C56" s="331" t="s">
        <v>372</v>
      </c>
      <c r="D56" s="481">
        <v>2024</v>
      </c>
      <c r="E56" s="346">
        <f>'10-CWIP'!G66</f>
        <v>47705419.979999982</v>
      </c>
      <c r="F56" s="346">
        <f>'10-CWIP'!H66</f>
        <v>44574310.979999997</v>
      </c>
      <c r="G56" s="346">
        <f>'10-CWIP'!I66</f>
        <v>234833.17499999888</v>
      </c>
      <c r="H56" s="360">
        <v>0</v>
      </c>
      <c r="I56" s="307">
        <v>0</v>
      </c>
      <c r="J56" s="361">
        <v>0</v>
      </c>
      <c r="K56" s="307">
        <f t="shared" si="61"/>
        <v>225286456.73579499</v>
      </c>
      <c r="L56" s="307">
        <f t="shared" si="59"/>
        <v>379571.72820826201</v>
      </c>
      <c r="M56" s="307">
        <f t="shared" si="62"/>
        <v>2498532.5147994668</v>
      </c>
      <c r="N56" s="307">
        <f t="shared" si="60"/>
        <v>222787924.22099552</v>
      </c>
      <c r="O56" s="362">
        <v>0</v>
      </c>
      <c r="P56" s="361">
        <f t="shared" si="57"/>
        <v>0</v>
      </c>
      <c r="S56" s="307"/>
      <c r="T56" s="345"/>
      <c r="U56" s="342"/>
      <c r="V56" s="244"/>
      <c r="W56" s="345"/>
      <c r="X56" s="342"/>
      <c r="Y56" s="244"/>
    </row>
    <row r="57" spans="1:25">
      <c r="A57" s="312">
        <f t="shared" si="58"/>
        <v>38</v>
      </c>
      <c r="C57" s="331" t="s">
        <v>374</v>
      </c>
      <c r="D57" s="481">
        <v>2025</v>
      </c>
      <c r="E57" s="346">
        <f>'10-CWIP'!G67</f>
        <v>448071</v>
      </c>
      <c r="F57" s="346">
        <f>'10-CWIP'!H67</f>
        <v>0</v>
      </c>
      <c r="G57" s="346">
        <f>'10-CWIP'!I67</f>
        <v>33605.324999999997</v>
      </c>
      <c r="H57" s="360">
        <v>0</v>
      </c>
      <c r="I57" s="307">
        <v>0</v>
      </c>
      <c r="J57" s="361">
        <v>0</v>
      </c>
      <c r="K57" s="307">
        <f t="shared" si="61"/>
        <v>225768133.06079498</v>
      </c>
      <c r="L57" s="307">
        <f t="shared" si="59"/>
        <v>482177.61642788147</v>
      </c>
      <c r="M57" s="307">
        <f t="shared" si="62"/>
        <v>2980710.1312273485</v>
      </c>
      <c r="N57" s="307">
        <f t="shared" si="60"/>
        <v>222787422.92956764</v>
      </c>
      <c r="O57" s="362">
        <v>0</v>
      </c>
      <c r="P57" s="361">
        <f t="shared" si="57"/>
        <v>0</v>
      </c>
      <c r="S57" s="307"/>
      <c r="T57" s="345"/>
      <c r="U57" s="342"/>
      <c r="V57" s="244"/>
      <c r="W57" s="345"/>
      <c r="X57" s="342"/>
      <c r="Y57" s="244"/>
    </row>
    <row r="58" spans="1:25">
      <c r="A58" s="312">
        <f t="shared" si="58"/>
        <v>39</v>
      </c>
      <c r="C58" s="331" t="s">
        <v>375</v>
      </c>
      <c r="D58" s="481">
        <v>2025</v>
      </c>
      <c r="E58" s="346">
        <f>'10-CWIP'!G68</f>
        <v>64894938.750000007</v>
      </c>
      <c r="F58" s="346">
        <f>'10-CWIP'!H68</f>
        <v>36060893.75</v>
      </c>
      <c r="G58" s="346">
        <f>'10-CWIP'!I68</f>
        <v>2162553.3750000005</v>
      </c>
      <c r="H58" s="360">
        <v>0</v>
      </c>
      <c r="I58" s="307">
        <v>0</v>
      </c>
      <c r="J58" s="361">
        <v>0</v>
      </c>
      <c r="K58" s="307">
        <f t="shared" si="61"/>
        <v>292825625.18579501</v>
      </c>
      <c r="L58" s="307">
        <f t="shared" si="59"/>
        <v>483208.54188005201</v>
      </c>
      <c r="M58" s="307">
        <f t="shared" si="62"/>
        <v>3463918.6731074005</v>
      </c>
      <c r="N58" s="307">
        <f t="shared" si="60"/>
        <v>289361706.51268762</v>
      </c>
      <c r="O58" s="362">
        <v>0</v>
      </c>
      <c r="P58" s="361">
        <f t="shared" si="57"/>
        <v>0</v>
      </c>
      <c r="S58" s="307"/>
      <c r="T58" s="345"/>
      <c r="U58" s="342"/>
      <c r="V58" s="244"/>
      <c r="W58" s="345"/>
      <c r="X58" s="342"/>
      <c r="Y58" s="244"/>
    </row>
    <row r="59" spans="1:25">
      <c r="A59" s="312">
        <f t="shared" si="58"/>
        <v>40</v>
      </c>
      <c r="C59" s="331" t="s">
        <v>376</v>
      </c>
      <c r="D59" s="481">
        <v>2025</v>
      </c>
      <c r="E59" s="346">
        <f>'10-CWIP'!G69</f>
        <v>1545045</v>
      </c>
      <c r="F59" s="346">
        <f>'10-CWIP'!H69</f>
        <v>0</v>
      </c>
      <c r="G59" s="346">
        <f>'10-CWIP'!I69</f>
        <v>115878.375</v>
      </c>
      <c r="H59" s="360">
        <v>0</v>
      </c>
      <c r="I59" s="307">
        <v>0</v>
      </c>
      <c r="J59" s="361">
        <v>0</v>
      </c>
      <c r="K59" s="307">
        <f t="shared" si="61"/>
        <v>294486548.56079501</v>
      </c>
      <c r="L59" s="307">
        <f t="shared" si="59"/>
        <v>626730.80320436787</v>
      </c>
      <c r="M59" s="307">
        <f t="shared" si="62"/>
        <v>4090649.4763117684</v>
      </c>
      <c r="N59" s="307">
        <f t="shared" si="60"/>
        <v>290395899.08448327</v>
      </c>
      <c r="O59" s="362">
        <v>0</v>
      </c>
      <c r="P59" s="361">
        <f t="shared" si="57"/>
        <v>0</v>
      </c>
      <c r="S59" s="307"/>
      <c r="T59" s="345"/>
      <c r="U59" s="342"/>
      <c r="V59" s="244"/>
      <c r="W59" s="345"/>
      <c r="X59" s="342"/>
      <c r="Y59" s="244"/>
    </row>
    <row r="60" spans="1:25">
      <c r="A60" s="312">
        <f t="shared" si="58"/>
        <v>41</v>
      </c>
      <c r="C60" s="331" t="s">
        <v>377</v>
      </c>
      <c r="D60" s="481">
        <v>2025</v>
      </c>
      <c r="E60" s="346">
        <f>'10-CWIP'!G70</f>
        <v>1969463.7400000002</v>
      </c>
      <c r="F60" s="346">
        <f>'10-CWIP'!H70</f>
        <v>614003.74</v>
      </c>
      <c r="G60" s="346">
        <f>'10-CWIP'!I70</f>
        <v>101659.50000000001</v>
      </c>
      <c r="H60" s="360">
        <v>0</v>
      </c>
      <c r="I60" s="307">
        <v>0</v>
      </c>
      <c r="J60" s="361">
        <v>0</v>
      </c>
      <c r="K60" s="307">
        <f t="shared" si="61"/>
        <v>296557671.80079502</v>
      </c>
      <c r="L60" s="307">
        <f t="shared" si="59"/>
        <v>630285.6554827987</v>
      </c>
      <c r="M60" s="307">
        <f t="shared" si="62"/>
        <v>4720935.1317945672</v>
      </c>
      <c r="N60" s="307">
        <f t="shared" si="60"/>
        <v>291836736.66900045</v>
      </c>
      <c r="O60" s="362">
        <v>0</v>
      </c>
      <c r="P60" s="361">
        <f t="shared" si="57"/>
        <v>0</v>
      </c>
      <c r="S60" s="307"/>
      <c r="T60" s="345"/>
      <c r="U60" s="342"/>
      <c r="V60" s="244"/>
      <c r="W60" s="345"/>
      <c r="X60" s="342"/>
      <c r="Y60" s="244"/>
    </row>
    <row r="61" spans="1:25">
      <c r="A61" s="312">
        <f t="shared" si="58"/>
        <v>42</v>
      </c>
      <c r="C61" s="331" t="s">
        <v>378</v>
      </c>
      <c r="D61" s="481">
        <v>2025</v>
      </c>
      <c r="E61" s="346">
        <f>'10-CWIP'!G71</f>
        <v>1355460.0000000002</v>
      </c>
      <c r="F61" s="346">
        <f>'10-CWIP'!H71</f>
        <v>0</v>
      </c>
      <c r="G61" s="346">
        <f>'10-CWIP'!I71</f>
        <v>101659.50000000001</v>
      </c>
      <c r="H61" s="360">
        <v>0</v>
      </c>
      <c r="I61" s="307">
        <v>0</v>
      </c>
      <c r="J61" s="361">
        <v>0</v>
      </c>
      <c r="K61" s="307">
        <f t="shared" si="61"/>
        <v>298014791.30079502</v>
      </c>
      <c r="L61" s="307">
        <f t="shared" si="59"/>
        <v>634718.45309372107</v>
      </c>
      <c r="M61" s="307">
        <f t="shared" si="62"/>
        <v>5355653.5848882888</v>
      </c>
      <c r="N61" s="307">
        <f t="shared" si="60"/>
        <v>292659137.71590674</v>
      </c>
      <c r="O61" s="362">
        <v>0</v>
      </c>
      <c r="P61" s="361">
        <f t="shared" si="57"/>
        <v>0</v>
      </c>
      <c r="S61" s="307"/>
      <c r="T61" s="345"/>
      <c r="U61" s="342"/>
      <c r="V61" s="244"/>
      <c r="W61" s="345"/>
      <c r="X61" s="342"/>
      <c r="Y61" s="244"/>
    </row>
    <row r="62" spans="1:25">
      <c r="A62" s="312">
        <f t="shared" si="58"/>
        <v>43</v>
      </c>
      <c r="C62" s="331" t="s">
        <v>379</v>
      </c>
      <c r="D62" s="481">
        <v>2025</v>
      </c>
      <c r="E62" s="346">
        <f>'10-CWIP'!G72</f>
        <v>1356460.0000000002</v>
      </c>
      <c r="F62" s="346">
        <f>'10-CWIP'!H72</f>
        <v>0</v>
      </c>
      <c r="G62" s="346">
        <f>'10-CWIP'!I72</f>
        <v>101734.50000000001</v>
      </c>
      <c r="H62" s="360">
        <v>0</v>
      </c>
      <c r="I62" s="307">
        <v>0</v>
      </c>
      <c r="J62" s="361">
        <v>0</v>
      </c>
      <c r="K62" s="307">
        <f t="shared" si="61"/>
        <v>299472985.80079502</v>
      </c>
      <c r="L62" s="307">
        <f t="shared" si="59"/>
        <v>637837.10664058977</v>
      </c>
      <c r="M62" s="307">
        <f t="shared" si="62"/>
        <v>5993490.6915288782</v>
      </c>
      <c r="N62" s="307">
        <f t="shared" si="60"/>
        <v>293479495.10926616</v>
      </c>
      <c r="O62" s="362">
        <v>0</v>
      </c>
      <c r="P62" s="361">
        <f t="shared" si="57"/>
        <v>0</v>
      </c>
      <c r="S62" s="307"/>
      <c r="T62" s="345"/>
      <c r="U62" s="342"/>
      <c r="V62" s="244"/>
      <c r="W62" s="345"/>
      <c r="X62" s="342"/>
      <c r="Y62" s="244"/>
    </row>
    <row r="63" spans="1:25">
      <c r="A63" s="312">
        <f t="shared" si="58"/>
        <v>44</v>
      </c>
      <c r="C63" s="331" t="s">
        <v>380</v>
      </c>
      <c r="D63" s="481">
        <v>2025</v>
      </c>
      <c r="E63" s="346">
        <f>'10-CWIP'!G73</f>
        <v>4840112</v>
      </c>
      <c r="F63" s="346">
        <f>'10-CWIP'!H73</f>
        <v>0</v>
      </c>
      <c r="G63" s="346">
        <f>'10-CWIP'!I73</f>
        <v>363008.4</v>
      </c>
      <c r="H63" s="360">
        <v>0</v>
      </c>
      <c r="I63" s="307">
        <v>0</v>
      </c>
      <c r="J63" s="361">
        <v>0</v>
      </c>
      <c r="K63" s="307">
        <f t="shared" si="61"/>
        <v>304676106.20079499</v>
      </c>
      <c r="L63" s="307">
        <f t="shared" si="59"/>
        <v>640958.06099570589</v>
      </c>
      <c r="M63" s="307">
        <f t="shared" si="62"/>
        <v>6634448.7525245845</v>
      </c>
      <c r="N63" s="307">
        <f t="shared" si="60"/>
        <v>298041657.44827044</v>
      </c>
      <c r="O63" s="362">
        <v>0</v>
      </c>
      <c r="P63" s="361">
        <f t="shared" si="57"/>
        <v>0</v>
      </c>
      <c r="S63" s="307"/>
      <c r="T63" s="345"/>
      <c r="U63" s="342"/>
      <c r="V63" s="244"/>
      <c r="W63" s="345"/>
      <c r="X63" s="342"/>
      <c r="Y63" s="244"/>
    </row>
    <row r="64" spans="1:25">
      <c r="A64" s="312">
        <f t="shared" si="58"/>
        <v>45</v>
      </c>
      <c r="C64" s="331" t="s">
        <v>381</v>
      </c>
      <c r="D64" s="481">
        <v>2025</v>
      </c>
      <c r="E64" s="346">
        <f>'10-CWIP'!G74</f>
        <v>448071</v>
      </c>
      <c r="F64" s="346">
        <f>'10-CWIP'!H74</f>
        <v>0</v>
      </c>
      <c r="G64" s="346">
        <f>'10-CWIP'!I74</f>
        <v>33605.324999999997</v>
      </c>
      <c r="H64" s="360">
        <v>0</v>
      </c>
      <c r="I64" s="307">
        <v>0</v>
      </c>
      <c r="J64" s="361">
        <v>0</v>
      </c>
      <c r="K64" s="307">
        <f t="shared" si="61"/>
        <v>305157782.52579498</v>
      </c>
      <c r="L64" s="307">
        <f t="shared" si="59"/>
        <v>652094.23060310271</v>
      </c>
      <c r="M64" s="307">
        <f t="shared" si="62"/>
        <v>7286542.9831276871</v>
      </c>
      <c r="N64" s="307">
        <f t="shared" si="60"/>
        <v>297871239.54266727</v>
      </c>
      <c r="O64" s="362">
        <v>0</v>
      </c>
      <c r="P64" s="361">
        <f t="shared" si="57"/>
        <v>0</v>
      </c>
      <c r="S64" s="307"/>
      <c r="T64" s="345"/>
      <c r="U64" s="342"/>
      <c r="V64" s="244"/>
      <c r="W64" s="345"/>
      <c r="X64" s="342"/>
      <c r="Y64" s="244"/>
    </row>
    <row r="65" spans="1:25">
      <c r="A65" s="312">
        <f t="shared" si="58"/>
        <v>46</v>
      </c>
      <c r="C65" s="331" t="s">
        <v>382</v>
      </c>
      <c r="D65" s="481">
        <v>2025</v>
      </c>
      <c r="E65" s="346">
        <f>'10-CWIP'!G75</f>
        <v>419071</v>
      </c>
      <c r="F65" s="346">
        <f>'10-CWIP'!H75</f>
        <v>0</v>
      </c>
      <c r="G65" s="346">
        <f>'10-CWIP'!I75</f>
        <v>31430.325000000001</v>
      </c>
      <c r="H65" s="360">
        <v>0</v>
      </c>
      <c r="I65" s="307">
        <v>0</v>
      </c>
      <c r="J65" s="361">
        <v>0</v>
      </c>
      <c r="K65" s="307">
        <f t="shared" si="61"/>
        <v>305608283.85079497</v>
      </c>
      <c r="L65" s="307">
        <f t="shared" si="59"/>
        <v>653125.15605527314</v>
      </c>
      <c r="M65" s="307">
        <f t="shared" si="62"/>
        <v>7939668.1391829606</v>
      </c>
      <c r="N65" s="307">
        <f t="shared" si="60"/>
        <v>297668615.71161199</v>
      </c>
      <c r="O65" s="362">
        <v>0</v>
      </c>
      <c r="P65" s="361">
        <f t="shared" si="57"/>
        <v>0</v>
      </c>
      <c r="S65" s="307"/>
      <c r="T65" s="345"/>
      <c r="U65" s="342"/>
      <c r="V65" s="244"/>
      <c r="W65" s="345"/>
      <c r="X65" s="342"/>
      <c r="Y65" s="244"/>
    </row>
    <row r="66" spans="1:25">
      <c r="A66" s="312">
        <f t="shared" si="58"/>
        <v>47</v>
      </c>
      <c r="C66" s="331" t="s">
        <v>383</v>
      </c>
      <c r="D66" s="481">
        <v>2025</v>
      </c>
      <c r="E66" s="346">
        <f>'10-CWIP'!G76</f>
        <v>419071</v>
      </c>
      <c r="F66" s="346">
        <f>'10-CWIP'!H76</f>
        <v>0</v>
      </c>
      <c r="G66" s="346">
        <f>'10-CWIP'!I76</f>
        <v>31430.325000000001</v>
      </c>
      <c r="H66" s="360">
        <v>0</v>
      </c>
      <c r="I66" s="307">
        <v>0</v>
      </c>
      <c r="J66" s="361">
        <v>0</v>
      </c>
      <c r="K66" s="307">
        <f t="shared" si="61"/>
        <v>306058785.17579496</v>
      </c>
      <c r="L66" s="307">
        <f t="shared" si="59"/>
        <v>654089.35806827236</v>
      </c>
      <c r="M66" s="307">
        <f t="shared" si="62"/>
        <v>8593757.4972512331</v>
      </c>
      <c r="N66" s="307">
        <f t="shared" si="60"/>
        <v>297465027.67854375</v>
      </c>
      <c r="O66" s="362">
        <v>0</v>
      </c>
      <c r="P66" s="361">
        <f t="shared" si="57"/>
        <v>0</v>
      </c>
      <c r="S66" s="307"/>
      <c r="T66" s="345"/>
      <c r="U66" s="342"/>
      <c r="V66" s="244"/>
      <c r="W66" s="345"/>
      <c r="X66" s="342"/>
      <c r="Y66" s="244"/>
    </row>
    <row r="67" spans="1:25">
      <c r="A67" s="312">
        <f t="shared" si="58"/>
        <v>48</v>
      </c>
      <c r="C67" s="331" t="s">
        <v>384</v>
      </c>
      <c r="D67" s="481">
        <v>2025</v>
      </c>
      <c r="E67" s="346">
        <f>'10-CWIP'!G77</f>
        <v>2419071</v>
      </c>
      <c r="F67" s="346">
        <f>'10-CWIP'!H77</f>
        <v>0</v>
      </c>
      <c r="G67" s="346">
        <f>'10-CWIP'!I77</f>
        <v>181430.32500000001</v>
      </c>
      <c r="H67" s="360">
        <v>0</v>
      </c>
      <c r="I67" s="307">
        <v>0</v>
      </c>
      <c r="J67" s="361">
        <v>0</v>
      </c>
      <c r="K67" s="307">
        <f t="shared" si="61"/>
        <v>308659286.50079495</v>
      </c>
      <c r="L67" s="307">
        <f t="shared" si="59"/>
        <v>655053.56008127145</v>
      </c>
      <c r="M67" s="307">
        <f t="shared" si="62"/>
        <v>9248811.0573325045</v>
      </c>
      <c r="N67" s="307">
        <f t="shared" si="60"/>
        <v>299410475.44346243</v>
      </c>
      <c r="O67" s="362">
        <v>0</v>
      </c>
      <c r="P67" s="361">
        <f t="shared" si="57"/>
        <v>0</v>
      </c>
      <c r="S67" s="307"/>
      <c r="T67" s="345"/>
      <c r="U67" s="342"/>
      <c r="V67" s="244"/>
      <c r="W67" s="345"/>
      <c r="X67" s="342"/>
      <c r="Y67" s="244"/>
    </row>
    <row r="68" spans="1:25">
      <c r="A68" s="312">
        <f t="shared" si="58"/>
        <v>49</v>
      </c>
      <c r="C68" s="331" t="s">
        <v>372</v>
      </c>
      <c r="D68" s="481">
        <v>2025</v>
      </c>
      <c r="E68" s="346">
        <f>'10-CWIP'!G78</f>
        <v>7808915</v>
      </c>
      <c r="F68" s="346">
        <f>'10-CWIP'!H78</f>
        <v>0</v>
      </c>
      <c r="G68" s="346">
        <f>'10-CWIP'!I78</f>
        <v>585668.625</v>
      </c>
      <c r="H68" s="360">
        <v>0</v>
      </c>
      <c r="I68" s="307">
        <v>0</v>
      </c>
      <c r="J68" s="361">
        <v>0</v>
      </c>
      <c r="K68" s="307">
        <f t="shared" si="61"/>
        <v>317053870.12579495</v>
      </c>
      <c r="L68" s="307">
        <f t="shared" si="59"/>
        <v>660619.3785888463</v>
      </c>
      <c r="M68" s="307">
        <f>(M67+L68)-H68</f>
        <v>9909430.4359213505</v>
      </c>
      <c r="N68" s="307">
        <f t="shared" si="60"/>
        <v>307144439.68987358</v>
      </c>
      <c r="O68" s="362">
        <v>0</v>
      </c>
      <c r="P68" s="361">
        <f t="shared" si="57"/>
        <v>0</v>
      </c>
      <c r="S68" s="307"/>
      <c r="T68" s="345"/>
      <c r="U68" s="342"/>
      <c r="V68" s="244"/>
      <c r="W68" s="345"/>
      <c r="X68" s="342"/>
      <c r="Y68" s="244"/>
    </row>
    <row r="69" spans="1:25">
      <c r="A69" s="312"/>
      <c r="D69" s="344"/>
      <c r="G69" s="307"/>
      <c r="N69" s="307"/>
    </row>
    <row r="70" spans="1:25">
      <c r="A70" s="312"/>
      <c r="B70" s="309" t="s">
        <v>1321</v>
      </c>
      <c r="D70" s="344"/>
      <c r="F70" s="39" t="s">
        <v>193</v>
      </c>
      <c r="G70" s="242" t="s">
        <v>992</v>
      </c>
      <c r="H70" s="316"/>
      <c r="N70" s="307"/>
    </row>
    <row r="71" spans="1:25">
      <c r="A71" s="312"/>
      <c r="E71" s="337" t="s">
        <v>329</v>
      </c>
      <c r="F71" s="337" t="s">
        <v>330</v>
      </c>
      <c r="G71" s="337" t="s">
        <v>331</v>
      </c>
      <c r="H71" s="337" t="s">
        <v>332</v>
      </c>
      <c r="I71" s="337" t="s">
        <v>333</v>
      </c>
      <c r="J71" s="337" t="s">
        <v>334</v>
      </c>
      <c r="K71" s="337" t="s">
        <v>335</v>
      </c>
      <c r="L71" s="337" t="s">
        <v>336</v>
      </c>
      <c r="M71" s="337" t="s">
        <v>337</v>
      </c>
      <c r="N71" s="337" t="s">
        <v>582</v>
      </c>
      <c r="O71" s="337" t="s">
        <v>583</v>
      </c>
      <c r="P71" s="337" t="s">
        <v>584</v>
      </c>
    </row>
    <row r="72" spans="1:25" ht="25.5">
      <c r="A72" s="312"/>
      <c r="E72" s="338"/>
      <c r="F72" s="338"/>
      <c r="G72" s="338" t="str">
        <f>"=(C"&amp;RIGHT(E71)&amp;"-C"&amp;RIGHT(F71)&amp;")*L"&amp;$A$103</f>
        <v>=(C1-C2)*L74</v>
      </c>
      <c r="H72" s="338" t="str">
        <f>"=(C"&amp;RIGHT(E71)&amp;"-C"&amp;RIGHT(F71)&amp;"+C"&amp;RIGHT(G71)&amp;")*L"&amp;$A$107</f>
        <v>=(C1-C2+C3)*L75</v>
      </c>
      <c r="I72" s="338" t="str">
        <f>"=C"&amp;RIGHT(E71)&amp;"-C"&amp;RIGHT(F71)&amp;"+C"&amp;RIGHT(G71)&amp;"-C"&amp;RIGHT(H71)</f>
        <v>=C1-C2+C3-C4</v>
      </c>
      <c r="J72" s="338" t="str">
        <f>"=C"&amp;RIGHT(I71)&amp;"*L"&amp;$A$111</f>
        <v>=C5*L76</v>
      </c>
      <c r="K72" s="624" t="s">
        <v>1322</v>
      </c>
      <c r="L72" s="624" t="s">
        <v>1317</v>
      </c>
      <c r="M72" s="625" t="s">
        <v>1318</v>
      </c>
      <c r="N72" s="338" t="str">
        <f>"=C"&amp;RIGHT(K71)&amp;"-C"&amp;RIGHT(M71)</f>
        <v>=C7-C9</v>
      </c>
      <c r="P72" s="625" t="s">
        <v>1320</v>
      </c>
    </row>
    <row r="73" spans="1:25">
      <c r="A73" s="312"/>
      <c r="C73" s="312" t="str">
        <f>C10</f>
        <v>Forecast</v>
      </c>
      <c r="E73" s="312" t="str">
        <f>E10</f>
        <v>Unloaded</v>
      </c>
      <c r="F73" s="312"/>
      <c r="G73" s="312"/>
      <c r="H73" s="312"/>
      <c r="I73" s="312" t="str">
        <f>I10</f>
        <v>AFUDC</v>
      </c>
      <c r="J73" s="312"/>
      <c r="K73" s="312"/>
      <c r="L73" s="312"/>
      <c r="M73" s="312"/>
      <c r="O73" s="312" t="str">
        <f>O10</f>
        <v>Unloaded</v>
      </c>
      <c r="P73" s="312" t="str">
        <f>P10</f>
        <v>Loaded</v>
      </c>
    </row>
    <row r="74" spans="1:25">
      <c r="A74" s="312"/>
      <c r="C74" s="312" t="str">
        <f>C11</f>
        <v>Period</v>
      </c>
      <c r="E74" s="312" t="str">
        <f>E11</f>
        <v>Total</v>
      </c>
      <c r="F74" s="312" t="str">
        <f t="shared" ref="F74:H75" si="63">F11</f>
        <v>Prior Period</v>
      </c>
      <c r="G74" s="312" t="str">
        <f t="shared" si="63"/>
        <v>Over Heads</v>
      </c>
      <c r="H74" s="312" t="str">
        <f t="shared" si="63"/>
        <v xml:space="preserve">Cost of </v>
      </c>
      <c r="I74" s="312" t="str">
        <f>I11</f>
        <v>Eligible Plant</v>
      </c>
      <c r="J74" s="312"/>
      <c r="K74" s="312" t="str">
        <f t="shared" ref="K74:M74" si="64">K11</f>
        <v>Incremental</v>
      </c>
      <c r="L74" s="312" t="str">
        <f t="shared" si="64"/>
        <v>Depreciation</v>
      </c>
      <c r="M74" s="312" t="str">
        <f t="shared" si="64"/>
        <v>Incremental</v>
      </c>
      <c r="O74" s="312" t="str">
        <f>O11</f>
        <v>Low Voltage</v>
      </c>
      <c r="P74" s="312" t="str">
        <f>P11</f>
        <v>Low Voltage</v>
      </c>
      <c r="Q74" s="312"/>
    </row>
    <row r="75" spans="1:25">
      <c r="A75" s="340" t="s">
        <v>266</v>
      </c>
      <c r="C75" s="330" t="str">
        <f>C12</f>
        <v>Month</v>
      </c>
      <c r="D75" s="330" t="str">
        <f>D12</f>
        <v>Year</v>
      </c>
      <c r="E75" s="330" t="str">
        <f>E12</f>
        <v>Plant Adds</v>
      </c>
      <c r="F75" s="330" t="str">
        <f t="shared" si="63"/>
        <v>CWIP Closed</v>
      </c>
      <c r="G75" s="330" t="str">
        <f t="shared" si="63"/>
        <v>Closed to PIS</v>
      </c>
      <c r="H75" s="330" t="str">
        <f t="shared" si="63"/>
        <v>Removal</v>
      </c>
      <c r="I75" s="330" t="str">
        <f>I12</f>
        <v>Additions</v>
      </c>
      <c r="J75" s="330" t="str">
        <f t="shared" ref="J75:P75" si="65">J12</f>
        <v>AFUDC</v>
      </c>
      <c r="K75" s="330" t="str">
        <f t="shared" si="65"/>
        <v>Gross Plant</v>
      </c>
      <c r="L75" s="330" t="str">
        <f t="shared" si="65"/>
        <v>Accrual</v>
      </c>
      <c r="M75" s="330" t="str">
        <f t="shared" si="65"/>
        <v>Reserve</v>
      </c>
      <c r="N75" s="330" t="str">
        <f t="shared" si="65"/>
        <v>Net Plant</v>
      </c>
      <c r="O75" s="330" t="str">
        <f t="shared" si="65"/>
        <v>Additions</v>
      </c>
      <c r="P75" s="330" t="str">
        <f t="shared" si="65"/>
        <v>Additions</v>
      </c>
      <c r="Q75" s="330"/>
      <c r="S75" s="364"/>
      <c r="T75" s="330"/>
      <c r="U75" s="330"/>
      <c r="V75" s="330"/>
      <c r="W75" s="330"/>
      <c r="X75" s="330"/>
      <c r="Y75" s="330"/>
    </row>
    <row r="76" spans="1:25">
      <c r="A76" s="312">
        <f>A68+1</f>
        <v>50</v>
      </c>
      <c r="C76" s="331" t="str">
        <f t="shared" ref="C76:C96" si="66">C45</f>
        <v>January</v>
      </c>
      <c r="D76" s="481">
        <v>2024</v>
      </c>
      <c r="E76" s="347">
        <v>13277321.966239018</v>
      </c>
      <c r="F76" s="347">
        <v>1273723.9508333332</v>
      </c>
      <c r="G76" s="307">
        <f>(E76-F76)*$E$103</f>
        <v>900269.85115542635</v>
      </c>
      <c r="H76" s="307">
        <f>(E76-F76+G76)*$E$107</f>
        <v>1032309.4293248889</v>
      </c>
      <c r="I76" s="307">
        <f>E76-F76+G76-H76</f>
        <v>11871558.437236222</v>
      </c>
      <c r="J76" s="307">
        <f t="shared" ref="J76:J99" si="67">I76*$E$111</f>
        <v>356146.75311708666</v>
      </c>
      <c r="K76" s="307">
        <f>F76+I76+J76</f>
        <v>13501429.141186642</v>
      </c>
      <c r="L76" s="307">
        <v>0</v>
      </c>
      <c r="M76" s="307">
        <f>L76</f>
        <v>0</v>
      </c>
      <c r="N76" s="307">
        <f t="shared" ref="N76:N99" si="68">K76-M76</f>
        <v>13501429.141186642</v>
      </c>
      <c r="O76" s="362">
        <v>1957064.1640682016</v>
      </c>
      <c r="P76" s="307">
        <f t="shared" ref="P76:P96" si="69">O76*(1-$E$107)*(1+$E$103+$E$111)</f>
        <v>1989551.4291917337</v>
      </c>
      <c r="Q76" s="345"/>
      <c r="R76" s="342"/>
      <c r="S76" s="345"/>
      <c r="T76" s="345"/>
      <c r="U76" s="342"/>
      <c r="V76" s="244"/>
      <c r="W76" s="345"/>
      <c r="X76" s="342"/>
      <c r="Y76" s="244"/>
    </row>
    <row r="77" spans="1:25">
      <c r="A77" s="312">
        <f t="shared" si="58"/>
        <v>51</v>
      </c>
      <c r="C77" s="331" t="str">
        <f t="shared" si="66"/>
        <v>February</v>
      </c>
      <c r="D77" s="481">
        <v>2024</v>
      </c>
      <c r="E77" s="347">
        <v>13229041.666239014</v>
      </c>
      <c r="F77" s="347">
        <v>1205473.6508333334</v>
      </c>
      <c r="G77" s="307">
        <f t="shared" ref="G77:G99" si="70">(E77-F77)*$E$103</f>
        <v>901767.601155426</v>
      </c>
      <c r="H77" s="307">
        <f t="shared" ref="H77:H99" si="71">(E77-F77+G77)*$E$107</f>
        <v>1034026.8493248887</v>
      </c>
      <c r="I77" s="307">
        <f t="shared" ref="I77:I99" si="72">E77-F77+G77-H77</f>
        <v>11891308.767236218</v>
      </c>
      <c r="J77" s="307">
        <f t="shared" si="67"/>
        <v>356739.26301708655</v>
      </c>
      <c r="K77" s="307">
        <f>K76+J77+I77+F77</f>
        <v>26954950.82227328</v>
      </c>
      <c r="L77" s="307">
        <f t="shared" ref="L77:L99" si="73">K76*$E$133/12</f>
        <v>28896.929784385695</v>
      </c>
      <c r="M77" s="307">
        <f>M76+L77</f>
        <v>28896.929784385695</v>
      </c>
      <c r="N77" s="307">
        <f t="shared" si="68"/>
        <v>26926053.892488893</v>
      </c>
      <c r="O77" s="362">
        <v>3255424.9881364033</v>
      </c>
      <c r="P77" s="307">
        <f t="shared" si="69"/>
        <v>3309465.0429394678</v>
      </c>
      <c r="Q77" s="345"/>
      <c r="R77" s="342"/>
      <c r="S77" s="345"/>
      <c r="T77" s="345"/>
      <c r="U77" s="342"/>
      <c r="V77" s="244"/>
      <c r="W77" s="345"/>
      <c r="X77" s="342"/>
      <c r="Y77" s="244"/>
    </row>
    <row r="78" spans="1:25">
      <c r="A78" s="312">
        <f t="shared" si="58"/>
        <v>52</v>
      </c>
      <c r="C78" s="331" t="str">
        <f t="shared" si="66"/>
        <v>March</v>
      </c>
      <c r="D78" s="481">
        <v>2024</v>
      </c>
      <c r="E78" s="347">
        <v>15823666.086239021</v>
      </c>
      <c r="F78" s="347">
        <v>3806641.0708333328</v>
      </c>
      <c r="G78" s="307">
        <f t="shared" si="70"/>
        <v>901276.87615542661</v>
      </c>
      <c r="H78" s="307">
        <f t="shared" si="71"/>
        <v>1033464.1513248893</v>
      </c>
      <c r="I78" s="307">
        <f t="shared" si="72"/>
        <v>11884837.740236226</v>
      </c>
      <c r="J78" s="307">
        <f t="shared" si="67"/>
        <v>356545.13220708678</v>
      </c>
      <c r="K78" s="307">
        <f t="shared" ref="K78:K99" si="74">K77+J78+I78+F78</f>
        <v>43002974.765549928</v>
      </c>
      <c r="L78" s="307">
        <f t="shared" si="73"/>
        <v>57691.323867092608</v>
      </c>
      <c r="M78" s="307">
        <f t="shared" ref="M78:M99" si="75">M77+L78</f>
        <v>86588.253651478299</v>
      </c>
      <c r="N78" s="307">
        <f t="shared" si="68"/>
        <v>42916386.511898451</v>
      </c>
      <c r="O78" s="362">
        <v>4557554.352204605</v>
      </c>
      <c r="P78" s="307">
        <f t="shared" si="69"/>
        <v>4633209.7544512022</v>
      </c>
      <c r="Q78" s="345"/>
      <c r="R78" s="342"/>
      <c r="S78" s="345"/>
      <c r="T78" s="345"/>
      <c r="U78" s="342"/>
      <c r="V78" s="244"/>
      <c r="W78" s="345"/>
      <c r="X78" s="342"/>
      <c r="Y78" s="244"/>
    </row>
    <row r="79" spans="1:25">
      <c r="A79" s="312">
        <f t="shared" si="58"/>
        <v>53</v>
      </c>
      <c r="C79" s="331" t="str">
        <f t="shared" si="66"/>
        <v>April</v>
      </c>
      <c r="D79" s="481">
        <v>2024</v>
      </c>
      <c r="E79" s="347">
        <v>61469187.846639007</v>
      </c>
      <c r="F79" s="347">
        <v>42866254.746433325</v>
      </c>
      <c r="G79" s="307">
        <f t="shared" si="70"/>
        <v>1395219.9825154261</v>
      </c>
      <c r="H79" s="307">
        <f t="shared" si="71"/>
        <v>1599852.2466176886</v>
      </c>
      <c r="I79" s="307">
        <f t="shared" si="72"/>
        <v>18398300.836103417</v>
      </c>
      <c r="J79" s="307">
        <f t="shared" si="67"/>
        <v>551949.02508310252</v>
      </c>
      <c r="K79" s="307">
        <f t="shared" si="74"/>
        <v>104819479.37316978</v>
      </c>
      <c r="L79" s="307">
        <f t="shared" si="73"/>
        <v>92038.696742779735</v>
      </c>
      <c r="M79" s="307">
        <f t="shared" si="75"/>
        <v>178626.95039425802</v>
      </c>
      <c r="N79" s="307">
        <f t="shared" si="68"/>
        <v>104640852.42277552</v>
      </c>
      <c r="O79" s="362">
        <v>19803929.704272807</v>
      </c>
      <c r="P79" s="307">
        <f t="shared" si="69"/>
        <v>20132674.937363736</v>
      </c>
      <c r="Q79" s="345"/>
      <c r="R79" s="342"/>
      <c r="S79" s="345"/>
      <c r="T79" s="345"/>
      <c r="U79" s="342"/>
      <c r="V79" s="244"/>
      <c r="W79" s="345"/>
      <c r="X79" s="342"/>
      <c r="Y79" s="244"/>
    </row>
    <row r="80" spans="1:25">
      <c r="A80" s="312">
        <f t="shared" si="58"/>
        <v>54</v>
      </c>
      <c r="C80" s="331" t="str">
        <f t="shared" si="66"/>
        <v>May</v>
      </c>
      <c r="D80" s="481">
        <v>2024</v>
      </c>
      <c r="E80" s="347">
        <v>20734796.846239015</v>
      </c>
      <c r="F80" s="347">
        <v>6099081.8308333326</v>
      </c>
      <c r="G80" s="307">
        <f t="shared" si="70"/>
        <v>1097678.6261554263</v>
      </c>
      <c r="H80" s="307">
        <f t="shared" si="71"/>
        <v>1258671.4913248888</v>
      </c>
      <c r="I80" s="307">
        <f t="shared" si="72"/>
        <v>14474722.150236221</v>
      </c>
      <c r="J80" s="307">
        <f t="shared" si="67"/>
        <v>434241.66450708662</v>
      </c>
      <c r="K80" s="307">
        <f t="shared" si="74"/>
        <v>125827525.01874642</v>
      </c>
      <c r="L80" s="307">
        <f t="shared" si="73"/>
        <v>224343.74197042498</v>
      </c>
      <c r="M80" s="307">
        <f t="shared" si="75"/>
        <v>402970.69236468303</v>
      </c>
      <c r="N80" s="307">
        <f t="shared" si="68"/>
        <v>125424554.32638174</v>
      </c>
      <c r="O80" s="362">
        <v>25524954.988341007</v>
      </c>
      <c r="P80" s="307">
        <f t="shared" si="69"/>
        <v>25948669.24114747</v>
      </c>
      <c r="Q80" s="345"/>
      <c r="R80" s="342"/>
      <c r="S80" s="345"/>
      <c r="T80" s="345"/>
      <c r="U80" s="342"/>
      <c r="V80" s="244"/>
      <c r="W80" s="345"/>
      <c r="X80" s="342"/>
      <c r="Y80" s="244"/>
    </row>
    <row r="81" spans="1:25">
      <c r="A81" s="312">
        <f t="shared" si="58"/>
        <v>55</v>
      </c>
      <c r="C81" s="331" t="str">
        <f t="shared" si="66"/>
        <v xml:space="preserve">June </v>
      </c>
      <c r="D81" s="481">
        <v>2024</v>
      </c>
      <c r="E81" s="347">
        <v>20470122.770027012</v>
      </c>
      <c r="F81" s="347">
        <v>4821975.8610213324</v>
      </c>
      <c r="G81" s="307">
        <f t="shared" si="70"/>
        <v>1173611.0181754259</v>
      </c>
      <c r="H81" s="307">
        <f t="shared" si="71"/>
        <v>1345740.6341744885</v>
      </c>
      <c r="I81" s="307">
        <f t="shared" si="72"/>
        <v>15476017.293006618</v>
      </c>
      <c r="J81" s="307">
        <f t="shared" si="67"/>
        <v>464280.51879019849</v>
      </c>
      <c r="K81" s="307">
        <f t="shared" si="74"/>
        <v>146589798.69156459</v>
      </c>
      <c r="L81" s="307">
        <f t="shared" si="73"/>
        <v>269306.98353390605</v>
      </c>
      <c r="M81" s="307">
        <f t="shared" si="75"/>
        <v>672277.67589858908</v>
      </c>
      <c r="N81" s="307">
        <f t="shared" si="68"/>
        <v>145917521.01566601</v>
      </c>
      <c r="O81" s="362">
        <v>26987187.582409211</v>
      </c>
      <c r="P81" s="307">
        <f t="shared" si="69"/>
        <v>27435174.896277204</v>
      </c>
      <c r="Q81" s="345"/>
      <c r="R81" s="342"/>
      <c r="S81" s="345"/>
      <c r="T81" s="345"/>
      <c r="U81" s="342"/>
      <c r="V81" s="244"/>
      <c r="W81" s="345"/>
      <c r="X81" s="342"/>
      <c r="Y81" s="244"/>
    </row>
    <row r="82" spans="1:25">
      <c r="A82" s="312">
        <f t="shared" si="58"/>
        <v>56</v>
      </c>
      <c r="C82" s="331" t="str">
        <f t="shared" si="66"/>
        <v>July</v>
      </c>
      <c r="D82" s="481">
        <v>2024</v>
      </c>
      <c r="E82" s="347">
        <v>49804402.526239038</v>
      </c>
      <c r="F82" s="347">
        <v>19800789.510833334</v>
      </c>
      <c r="G82" s="307">
        <f t="shared" si="70"/>
        <v>2250270.9761554278</v>
      </c>
      <c r="H82" s="307">
        <f t="shared" si="71"/>
        <v>2580310.7193248905</v>
      </c>
      <c r="I82" s="307">
        <f t="shared" si="72"/>
        <v>29673573.272236239</v>
      </c>
      <c r="J82" s="307">
        <f t="shared" si="67"/>
        <v>890207.19816708716</v>
      </c>
      <c r="K82" s="307">
        <f t="shared" si="74"/>
        <v>196954368.67280123</v>
      </c>
      <c r="L82" s="307">
        <f t="shared" si="73"/>
        <v>313744.20260261977</v>
      </c>
      <c r="M82" s="307">
        <f t="shared" si="75"/>
        <v>986021.87850120885</v>
      </c>
      <c r="N82" s="307">
        <f t="shared" si="68"/>
        <v>195968346.79430002</v>
      </c>
      <c r="O82" s="362">
        <v>28285548.40647741</v>
      </c>
      <c r="P82" s="307">
        <f t="shared" si="69"/>
        <v>28755088.510024935</v>
      </c>
      <c r="Q82" s="345"/>
      <c r="R82" s="342"/>
      <c r="S82" s="345"/>
      <c r="T82" s="345"/>
      <c r="U82" s="342"/>
      <c r="V82" s="244"/>
      <c r="W82" s="345"/>
      <c r="X82" s="342"/>
      <c r="Y82" s="244"/>
    </row>
    <row r="83" spans="1:25">
      <c r="A83" s="312">
        <f t="shared" si="58"/>
        <v>57</v>
      </c>
      <c r="C83" s="331" t="str">
        <f t="shared" si="66"/>
        <v>August</v>
      </c>
      <c r="D83" s="481">
        <v>2024</v>
      </c>
      <c r="E83" s="347">
        <v>17277198.676239014</v>
      </c>
      <c r="F83" s="347">
        <v>2502534.6608333332</v>
      </c>
      <c r="G83" s="307">
        <f t="shared" si="70"/>
        <v>1108099.8011554261</v>
      </c>
      <c r="H83" s="307">
        <f t="shared" si="71"/>
        <v>1270621.1053248886</v>
      </c>
      <c r="I83" s="307">
        <f t="shared" si="72"/>
        <v>14612142.711236218</v>
      </c>
      <c r="J83" s="307">
        <f t="shared" si="67"/>
        <v>438364.28133708652</v>
      </c>
      <c r="K83" s="307">
        <f t="shared" si="74"/>
        <v>214507410.32620785</v>
      </c>
      <c r="L83" s="307">
        <f t="shared" si="73"/>
        <v>421538.82398302434</v>
      </c>
      <c r="M83" s="307">
        <f t="shared" si="75"/>
        <v>1407560.7024842333</v>
      </c>
      <c r="N83" s="307">
        <f t="shared" si="68"/>
        <v>213099849.62372363</v>
      </c>
      <c r="O83" s="362">
        <v>29662980.060545612</v>
      </c>
      <c r="P83" s="307">
        <f t="shared" si="69"/>
        <v>30155385.529550672</v>
      </c>
      <c r="Q83" s="345"/>
      <c r="R83" s="342"/>
      <c r="S83" s="345"/>
      <c r="T83" s="345"/>
      <c r="U83" s="342"/>
      <c r="V83" s="244"/>
      <c r="W83" s="345"/>
      <c r="X83" s="342"/>
      <c r="Y83" s="244"/>
    </row>
    <row r="84" spans="1:25">
      <c r="A84" s="312">
        <f t="shared" si="58"/>
        <v>58</v>
      </c>
      <c r="C84" s="331" t="str">
        <f t="shared" si="66"/>
        <v>September</v>
      </c>
      <c r="D84" s="481">
        <v>2024</v>
      </c>
      <c r="E84" s="347">
        <v>14629275.120135009</v>
      </c>
      <c r="F84" s="347">
        <v>773969.6457293334</v>
      </c>
      <c r="G84" s="307">
        <f t="shared" si="70"/>
        <v>1039147.9105804256</v>
      </c>
      <c r="H84" s="307">
        <f t="shared" si="71"/>
        <v>1191556.2707988883</v>
      </c>
      <c r="I84" s="307">
        <f t="shared" si="72"/>
        <v>13702897.114187215</v>
      </c>
      <c r="J84" s="307">
        <f t="shared" si="67"/>
        <v>411086.9134256164</v>
      </c>
      <c r="K84" s="307">
        <f t="shared" si="74"/>
        <v>229395363.99955001</v>
      </c>
      <c r="L84" s="307">
        <f t="shared" si="73"/>
        <v>459107.36630967079</v>
      </c>
      <c r="M84" s="307">
        <f t="shared" si="75"/>
        <v>1866668.068793904</v>
      </c>
      <c r="N84" s="307">
        <f t="shared" si="68"/>
        <v>227528695.93075612</v>
      </c>
      <c r="O84" s="362">
        <v>30961340.884613812</v>
      </c>
      <c r="P84" s="307">
        <f t="shared" si="69"/>
        <v>31475299.143298402</v>
      </c>
      <c r="Q84" s="345"/>
      <c r="R84" s="342"/>
      <c r="S84" s="345"/>
      <c r="T84" s="345"/>
      <c r="U84" s="342"/>
      <c r="V84" s="244"/>
      <c r="W84" s="345"/>
      <c r="X84" s="342"/>
      <c r="Y84" s="244"/>
    </row>
    <row r="85" spans="1:25">
      <c r="A85" s="312">
        <f t="shared" si="58"/>
        <v>59</v>
      </c>
      <c r="C85" s="331" t="str">
        <f t="shared" si="66"/>
        <v xml:space="preserve">October </v>
      </c>
      <c r="D85" s="481">
        <v>2024</v>
      </c>
      <c r="E85" s="347">
        <v>29603055.141239047</v>
      </c>
      <c r="F85" s="347">
        <v>14116216.625833334</v>
      </c>
      <c r="G85" s="307">
        <f t="shared" si="70"/>
        <v>1161512.8886554283</v>
      </c>
      <c r="H85" s="307">
        <f t="shared" si="71"/>
        <v>1331868.1123248914</v>
      </c>
      <c r="I85" s="307">
        <f t="shared" si="72"/>
        <v>15316483.291736249</v>
      </c>
      <c r="J85" s="307">
        <f t="shared" si="67"/>
        <v>459494.49875208747</v>
      </c>
      <c r="K85" s="307">
        <f t="shared" si="74"/>
        <v>259287558.41587168</v>
      </c>
      <c r="L85" s="307">
        <f t="shared" si="73"/>
        <v>490971.85616721964</v>
      </c>
      <c r="M85" s="307">
        <f t="shared" si="75"/>
        <v>2357639.9249611236</v>
      </c>
      <c r="N85" s="307">
        <f t="shared" si="68"/>
        <v>256929918.49091056</v>
      </c>
      <c r="O85" s="362">
        <v>34267677.873682015</v>
      </c>
      <c r="P85" s="307">
        <f t="shared" si="69"/>
        <v>34836521.32638514</v>
      </c>
      <c r="Q85" s="345"/>
      <c r="R85" s="342"/>
      <c r="S85" s="345"/>
      <c r="T85" s="345"/>
      <c r="U85" s="342"/>
      <c r="V85" s="244"/>
      <c r="W85" s="345"/>
      <c r="X85" s="342"/>
      <c r="Y85" s="244"/>
    </row>
    <row r="86" spans="1:25">
      <c r="A86" s="312">
        <f t="shared" si="58"/>
        <v>60</v>
      </c>
      <c r="C86" s="331" t="str">
        <f t="shared" si="66"/>
        <v>November</v>
      </c>
      <c r="D86" s="481">
        <v>2024</v>
      </c>
      <c r="E86" s="347">
        <v>14110293.752439022</v>
      </c>
      <c r="F86" s="347">
        <v>891467.7370333334</v>
      </c>
      <c r="G86" s="307">
        <f t="shared" si="70"/>
        <v>991411.95115542656</v>
      </c>
      <c r="H86" s="307">
        <f t="shared" si="71"/>
        <v>1136819.0373248891</v>
      </c>
      <c r="I86" s="307">
        <f t="shared" si="72"/>
        <v>13073418.929236226</v>
      </c>
      <c r="J86" s="307">
        <f t="shared" si="67"/>
        <v>392202.56787708675</v>
      </c>
      <c r="K86" s="307">
        <f t="shared" si="74"/>
        <v>273644647.65001827</v>
      </c>
      <c r="L86" s="307">
        <f t="shared" si="73"/>
        <v>554949.72355568886</v>
      </c>
      <c r="M86" s="307">
        <f t="shared" si="75"/>
        <v>2912589.6485168124</v>
      </c>
      <c r="N86" s="307">
        <f t="shared" si="68"/>
        <v>270732058.00150144</v>
      </c>
      <c r="O86" s="362">
        <v>35790688.363950215</v>
      </c>
      <c r="P86" s="307">
        <f t="shared" si="69"/>
        <v>36384813.790791787</v>
      </c>
      <c r="Q86" s="345"/>
      <c r="R86" s="342"/>
      <c r="S86" s="345"/>
      <c r="T86" s="345"/>
      <c r="U86" s="342"/>
      <c r="V86" s="244"/>
      <c r="W86" s="345"/>
      <c r="X86" s="342"/>
      <c r="Y86" s="244"/>
    </row>
    <row r="87" spans="1:25">
      <c r="A87" s="312">
        <f t="shared" si="58"/>
        <v>61</v>
      </c>
      <c r="C87" s="331" t="str">
        <f t="shared" si="66"/>
        <v>December</v>
      </c>
      <c r="D87" s="481">
        <v>2024</v>
      </c>
      <c r="E87" s="347">
        <v>20841949.352239072</v>
      </c>
      <c r="F87" s="347">
        <v>4308544.3368333336</v>
      </c>
      <c r="G87" s="307">
        <f t="shared" si="70"/>
        <v>1240005.3761554305</v>
      </c>
      <c r="H87" s="307">
        <f t="shared" si="71"/>
        <v>1421872.8313248935</v>
      </c>
      <c r="I87" s="307">
        <f t="shared" si="72"/>
        <v>16351537.560236275</v>
      </c>
      <c r="J87" s="307">
        <f t="shared" si="67"/>
        <v>490546.12680708827</v>
      </c>
      <c r="K87" s="307">
        <f t="shared" si="74"/>
        <v>294795275.673895</v>
      </c>
      <c r="L87" s="307">
        <f t="shared" si="73"/>
        <v>585678.01129240694</v>
      </c>
      <c r="M87" s="307">
        <f t="shared" si="75"/>
        <v>3498267.6598092192</v>
      </c>
      <c r="N87" s="307">
        <f t="shared" si="68"/>
        <v>291297008.01408577</v>
      </c>
      <c r="O87" s="362">
        <v>37580203.978018411</v>
      </c>
      <c r="P87" s="307">
        <f t="shared" si="69"/>
        <v>38204035.364053518</v>
      </c>
      <c r="Q87" s="345"/>
      <c r="R87" s="342"/>
      <c r="S87" s="345"/>
      <c r="T87" s="345"/>
      <c r="U87" s="342"/>
      <c r="V87" s="244"/>
      <c r="W87" s="345"/>
      <c r="X87" s="342"/>
      <c r="Y87" s="244"/>
    </row>
    <row r="88" spans="1:25">
      <c r="A88" s="312">
        <f t="shared" si="58"/>
        <v>62</v>
      </c>
      <c r="C88" s="331" t="str">
        <f t="shared" si="66"/>
        <v>January</v>
      </c>
      <c r="D88" s="481">
        <v>2025</v>
      </c>
      <c r="E88" s="347">
        <v>16505016.400546253</v>
      </c>
      <c r="F88" s="347">
        <v>116389.45</v>
      </c>
      <c r="G88" s="307">
        <f t="shared" si="70"/>
        <v>1229147.0212909689</v>
      </c>
      <c r="H88" s="307">
        <f t="shared" si="71"/>
        <v>1409421.9177469779</v>
      </c>
      <c r="I88" s="307">
        <f t="shared" si="72"/>
        <v>16208352.054090245</v>
      </c>
      <c r="J88" s="307">
        <f t="shared" si="67"/>
        <v>486250.56162270735</v>
      </c>
      <c r="K88" s="307">
        <f t="shared" si="74"/>
        <v>311606267.73960793</v>
      </c>
      <c r="L88" s="307">
        <f t="shared" si="73"/>
        <v>630946.42002975859</v>
      </c>
      <c r="M88" s="307">
        <f t="shared" si="75"/>
        <v>4129214.0798389777</v>
      </c>
      <c r="N88" s="307">
        <f t="shared" si="68"/>
        <v>307477053.65976894</v>
      </c>
      <c r="O88" s="362">
        <v>38387739.235211283</v>
      </c>
      <c r="P88" s="307">
        <f t="shared" si="69"/>
        <v>39024975.706515789</v>
      </c>
      <c r="Q88" s="345"/>
      <c r="R88" s="342"/>
      <c r="S88" s="345"/>
      <c r="T88" s="345"/>
      <c r="U88" s="342"/>
      <c r="V88" s="244"/>
      <c r="W88" s="345"/>
      <c r="X88" s="342"/>
      <c r="Y88" s="244"/>
    </row>
    <row r="89" spans="1:25">
      <c r="A89" s="312">
        <f t="shared" si="58"/>
        <v>63</v>
      </c>
      <c r="C89" s="331" t="str">
        <f t="shared" si="66"/>
        <v>February</v>
      </c>
      <c r="D89" s="481">
        <v>2025</v>
      </c>
      <c r="E89" s="347">
        <v>24293804.900550365</v>
      </c>
      <c r="F89" s="347">
        <v>383414.57060399995</v>
      </c>
      <c r="G89" s="307">
        <f t="shared" si="70"/>
        <v>1793279.2747459773</v>
      </c>
      <c r="H89" s="307">
        <f t="shared" si="71"/>
        <v>2056293.5683753875</v>
      </c>
      <c r="I89" s="307">
        <f t="shared" si="72"/>
        <v>23647376.036316957</v>
      </c>
      <c r="J89" s="307">
        <f t="shared" si="67"/>
        <v>709421.28108950867</v>
      </c>
      <c r="K89" s="307">
        <f t="shared" si="74"/>
        <v>336346479.62761837</v>
      </c>
      <c r="L89" s="307">
        <f t="shared" si="73"/>
        <v>666926.76346220763</v>
      </c>
      <c r="M89" s="307">
        <f t="shared" si="75"/>
        <v>4796140.8433011854</v>
      </c>
      <c r="N89" s="307">
        <f t="shared" si="68"/>
        <v>331550338.7843172</v>
      </c>
      <c r="O89" s="362">
        <v>39195274.492404148</v>
      </c>
      <c r="P89" s="307">
        <f t="shared" si="69"/>
        <v>39845916.048978053</v>
      </c>
      <c r="Q89" s="345"/>
      <c r="R89" s="342"/>
      <c r="S89" s="345"/>
      <c r="T89" s="345"/>
      <c r="U89" s="342"/>
      <c r="V89" s="244"/>
      <c r="W89" s="345"/>
      <c r="X89" s="342"/>
      <c r="Y89" s="244"/>
    </row>
    <row r="90" spans="1:25">
      <c r="A90" s="312">
        <f t="shared" si="58"/>
        <v>64</v>
      </c>
      <c r="C90" s="331" t="str">
        <f t="shared" si="66"/>
        <v>March</v>
      </c>
      <c r="D90" s="481">
        <v>2025</v>
      </c>
      <c r="E90" s="347">
        <v>28564215.35054636</v>
      </c>
      <c r="F90" s="347">
        <v>1747014.4</v>
      </c>
      <c r="G90" s="307">
        <f t="shared" si="70"/>
        <v>2011290.0712909771</v>
      </c>
      <c r="H90" s="307">
        <f t="shared" si="71"/>
        <v>2306279.2817469873</v>
      </c>
      <c r="I90" s="307">
        <f t="shared" si="72"/>
        <v>26522211.740090352</v>
      </c>
      <c r="J90" s="307">
        <f t="shared" si="67"/>
        <v>795666.35220271046</v>
      </c>
      <c r="K90" s="307">
        <f t="shared" si="74"/>
        <v>365411372.11991143</v>
      </c>
      <c r="L90" s="307">
        <f t="shared" si="73"/>
        <v>719877.91095205245</v>
      </c>
      <c r="M90" s="307">
        <f t="shared" si="75"/>
        <v>5516018.7542532375</v>
      </c>
      <c r="N90" s="307">
        <f t="shared" si="68"/>
        <v>359895353.36565822</v>
      </c>
      <c r="O90" s="362">
        <v>40002809.749597013</v>
      </c>
      <c r="P90" s="307">
        <f t="shared" si="69"/>
        <v>40666856.391440324</v>
      </c>
      <c r="Q90" s="345"/>
      <c r="R90" s="342"/>
      <c r="S90" s="345"/>
      <c r="T90" s="345"/>
      <c r="U90" s="342"/>
      <c r="V90" s="244"/>
      <c r="W90" s="345"/>
      <c r="X90" s="342"/>
      <c r="Y90" s="244"/>
    </row>
    <row r="91" spans="1:25">
      <c r="A91" s="312">
        <f t="shared" si="58"/>
        <v>65</v>
      </c>
      <c r="C91" s="331" t="str">
        <f t="shared" si="66"/>
        <v>April</v>
      </c>
      <c r="D91" s="481">
        <v>2025</v>
      </c>
      <c r="E91" s="347">
        <v>21331725.970546365</v>
      </c>
      <c r="F91" s="347">
        <v>4568607.0200000005</v>
      </c>
      <c r="G91" s="307">
        <f t="shared" si="70"/>
        <v>1257233.9212909774</v>
      </c>
      <c r="H91" s="307">
        <f t="shared" si="71"/>
        <v>1441628.2297469876</v>
      </c>
      <c r="I91" s="307">
        <f t="shared" si="72"/>
        <v>16578724.642090356</v>
      </c>
      <c r="J91" s="307">
        <f t="shared" si="67"/>
        <v>497361.73926271067</v>
      </c>
      <c r="K91" s="307">
        <f t="shared" si="74"/>
        <v>387056065.52126449</v>
      </c>
      <c r="L91" s="307">
        <f t="shared" si="73"/>
        <v>782085.1150011709</v>
      </c>
      <c r="M91" s="307">
        <f t="shared" si="75"/>
        <v>6298103.8692544084</v>
      </c>
      <c r="N91" s="307">
        <f t="shared" si="68"/>
        <v>380757961.65201008</v>
      </c>
      <c r="O91" s="362">
        <v>40810345.006789878</v>
      </c>
      <c r="P91" s="307">
        <f t="shared" si="69"/>
        <v>41487796.733902596</v>
      </c>
      <c r="Q91" s="345"/>
      <c r="R91" s="342"/>
      <c r="S91" s="345"/>
      <c r="T91" s="345"/>
      <c r="U91" s="342"/>
      <c r="V91" s="244"/>
      <c r="W91" s="345"/>
      <c r="X91" s="342"/>
      <c r="Y91" s="244"/>
    </row>
    <row r="92" spans="1:25">
      <c r="A92" s="312">
        <f t="shared" si="58"/>
        <v>66</v>
      </c>
      <c r="C92" s="331" t="str">
        <f t="shared" si="66"/>
        <v>May</v>
      </c>
      <c r="D92" s="481">
        <v>2025</v>
      </c>
      <c r="E92" s="347">
        <v>28369540.030546308</v>
      </c>
      <c r="F92" s="347">
        <v>-544758.92000000016</v>
      </c>
      <c r="G92" s="307">
        <f t="shared" si="70"/>
        <v>2168572.4212909732</v>
      </c>
      <c r="H92" s="307">
        <f t="shared" si="71"/>
        <v>2486629.7097469824</v>
      </c>
      <c r="I92" s="307">
        <f t="shared" si="72"/>
        <v>28596241.662090298</v>
      </c>
      <c r="J92" s="307">
        <f t="shared" si="67"/>
        <v>857887.24986270885</v>
      </c>
      <c r="K92" s="307">
        <f t="shared" si="74"/>
        <v>415965435.51321751</v>
      </c>
      <c r="L92" s="307">
        <f t="shared" si="73"/>
        <v>828410.96531544987</v>
      </c>
      <c r="M92" s="307">
        <f t="shared" si="75"/>
        <v>7126514.8345698584</v>
      </c>
      <c r="N92" s="307">
        <f t="shared" si="68"/>
        <v>408838920.67864764</v>
      </c>
      <c r="O92" s="362">
        <v>41617880.26398275</v>
      </c>
      <c r="P92" s="307">
        <f t="shared" si="69"/>
        <v>42308737.076364867</v>
      </c>
      <c r="Q92" s="345"/>
      <c r="R92" s="342"/>
      <c r="S92" s="345"/>
      <c r="T92" s="345"/>
      <c r="U92" s="342"/>
      <c r="V92" s="244"/>
      <c r="W92" s="345"/>
      <c r="X92" s="342"/>
      <c r="Y92" s="244"/>
    </row>
    <row r="93" spans="1:25">
      <c r="A93" s="312">
        <f t="shared" si="58"/>
        <v>67</v>
      </c>
      <c r="C93" s="331" t="str">
        <f t="shared" si="66"/>
        <v xml:space="preserve">June </v>
      </c>
      <c r="D93" s="481">
        <v>2025</v>
      </c>
      <c r="E93" s="347">
        <v>21066646.040546358</v>
      </c>
      <c r="F93" s="347">
        <v>-774833.90999999992</v>
      </c>
      <c r="G93" s="307">
        <f t="shared" si="70"/>
        <v>1638110.9962909769</v>
      </c>
      <c r="H93" s="307">
        <f t="shared" si="71"/>
        <v>1878367.275746987</v>
      </c>
      <c r="I93" s="307">
        <f t="shared" si="72"/>
        <v>21601223.67109035</v>
      </c>
      <c r="J93" s="307">
        <f t="shared" si="67"/>
        <v>648036.71013271052</v>
      </c>
      <c r="K93" s="307">
        <f t="shared" si="74"/>
        <v>437439861.98444057</v>
      </c>
      <c r="L93" s="307">
        <f t="shared" si="73"/>
        <v>890285.30661906023</v>
      </c>
      <c r="M93" s="307">
        <f t="shared" si="75"/>
        <v>8016800.1411889186</v>
      </c>
      <c r="N93" s="307">
        <f t="shared" si="68"/>
        <v>429423061.84325165</v>
      </c>
      <c r="O93" s="362">
        <v>42425415.521175615</v>
      </c>
      <c r="P93" s="307">
        <f t="shared" si="69"/>
        <v>43129677.418827131</v>
      </c>
      <c r="Q93" s="345"/>
      <c r="R93" s="342"/>
      <c r="S93" s="345"/>
      <c r="T93" s="345"/>
      <c r="U93" s="342"/>
      <c r="V93" s="244"/>
      <c r="W93" s="345"/>
      <c r="X93" s="342"/>
      <c r="Y93" s="244"/>
    </row>
    <row r="94" spans="1:25">
      <c r="A94" s="312">
        <f t="shared" si="58"/>
        <v>68</v>
      </c>
      <c r="C94" s="331" t="str">
        <f t="shared" si="66"/>
        <v>July</v>
      </c>
      <c r="D94" s="481">
        <v>2025</v>
      </c>
      <c r="E94" s="347">
        <v>29675924.34054631</v>
      </c>
      <c r="F94" s="347">
        <v>104110.39</v>
      </c>
      <c r="G94" s="307">
        <f t="shared" si="70"/>
        <v>2217886.0462909732</v>
      </c>
      <c r="H94" s="307">
        <f t="shared" si="71"/>
        <v>2543175.9997469825</v>
      </c>
      <c r="I94" s="307">
        <f t="shared" si="72"/>
        <v>29246523.997090299</v>
      </c>
      <c r="J94" s="307">
        <f t="shared" si="67"/>
        <v>877395.71991270897</v>
      </c>
      <c r="K94" s="307">
        <f t="shared" si="74"/>
        <v>467667892.09144354</v>
      </c>
      <c r="L94" s="307">
        <f t="shared" si="73"/>
        <v>936246.73688023817</v>
      </c>
      <c r="M94" s="307">
        <f t="shared" si="75"/>
        <v>8953046.8780691568</v>
      </c>
      <c r="N94" s="307">
        <f t="shared" si="68"/>
        <v>458714845.21337438</v>
      </c>
      <c r="O94" s="362">
        <v>43232950.778368481</v>
      </c>
      <c r="P94" s="307">
        <f t="shared" si="69"/>
        <v>43950617.761289395</v>
      </c>
      <c r="Q94" s="345"/>
      <c r="R94" s="342"/>
      <c r="S94" s="345"/>
      <c r="T94" s="345"/>
      <c r="U94" s="342"/>
      <c r="V94" s="244"/>
      <c r="W94" s="345"/>
      <c r="X94" s="342"/>
      <c r="Y94" s="244"/>
    </row>
    <row r="95" spans="1:25">
      <c r="A95" s="312">
        <f t="shared" si="58"/>
        <v>69</v>
      </c>
      <c r="C95" s="331" t="str">
        <f t="shared" si="66"/>
        <v>August</v>
      </c>
      <c r="D95" s="481">
        <v>2025</v>
      </c>
      <c r="E95" s="347">
        <v>31238864.200546384</v>
      </c>
      <c r="F95" s="347">
        <v>910941.25</v>
      </c>
      <c r="G95" s="307">
        <f t="shared" si="70"/>
        <v>2274594.2212909786</v>
      </c>
      <c r="H95" s="307">
        <f t="shared" si="71"/>
        <v>2608201.3737469893</v>
      </c>
      <c r="I95" s="307">
        <f t="shared" si="72"/>
        <v>29994315.798090376</v>
      </c>
      <c r="J95" s="307">
        <f t="shared" si="67"/>
        <v>899829.47394271125</v>
      </c>
      <c r="K95" s="307">
        <f t="shared" si="74"/>
        <v>499472978.61347663</v>
      </c>
      <c r="L95" s="307">
        <f t="shared" si="73"/>
        <v>1000943.3889448498</v>
      </c>
      <c r="M95" s="307">
        <f t="shared" si="75"/>
        <v>9953990.2670140062</v>
      </c>
      <c r="N95" s="307">
        <f t="shared" si="68"/>
        <v>489518988.34646261</v>
      </c>
      <c r="O95" s="362">
        <v>44040486.035561346</v>
      </c>
      <c r="P95" s="307">
        <f t="shared" si="69"/>
        <v>44771558.103751667</v>
      </c>
      <c r="Q95" s="345"/>
      <c r="R95" s="342"/>
      <c r="S95" s="345"/>
      <c r="T95" s="345"/>
      <c r="U95" s="342"/>
      <c r="V95" s="244"/>
      <c r="W95" s="345"/>
      <c r="X95" s="342"/>
      <c r="Y95" s="244"/>
    </row>
    <row r="96" spans="1:25">
      <c r="A96" s="312">
        <f t="shared" si="58"/>
        <v>70</v>
      </c>
      <c r="C96" s="331" t="str">
        <f t="shared" si="66"/>
        <v>September</v>
      </c>
      <c r="D96" s="481">
        <v>2025</v>
      </c>
      <c r="E96" s="347">
        <v>15643480.950546324</v>
      </c>
      <c r="F96" s="347">
        <v>0</v>
      </c>
      <c r="G96" s="307">
        <f t="shared" si="70"/>
        <v>1173261.0712909743</v>
      </c>
      <c r="H96" s="307">
        <f t="shared" si="71"/>
        <v>1345339.3617469838</v>
      </c>
      <c r="I96" s="307">
        <f t="shared" si="72"/>
        <v>15471402.660090314</v>
      </c>
      <c r="J96" s="307">
        <f t="shared" si="67"/>
        <v>464142.0798027094</v>
      </c>
      <c r="K96" s="307">
        <f t="shared" si="74"/>
        <v>515408523.35336965</v>
      </c>
      <c r="L96" s="307">
        <f t="shared" si="73"/>
        <v>1069015.3939454055</v>
      </c>
      <c r="M96" s="307">
        <f t="shared" si="75"/>
        <v>11023005.660959411</v>
      </c>
      <c r="N96" s="307">
        <f t="shared" si="68"/>
        <v>504385517.69241023</v>
      </c>
      <c r="O96" s="362">
        <v>44848021.292754218</v>
      </c>
      <c r="P96" s="307">
        <f t="shared" si="69"/>
        <v>45592498.446213938</v>
      </c>
      <c r="Q96" s="345"/>
      <c r="R96" s="342"/>
      <c r="S96" s="345"/>
      <c r="T96" s="345"/>
      <c r="U96" s="342"/>
      <c r="V96" s="244"/>
      <c r="W96" s="345"/>
      <c r="X96" s="342"/>
      <c r="Y96" s="244"/>
    </row>
    <row r="97" spans="1:25">
      <c r="A97" s="312">
        <f t="shared" si="58"/>
        <v>71</v>
      </c>
      <c r="C97" s="331" t="str">
        <f t="shared" ref="C97:C99" si="76">C66</f>
        <v>October</v>
      </c>
      <c r="D97" s="481">
        <v>2025</v>
      </c>
      <c r="E97" s="347">
        <v>16192039.950546384</v>
      </c>
      <c r="F97" s="347">
        <v>0</v>
      </c>
      <c r="G97" s="307">
        <f t="shared" si="70"/>
        <v>1214402.9962909787</v>
      </c>
      <c r="H97" s="307">
        <f t="shared" si="71"/>
        <v>1392515.435746989</v>
      </c>
      <c r="I97" s="307">
        <f t="shared" si="72"/>
        <v>16013927.511090374</v>
      </c>
      <c r="J97" s="307">
        <f t="shared" si="67"/>
        <v>480417.82533271122</v>
      </c>
      <c r="K97" s="307">
        <f t="shared" si="74"/>
        <v>531902868.68979275</v>
      </c>
      <c r="L97" s="307">
        <f t="shared" si="73"/>
        <v>1103122.0290733776</v>
      </c>
      <c r="M97" s="307">
        <f t="shared" si="75"/>
        <v>12126127.690032789</v>
      </c>
      <c r="N97" s="307">
        <f t="shared" si="68"/>
        <v>519776740.99975997</v>
      </c>
      <c r="O97" s="362">
        <v>45655556.549947083</v>
      </c>
      <c r="P97" s="307">
        <f t="shared" ref="P97:P99" si="77">O97*(1-$E$107)*(1+$E$103+$E$111)</f>
        <v>46413438.78867621</v>
      </c>
      <c r="Q97" s="345"/>
      <c r="R97" s="342"/>
      <c r="S97" s="345"/>
      <c r="T97" s="345"/>
      <c r="U97" s="342"/>
      <c r="V97" s="244"/>
      <c r="W97" s="345"/>
      <c r="X97" s="342"/>
      <c r="Y97" s="244"/>
    </row>
    <row r="98" spans="1:25">
      <c r="A98" s="312">
        <f t="shared" si="58"/>
        <v>72</v>
      </c>
      <c r="C98" s="331" t="str">
        <f t="shared" si="76"/>
        <v>November</v>
      </c>
      <c r="D98" s="481">
        <v>2025</v>
      </c>
      <c r="E98" s="347">
        <v>15643480.950546324</v>
      </c>
      <c r="F98" s="347">
        <v>0</v>
      </c>
      <c r="G98" s="307">
        <f t="shared" si="70"/>
        <v>1173261.0712909743</v>
      </c>
      <c r="H98" s="307">
        <f t="shared" si="71"/>
        <v>1345339.3617469838</v>
      </c>
      <c r="I98" s="307">
        <f t="shared" si="72"/>
        <v>15471402.660090314</v>
      </c>
      <c r="J98" s="307">
        <f t="shared" si="67"/>
        <v>464142.0798027094</v>
      </c>
      <c r="K98" s="307">
        <f t="shared" si="74"/>
        <v>547838413.42968571</v>
      </c>
      <c r="L98" s="307">
        <f t="shared" si="73"/>
        <v>1138424.6577093366</v>
      </c>
      <c r="M98" s="307">
        <f t="shared" si="75"/>
        <v>13264552.347742125</v>
      </c>
      <c r="N98" s="307">
        <f t="shared" si="68"/>
        <v>534573861.08194357</v>
      </c>
      <c r="O98" s="362">
        <v>46463091.807139948</v>
      </c>
      <c r="P98" s="307">
        <f t="shared" si="77"/>
        <v>47234379.131138474</v>
      </c>
      <c r="Q98" s="345"/>
      <c r="R98" s="342"/>
      <c r="S98" s="345"/>
      <c r="T98" s="345"/>
      <c r="U98" s="342"/>
      <c r="V98" s="244"/>
      <c r="W98" s="345"/>
      <c r="X98" s="342"/>
      <c r="Y98" s="244"/>
    </row>
    <row r="99" spans="1:25">
      <c r="A99" s="312">
        <f t="shared" si="58"/>
        <v>73</v>
      </c>
      <c r="C99" s="331" t="str">
        <f t="shared" si="76"/>
        <v>December</v>
      </c>
      <c r="D99" s="481">
        <v>2025</v>
      </c>
      <c r="E99" s="347">
        <v>99512634.010546327</v>
      </c>
      <c r="F99" s="347">
        <v>2911814.06</v>
      </c>
      <c r="G99" s="307">
        <f t="shared" si="70"/>
        <v>7245061.4962909743</v>
      </c>
      <c r="H99" s="307">
        <f t="shared" si="71"/>
        <v>8307670.5157469846</v>
      </c>
      <c r="I99" s="307">
        <f t="shared" si="72"/>
        <v>95538210.931090325</v>
      </c>
      <c r="J99" s="307">
        <f t="shared" si="67"/>
        <v>2866146.3279327098</v>
      </c>
      <c r="K99" s="307">
        <f t="shared" si="74"/>
        <v>649154584.74870872</v>
      </c>
      <c r="L99" s="307">
        <f t="shared" si="73"/>
        <v>1172531.292837309</v>
      </c>
      <c r="M99" s="307">
        <f t="shared" si="75"/>
        <v>14437083.640579434</v>
      </c>
      <c r="N99" s="307">
        <f t="shared" si="68"/>
        <v>634717501.10812926</v>
      </c>
      <c r="O99" s="362">
        <v>63410506.624332815</v>
      </c>
      <c r="P99" s="307">
        <f t="shared" si="77"/>
        <v>64463121.034296736</v>
      </c>
      <c r="Q99" s="345"/>
      <c r="R99" s="342"/>
      <c r="S99" s="345"/>
      <c r="T99" s="345"/>
      <c r="U99" s="342"/>
      <c r="V99" s="244"/>
      <c r="W99" s="345"/>
      <c r="X99" s="342"/>
      <c r="Y99" s="244"/>
    </row>
    <row r="100" spans="1:25">
      <c r="A100" s="312"/>
      <c r="E100" s="307"/>
      <c r="F100" s="307"/>
      <c r="O100" s="342"/>
    </row>
    <row r="101" spans="1:25">
      <c r="A101" s="312"/>
      <c r="B101" s="309" t="s">
        <v>1323</v>
      </c>
    </row>
    <row r="102" spans="1:25">
      <c r="A102" s="340" t="s">
        <v>266</v>
      </c>
      <c r="F102" s="365"/>
    </row>
    <row r="103" spans="1:25">
      <c r="A103" s="312">
        <f>A99+1</f>
        <v>74</v>
      </c>
      <c r="C103" s="306" t="s">
        <v>1324</v>
      </c>
      <c r="E103" s="348">
        <v>7.4999999999999997E-2</v>
      </c>
    </row>
    <row r="105" spans="1:25">
      <c r="A105" s="312"/>
      <c r="B105" s="309" t="s">
        <v>1325</v>
      </c>
    </row>
    <row r="106" spans="1:25">
      <c r="A106" s="340" t="s">
        <v>266</v>
      </c>
      <c r="F106" s="365"/>
    </row>
    <row r="107" spans="1:25">
      <c r="A107" s="312">
        <f>A103+1</f>
        <v>75</v>
      </c>
      <c r="B107" s="309"/>
      <c r="C107" s="306" t="s">
        <v>1326</v>
      </c>
      <c r="E107" s="348">
        <v>0.08</v>
      </c>
    </row>
    <row r="108" spans="1:25">
      <c r="A108" s="312"/>
      <c r="C108" s="306"/>
    </row>
    <row r="109" spans="1:25">
      <c r="B109" s="309" t="s">
        <v>1327</v>
      </c>
    </row>
    <row r="110" spans="1:25">
      <c r="A110" s="340" t="s">
        <v>266</v>
      </c>
      <c r="F110" s="365"/>
    </row>
    <row r="111" spans="1:25">
      <c r="A111" s="312">
        <f>A107+1</f>
        <v>76</v>
      </c>
      <c r="C111" s="306" t="s">
        <v>1328</v>
      </c>
      <c r="E111" s="348">
        <v>0.03</v>
      </c>
    </row>
    <row r="113" spans="1:9">
      <c r="B113" s="309" t="s">
        <v>1329</v>
      </c>
    </row>
    <row r="114" spans="1:9" s="330" customFormat="1">
      <c r="C114" s="331" t="s">
        <v>1330</v>
      </c>
      <c r="F114" s="349"/>
    </row>
    <row r="115" spans="1:9" s="312" customFormat="1">
      <c r="B115" s="330" t="s">
        <v>329</v>
      </c>
      <c r="C115" s="330" t="s">
        <v>330</v>
      </c>
      <c r="D115" s="330" t="s">
        <v>331</v>
      </c>
      <c r="E115" s="330" t="s">
        <v>332</v>
      </c>
      <c r="F115" s="330"/>
    </row>
    <row r="116" spans="1:9" s="330" customFormat="1">
      <c r="C116" s="312" t="s">
        <v>372</v>
      </c>
      <c r="E116" s="339" t="s">
        <v>1331</v>
      </c>
    </row>
    <row r="117" spans="1:9">
      <c r="A117" s="312"/>
      <c r="B117" s="312"/>
      <c r="C117" s="312" t="str">
        <f>"Prior Year"</f>
        <v>Prior Year</v>
      </c>
      <c r="D117" s="312" t="s">
        <v>1311</v>
      </c>
      <c r="E117" s="312" t="s">
        <v>613</v>
      </c>
      <c r="F117" s="312" t="s">
        <v>1332</v>
      </c>
    </row>
    <row r="118" spans="1:9">
      <c r="A118" s="330" t="s">
        <v>266</v>
      </c>
      <c r="B118" s="330" t="s">
        <v>1333</v>
      </c>
      <c r="C118" s="330" t="s">
        <v>1334</v>
      </c>
      <c r="D118" s="330" t="s">
        <v>369</v>
      </c>
      <c r="E118" s="330" t="s">
        <v>1311</v>
      </c>
      <c r="F118" s="3" t="s">
        <v>246</v>
      </c>
    </row>
    <row r="119" spans="1:9">
      <c r="A119" s="312">
        <f>A111+1</f>
        <v>77</v>
      </c>
      <c r="B119" s="312">
        <v>350.1</v>
      </c>
      <c r="C119" s="366">
        <f>'17-Depreciation'!C24</f>
        <v>95810136.794716418</v>
      </c>
      <c r="D119" s="492">
        <f>'18-DepRates'!G6</f>
        <v>0</v>
      </c>
      <c r="E119" s="367">
        <f>C119*D119</f>
        <v>0</v>
      </c>
      <c r="F119" s="623" t="s">
        <v>1335</v>
      </c>
      <c r="H119" s="366"/>
      <c r="I119" s="364"/>
    </row>
    <row r="120" spans="1:9">
      <c r="A120" s="312">
        <f>A119+1</f>
        <v>78</v>
      </c>
      <c r="B120" s="312">
        <v>350.2</v>
      </c>
      <c r="C120" s="366">
        <f>'17-Depreciation'!D24</f>
        <v>188241273.68068492</v>
      </c>
      <c r="D120" s="492">
        <f>'18-DepRates'!G7</f>
        <v>1.66E-2</v>
      </c>
      <c r="E120" s="367">
        <f>C120*D120</f>
        <v>3124805.1430993699</v>
      </c>
      <c r="F120" s="623" t="s">
        <v>1336</v>
      </c>
      <c r="H120" s="366"/>
      <c r="I120" s="364"/>
    </row>
    <row r="121" spans="1:9">
      <c r="A121" s="312">
        <f t="shared" ref="A121:A133" si="78">A120+1</f>
        <v>79</v>
      </c>
      <c r="B121" s="312">
        <v>352</v>
      </c>
      <c r="C121" s="366">
        <f>'17-Depreciation'!E24</f>
        <v>936218418.31468368</v>
      </c>
      <c r="D121" s="492">
        <f>'18-DepRates'!G8</f>
        <v>2.5700000000000001E-2</v>
      </c>
      <c r="E121" s="367">
        <f t="shared" ref="E121:E128" si="79">C121*D121</f>
        <v>24060813.35068737</v>
      </c>
      <c r="F121" s="623" t="s">
        <v>1337</v>
      </c>
      <c r="H121" s="366"/>
      <c r="I121" s="364"/>
    </row>
    <row r="122" spans="1:9">
      <c r="A122" s="312">
        <f t="shared" si="78"/>
        <v>80</v>
      </c>
      <c r="B122" s="312">
        <v>353</v>
      </c>
      <c r="C122" s="366">
        <f>'17-Depreciation'!F24</f>
        <v>4482729299.8015165</v>
      </c>
      <c r="D122" s="492">
        <f>'18-DepRates'!G9</f>
        <v>2.47E-2</v>
      </c>
      <c r="E122" s="367">
        <f t="shared" si="79"/>
        <v>110723413.70509745</v>
      </c>
      <c r="F122" s="623" t="s">
        <v>1338</v>
      </c>
      <c r="H122" s="366"/>
      <c r="I122" s="364"/>
    </row>
    <row r="123" spans="1:9">
      <c r="A123" s="312">
        <f t="shared" si="78"/>
        <v>81</v>
      </c>
      <c r="B123" s="312">
        <v>354</v>
      </c>
      <c r="C123" s="366">
        <f>'17-Depreciation'!G24</f>
        <v>2512776503.7365317</v>
      </c>
      <c r="D123" s="492">
        <f>'18-DepRates'!G10</f>
        <v>2.4400000000000002E-2</v>
      </c>
      <c r="E123" s="367">
        <f>C123*D123</f>
        <v>61311746.691171378</v>
      </c>
      <c r="F123" s="623" t="s">
        <v>1339</v>
      </c>
      <c r="H123" s="366"/>
      <c r="I123" s="364"/>
    </row>
    <row r="124" spans="1:9">
      <c r="A124" s="312">
        <f t="shared" si="78"/>
        <v>82</v>
      </c>
      <c r="B124" s="312">
        <v>355</v>
      </c>
      <c r="C124" s="366">
        <f>'17-Depreciation'!H24</f>
        <v>647749642.71152496</v>
      </c>
      <c r="D124" s="492">
        <f>'18-DepRates'!G11</f>
        <v>3.6700000000000003E-2</v>
      </c>
      <c r="E124" s="367">
        <f t="shared" si="79"/>
        <v>23772411.887512967</v>
      </c>
      <c r="F124" s="623" t="s">
        <v>1340</v>
      </c>
      <c r="H124" s="366"/>
      <c r="I124" s="364"/>
    </row>
    <row r="125" spans="1:9">
      <c r="A125" s="312">
        <f t="shared" si="78"/>
        <v>83</v>
      </c>
      <c r="B125" s="312">
        <v>356</v>
      </c>
      <c r="C125" s="366">
        <f>'17-Depreciation'!I24</f>
        <v>1690959761.9104967</v>
      </c>
      <c r="D125" s="492">
        <f>'18-DepRates'!G12</f>
        <v>3.0499999999999999E-2</v>
      </c>
      <c r="E125" s="367">
        <f t="shared" si="79"/>
        <v>51574272.738270149</v>
      </c>
      <c r="F125" s="623" t="s">
        <v>1341</v>
      </c>
      <c r="H125" s="366"/>
      <c r="I125" s="364"/>
    </row>
    <row r="126" spans="1:9">
      <c r="A126" s="312">
        <f t="shared" si="78"/>
        <v>84</v>
      </c>
      <c r="B126" s="312">
        <v>357</v>
      </c>
      <c r="C126" s="366">
        <f>'17-Depreciation'!J24</f>
        <v>215307591.14567745</v>
      </c>
      <c r="D126" s="492">
        <f>'18-DepRates'!G13</f>
        <v>1.6500000000000001E-2</v>
      </c>
      <c r="E126" s="367">
        <f t="shared" si="79"/>
        <v>3552575.2539036782</v>
      </c>
      <c r="F126" s="623" t="s">
        <v>1342</v>
      </c>
      <c r="H126" s="366"/>
      <c r="I126" s="364"/>
    </row>
    <row r="127" spans="1:9">
      <c r="A127" s="312">
        <f t="shared" si="78"/>
        <v>85</v>
      </c>
      <c r="B127" s="312">
        <v>358</v>
      </c>
      <c r="C127" s="366">
        <f>'17-Depreciation'!K24</f>
        <v>58752899.030000001</v>
      </c>
      <c r="D127" s="492">
        <f>'18-DepRates'!G14</f>
        <v>3.8699999999999998E-2</v>
      </c>
      <c r="E127" s="367">
        <f t="shared" si="79"/>
        <v>2273737.1924609998</v>
      </c>
      <c r="F127" s="623" t="s">
        <v>1343</v>
      </c>
      <c r="H127" s="366"/>
      <c r="I127" s="364"/>
    </row>
    <row r="128" spans="1:9">
      <c r="A128" s="312">
        <f t="shared" si="78"/>
        <v>86</v>
      </c>
      <c r="B128" s="312">
        <v>359</v>
      </c>
      <c r="C128" s="366">
        <f>'17-Depreciation'!L24</f>
        <v>226060419.8889825</v>
      </c>
      <c r="D128" s="492">
        <f>'18-DepRates'!G15</f>
        <v>1.5599999999999999E-2</v>
      </c>
      <c r="E128" s="367">
        <f t="shared" si="79"/>
        <v>3526542.5502681271</v>
      </c>
      <c r="F128" s="623" t="s">
        <v>1344</v>
      </c>
      <c r="H128" s="366"/>
      <c r="I128" s="364"/>
    </row>
    <row r="129" spans="1:9">
      <c r="A129" s="312">
        <f t="shared" si="78"/>
        <v>87</v>
      </c>
    </row>
    <row r="130" spans="1:9">
      <c r="A130" s="312">
        <f t="shared" si="78"/>
        <v>88</v>
      </c>
      <c r="C130" s="305" t="s">
        <v>1345</v>
      </c>
      <c r="E130" s="367">
        <f>SUM(E119:E128)</f>
        <v>283920318.5124715</v>
      </c>
      <c r="F130" s="305" t="str">
        <f>"Sum of C"&amp;RIGHT(E115)&amp;" Lines "&amp;A119&amp;" to "&amp;A128</f>
        <v>Sum of C4 Lines 77 to 86</v>
      </c>
    </row>
    <row r="131" spans="1:9">
      <c r="A131" s="312">
        <f t="shared" si="78"/>
        <v>89</v>
      </c>
      <c r="C131" s="305" t="str">
        <f>"Sum of Dec Prior Year Plant"</f>
        <v>Sum of Dec Prior Year Plant</v>
      </c>
      <c r="E131" s="367">
        <f>SUM(C119:C128)</f>
        <v>11054605947.014814</v>
      </c>
      <c r="F131" s="305" t="str">
        <f>"Sum of C"&amp;RIGHT(C115)&amp;" Lines "&amp;A119&amp;" to "&amp;A128</f>
        <v>Sum of C2 Lines 77 to 86</v>
      </c>
    </row>
    <row r="132" spans="1:9">
      <c r="A132" s="312">
        <f t="shared" si="78"/>
        <v>90</v>
      </c>
    </row>
    <row r="133" spans="1:9">
      <c r="A133" s="312">
        <f t="shared" si="78"/>
        <v>91</v>
      </c>
      <c r="C133" s="305" t="s">
        <v>1346</v>
      </c>
      <c r="E133" s="350">
        <f>E130/E131</f>
        <v>2.5683440899957301E-2</v>
      </c>
      <c r="F133" s="305" t="str">
        <f>"Line "&amp;A130&amp;" / Line "&amp;A131</f>
        <v>Line 88 / Line 89</v>
      </c>
    </row>
    <row r="134" spans="1:9">
      <c r="A134" s="312"/>
    </row>
    <row r="135" spans="1:9">
      <c r="A135" s="312"/>
      <c r="B135" s="336" t="s">
        <v>226</v>
      </c>
      <c r="C135"/>
      <c r="D135"/>
      <c r="E135"/>
      <c r="F135"/>
      <c r="G135"/>
      <c r="H135"/>
      <c r="I135"/>
    </row>
    <row r="136" spans="1:9">
      <c r="A136" s="312"/>
      <c r="B136" s="331" t="s">
        <v>1018</v>
      </c>
      <c r="C136"/>
      <c r="D136"/>
      <c r="E136"/>
      <c r="F136"/>
      <c r="G136"/>
      <c r="H136"/>
      <c r="I136"/>
    </row>
    <row r="137" spans="1:9">
      <c r="A137" s="312"/>
      <c r="B137" s="331" t="s">
        <v>1347</v>
      </c>
      <c r="C137"/>
      <c r="D137"/>
      <c r="E137"/>
      <c r="F137"/>
      <c r="G137"/>
      <c r="H137"/>
      <c r="I137"/>
    </row>
    <row r="138" spans="1:9">
      <c r="A138" s="312"/>
    </row>
    <row r="139" spans="1:9">
      <c r="A139" s="312"/>
    </row>
    <row r="140" spans="1:9">
      <c r="A140" s="312"/>
    </row>
    <row r="141" spans="1:9">
      <c r="A141" s="312"/>
    </row>
    <row r="142" spans="1:9">
      <c r="A142" s="312"/>
    </row>
    <row r="143" spans="1:9">
      <c r="A143" s="312"/>
    </row>
    <row r="144" spans="1:9">
      <c r="A144" s="312"/>
    </row>
    <row r="145" spans="1:1">
      <c r="A145" s="312"/>
    </row>
    <row r="146" spans="1:1">
      <c r="A146" s="312"/>
    </row>
    <row r="147" spans="1:1">
      <c r="A147" s="312"/>
    </row>
    <row r="148" spans="1:1">
      <c r="A148" s="312"/>
    </row>
    <row r="149" spans="1:1">
      <c r="A149" s="312"/>
    </row>
    <row r="150" spans="1:1">
      <c r="A150" s="312"/>
    </row>
    <row r="151" spans="1:1">
      <c r="A151" s="312"/>
    </row>
    <row r="152" spans="1:1">
      <c r="A152" s="312"/>
    </row>
    <row r="153" spans="1:1">
      <c r="A153" s="312"/>
    </row>
    <row r="154" spans="1:1">
      <c r="A154" s="312"/>
    </row>
    <row r="155" spans="1:1">
      <c r="A155" s="312"/>
    </row>
    <row r="156" spans="1:1">
      <c r="A156" s="312"/>
    </row>
    <row r="157" spans="1:1">
      <c r="A157" s="312"/>
    </row>
    <row r="158" spans="1:1">
      <c r="A158" s="312"/>
    </row>
    <row r="159" spans="1:1">
      <c r="A159" s="312"/>
    </row>
    <row r="160" spans="1:1">
      <c r="A160" s="312"/>
    </row>
    <row r="161" spans="1:1">
      <c r="A161" s="312"/>
    </row>
    <row r="162" spans="1:1">
      <c r="A162" s="312"/>
    </row>
    <row r="163" spans="1:1">
      <c r="A163" s="312"/>
    </row>
    <row r="164" spans="1:1">
      <c r="A164" s="312"/>
    </row>
    <row r="165" spans="1:1">
      <c r="A165" s="312"/>
    </row>
    <row r="166" spans="1:1">
      <c r="A166" s="312"/>
    </row>
    <row r="167" spans="1:1">
      <c r="A167" s="312"/>
    </row>
    <row r="168" spans="1:1">
      <c r="A168" s="312"/>
    </row>
    <row r="169" spans="1:1">
      <c r="A169" s="312"/>
    </row>
    <row r="170" spans="1:1">
      <c r="A170" s="312"/>
    </row>
    <row r="171" spans="1:1">
      <c r="A171" s="312"/>
    </row>
    <row r="172" spans="1:1">
      <c r="A172" s="312"/>
    </row>
    <row r="173" spans="1:1">
      <c r="A173" s="312"/>
    </row>
    <row r="174" spans="1:1">
      <c r="A174" s="312"/>
    </row>
    <row r="175" spans="1:1">
      <c r="A175" s="312"/>
    </row>
    <row r="176" spans="1:1">
      <c r="A176" s="312"/>
    </row>
    <row r="177" spans="1:1">
      <c r="A177" s="312"/>
    </row>
    <row r="178" spans="1:1">
      <c r="A178" s="312"/>
    </row>
    <row r="179" spans="1:1">
      <c r="A179" s="312"/>
    </row>
    <row r="180" spans="1:1">
      <c r="A180" s="312"/>
    </row>
    <row r="181" spans="1:1">
      <c r="A181" s="312"/>
    </row>
    <row r="182" spans="1:1">
      <c r="A182" s="312"/>
    </row>
    <row r="183" spans="1:1">
      <c r="A183" s="312"/>
    </row>
    <row r="184" spans="1:1">
      <c r="A184" s="312"/>
    </row>
    <row r="185" spans="1:1">
      <c r="A185" s="312"/>
    </row>
    <row r="186" spans="1:1">
      <c r="A186" s="312"/>
    </row>
    <row r="187" spans="1:1">
      <c r="A187" s="312"/>
    </row>
    <row r="188" spans="1:1">
      <c r="A188" s="312"/>
    </row>
    <row r="189" spans="1:1">
      <c r="A189" s="312"/>
    </row>
    <row r="190" spans="1:1">
      <c r="A190" s="312"/>
    </row>
    <row r="191" spans="1:1">
      <c r="A191" s="312"/>
    </row>
    <row r="192" spans="1:1">
      <c r="A192" s="312"/>
    </row>
    <row r="193" spans="1:1">
      <c r="A193" s="312"/>
    </row>
    <row r="194" spans="1:1">
      <c r="A194" s="312"/>
    </row>
    <row r="195" spans="1:1">
      <c r="A195" s="312"/>
    </row>
    <row r="196" spans="1:1">
      <c r="A196" s="312"/>
    </row>
    <row r="197" spans="1:1">
      <c r="A197" s="312"/>
    </row>
    <row r="198" spans="1:1">
      <c r="A198" s="312"/>
    </row>
    <row r="199" spans="1:1">
      <c r="A199" s="312"/>
    </row>
    <row r="200" spans="1:1">
      <c r="A200" s="312"/>
    </row>
    <row r="201" spans="1:1">
      <c r="A201" s="312"/>
    </row>
    <row r="202" spans="1:1">
      <c r="A202" s="312"/>
    </row>
    <row r="203" spans="1:1">
      <c r="A203" s="312"/>
    </row>
    <row r="204" spans="1:1">
      <c r="A204" s="312"/>
    </row>
  </sheetData>
  <pageMargins left="0.7" right="0.7" top="0.75" bottom="0.75" header="0.3" footer="0.3"/>
  <pageSetup scale="52" orientation="landscape" cellComments="asDisplayed" r:id="rId1"/>
  <headerFooter>
    <oddHeader>&amp;CSchedule 16
Plant Additions
&amp;RTO2025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workbookViewId="0"/>
  </sheetViews>
  <sheetFormatPr defaultRowHeight="12.75"/>
  <cols>
    <col min="1" max="1" width="4.5703125" customWidth="1"/>
    <col min="3" max="3" width="15.42578125" customWidth="1"/>
    <col min="4" max="5" width="14.5703125" customWidth="1"/>
    <col min="6" max="6" width="15.5703125" customWidth="1"/>
    <col min="7" max="12" width="14.5703125" customWidth="1"/>
    <col min="13" max="13" width="16" bestFit="1" customWidth="1"/>
  </cols>
  <sheetData>
    <row r="1" spans="1:13">
      <c r="A1" s="1" t="s">
        <v>200</v>
      </c>
      <c r="B1" s="113"/>
      <c r="C1" s="113"/>
      <c r="D1" s="113"/>
      <c r="E1" s="113"/>
      <c r="F1" s="113"/>
      <c r="G1" s="113"/>
      <c r="H1" s="113"/>
      <c r="I1" s="261" t="s">
        <v>693</v>
      </c>
      <c r="J1" s="104"/>
      <c r="K1" s="113"/>
      <c r="L1" s="113"/>
      <c r="M1" s="113"/>
    </row>
    <row r="2" spans="1:13">
      <c r="A2" s="113"/>
      <c r="B2" s="113"/>
      <c r="C2" s="113"/>
      <c r="D2" s="113"/>
      <c r="E2" s="113"/>
      <c r="F2" s="113"/>
      <c r="G2" s="113"/>
      <c r="H2" s="113"/>
      <c r="K2" s="113"/>
      <c r="L2" s="113"/>
      <c r="M2" s="113"/>
    </row>
    <row r="3" spans="1:13">
      <c r="A3" s="113"/>
      <c r="B3" s="1" t="s">
        <v>1348</v>
      </c>
      <c r="C3" s="113"/>
      <c r="D3" s="113"/>
      <c r="E3" s="113"/>
      <c r="F3" s="113"/>
      <c r="G3" s="113"/>
      <c r="H3" s="113"/>
      <c r="I3" s="114" t="s">
        <v>634</v>
      </c>
      <c r="J3" s="816">
        <v>2023</v>
      </c>
      <c r="K3" s="113"/>
      <c r="L3" s="113"/>
      <c r="M3" s="113"/>
    </row>
    <row r="4" spans="1:13">
      <c r="A4" s="113"/>
      <c r="B4" s="113"/>
      <c r="C4" s="113"/>
      <c r="D4" s="113"/>
      <c r="E4" s="113"/>
      <c r="F4" s="113"/>
      <c r="G4" s="113"/>
      <c r="H4" s="113"/>
      <c r="I4" s="113"/>
      <c r="J4" s="113"/>
      <c r="K4" s="113"/>
      <c r="L4" s="113"/>
      <c r="M4" s="113"/>
    </row>
    <row r="5" spans="1:13">
      <c r="A5" s="113"/>
      <c r="B5" s="235" t="s">
        <v>1349</v>
      </c>
      <c r="C5" s="113"/>
      <c r="D5" s="113"/>
      <c r="E5" s="113"/>
      <c r="F5" s="113"/>
      <c r="G5" s="113"/>
      <c r="H5" s="235" t="s">
        <v>1350</v>
      </c>
      <c r="I5" s="113"/>
      <c r="J5" s="113"/>
      <c r="K5" s="113"/>
      <c r="L5" s="113"/>
      <c r="M5" s="113"/>
    </row>
    <row r="6" spans="1:13">
      <c r="A6" s="113"/>
      <c r="B6" s="113"/>
      <c r="C6" s="113"/>
      <c r="D6" s="113"/>
      <c r="E6" s="113"/>
      <c r="F6" s="113"/>
      <c r="G6" s="113"/>
      <c r="H6" s="113"/>
      <c r="I6" s="113"/>
      <c r="J6" s="113"/>
      <c r="K6" s="113"/>
      <c r="L6" s="113"/>
      <c r="M6" s="113"/>
    </row>
    <row r="7" spans="1:13">
      <c r="A7" s="113"/>
      <c r="B7" s="48" t="s">
        <v>329</v>
      </c>
      <c r="C7" s="48" t="s">
        <v>330</v>
      </c>
      <c r="D7" s="48" t="s">
        <v>331</v>
      </c>
      <c r="E7" s="48" t="s">
        <v>332</v>
      </c>
      <c r="F7" s="48" t="s">
        <v>333</v>
      </c>
      <c r="G7" s="48" t="s">
        <v>334</v>
      </c>
      <c r="H7" s="48" t="s">
        <v>335</v>
      </c>
      <c r="I7" s="48" t="s">
        <v>336</v>
      </c>
      <c r="J7" s="48" t="s">
        <v>337</v>
      </c>
      <c r="K7" s="48" t="s">
        <v>582</v>
      </c>
      <c r="L7" s="48" t="s">
        <v>583</v>
      </c>
      <c r="M7" s="48" t="s">
        <v>584</v>
      </c>
    </row>
    <row r="8" spans="1:13">
      <c r="A8" s="113"/>
      <c r="B8" s="126"/>
      <c r="C8" s="113"/>
      <c r="D8" s="113"/>
      <c r="E8" s="113"/>
      <c r="F8" s="113"/>
      <c r="G8" s="113"/>
      <c r="H8" s="113"/>
      <c r="I8" s="113"/>
      <c r="J8" s="113"/>
      <c r="K8" s="113"/>
      <c r="L8" s="113"/>
      <c r="M8" s="113"/>
    </row>
    <row r="9" spans="1:13">
      <c r="A9" s="113"/>
      <c r="B9" s="2"/>
      <c r="C9" s="245" t="s">
        <v>239</v>
      </c>
      <c r="D9" s="113"/>
      <c r="E9" s="113"/>
      <c r="F9" s="113"/>
      <c r="G9" s="113"/>
      <c r="H9" s="113"/>
      <c r="I9" s="113"/>
      <c r="J9" s="113"/>
      <c r="K9" s="113"/>
      <c r="L9" s="113"/>
      <c r="M9" s="113"/>
    </row>
    <row r="10" spans="1:13">
      <c r="A10" s="113"/>
      <c r="B10" s="2"/>
      <c r="C10" s="245" t="s">
        <v>736</v>
      </c>
      <c r="D10" s="113"/>
      <c r="E10" s="113"/>
      <c r="F10" s="113"/>
      <c r="G10" s="113"/>
      <c r="H10" s="113"/>
      <c r="I10" s="113"/>
      <c r="J10" s="113"/>
      <c r="K10" s="113"/>
      <c r="L10" s="113"/>
      <c r="M10" s="113"/>
    </row>
    <row r="11" spans="1: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c r="A12" s="2">
        <v>1</v>
      </c>
      <c r="B12" s="510" t="s">
        <v>2806</v>
      </c>
      <c r="C12" s="115">
        <f>'6-PlantInService'!C12</f>
        <v>91354351.12134552</v>
      </c>
      <c r="D12" s="115">
        <f>'6-PlantInService'!D12</f>
        <v>186649854.17376119</v>
      </c>
      <c r="E12" s="115">
        <f>'6-PlantInService'!E12</f>
        <v>905947634.99990344</v>
      </c>
      <c r="F12" s="115">
        <f>'6-PlantInService'!F12</f>
        <v>4413849878.0075893</v>
      </c>
      <c r="G12" s="115">
        <f>'6-PlantInService'!G12</f>
        <v>2498952320.6450973</v>
      </c>
      <c r="H12" s="115">
        <f>'6-PlantInService'!H12</f>
        <v>632230698.139871</v>
      </c>
      <c r="I12" s="115">
        <f>'6-PlantInService'!I12</f>
        <v>1693990750.0441651</v>
      </c>
      <c r="J12" s="115">
        <f>'6-PlantInService'!J12</f>
        <v>215308526.7923716</v>
      </c>
      <c r="K12" s="115">
        <f>'6-PlantInService'!K12</f>
        <v>58752899.030000001</v>
      </c>
      <c r="L12" s="115">
        <f>'6-PlantInService'!L12</f>
        <v>226348866.10201341</v>
      </c>
      <c r="M12" s="115">
        <f>'6-PlantInService'!M12</f>
        <v>10923385779.056118</v>
      </c>
    </row>
    <row r="13" spans="1:13">
      <c r="A13" s="2">
        <f>A12+1</f>
        <v>2</v>
      </c>
      <c r="B13" s="510" t="s">
        <v>2904</v>
      </c>
      <c r="C13" s="115">
        <f>'6-PlantInService'!C13</f>
        <v>91360856.024223939</v>
      </c>
      <c r="D13" s="115">
        <f>'6-PlantInService'!D13</f>
        <v>186686635.66252437</v>
      </c>
      <c r="E13" s="115">
        <f>'6-PlantInService'!E13</f>
        <v>909575987.60012722</v>
      </c>
      <c r="F13" s="115">
        <f>'6-PlantInService'!F13</f>
        <v>4425324110.192091</v>
      </c>
      <c r="G13" s="115">
        <f>'6-PlantInService'!G13</f>
        <v>2496828979.3316588</v>
      </c>
      <c r="H13" s="115">
        <f>'6-PlantInService'!H13</f>
        <v>632833301.76334608</v>
      </c>
      <c r="I13" s="115">
        <f>'6-PlantInService'!I13</f>
        <v>1694222032.1924815</v>
      </c>
      <c r="J13" s="115">
        <f>'6-PlantInService'!J13</f>
        <v>215308527.45386115</v>
      </c>
      <c r="K13" s="115">
        <f>'6-PlantInService'!K13</f>
        <v>58752899.030000001</v>
      </c>
      <c r="L13" s="115">
        <f>'6-PlantInService'!L13</f>
        <v>226351598.33994603</v>
      </c>
      <c r="M13" s="115">
        <f>'6-PlantInService'!M13</f>
        <v>10937244927.590261</v>
      </c>
    </row>
    <row r="14" spans="1:13">
      <c r="A14" s="2">
        <f t="shared" ref="A14:A76" si="0">A13+1</f>
        <v>3</v>
      </c>
      <c r="B14" s="510" t="s">
        <v>2905</v>
      </c>
      <c r="C14" s="115">
        <f>'6-PlantInService'!C14</f>
        <v>91360844.404224038</v>
      </c>
      <c r="D14" s="115">
        <f>'6-PlantInService'!D14</f>
        <v>186682150.40498695</v>
      </c>
      <c r="E14" s="115">
        <f>'6-PlantInService'!E14</f>
        <v>911200712.79662108</v>
      </c>
      <c r="F14" s="115">
        <f>'6-PlantInService'!F14</f>
        <v>4432348094.0657139</v>
      </c>
      <c r="G14" s="115">
        <f>'6-PlantInService'!G14</f>
        <v>2497548341.0226398</v>
      </c>
      <c r="H14" s="115">
        <f>'6-PlantInService'!H14</f>
        <v>633997058.15013897</v>
      </c>
      <c r="I14" s="115">
        <f>'6-PlantInService'!I14</f>
        <v>1695235031.7030413</v>
      </c>
      <c r="J14" s="115">
        <f>'6-PlantInService'!J14</f>
        <v>215308526.80438283</v>
      </c>
      <c r="K14" s="115">
        <f>'6-PlantInService'!K14</f>
        <v>58752899.030000001</v>
      </c>
      <c r="L14" s="115">
        <f>'6-PlantInService'!L14</f>
        <v>225665596.47564393</v>
      </c>
      <c r="M14" s="115">
        <f>'6-PlantInService'!M14</f>
        <v>10948099254.857391</v>
      </c>
    </row>
    <row r="15" spans="1:13">
      <c r="A15" s="2">
        <f t="shared" si="0"/>
        <v>4</v>
      </c>
      <c r="B15" s="510" t="s">
        <v>2906</v>
      </c>
      <c r="C15" s="115">
        <f>'6-PlantInService'!C15</f>
        <v>91360844.404224038</v>
      </c>
      <c r="D15" s="115">
        <f>'6-PlantInService'!D15</f>
        <v>186683913.60611191</v>
      </c>
      <c r="E15" s="115">
        <f>'6-PlantInService'!E15</f>
        <v>913184865.19247019</v>
      </c>
      <c r="F15" s="115">
        <f>'6-PlantInService'!F15</f>
        <v>4435269825.3638945</v>
      </c>
      <c r="G15" s="115">
        <f>'6-PlantInService'!G15</f>
        <v>2505072967.5939345</v>
      </c>
      <c r="H15" s="115">
        <f>'6-PlantInService'!H15</f>
        <v>634857718.98928499</v>
      </c>
      <c r="I15" s="115">
        <f>'6-PlantInService'!I15</f>
        <v>1693743629.9988923</v>
      </c>
      <c r="J15" s="115">
        <f>'6-PlantInService'!J15</f>
        <v>215308526.7051594</v>
      </c>
      <c r="K15" s="115">
        <f>'6-PlantInService'!K15</f>
        <v>58752899.030000001</v>
      </c>
      <c r="L15" s="115">
        <f>'6-PlantInService'!L15</f>
        <v>225672159.08589929</v>
      </c>
      <c r="M15" s="115">
        <f>'6-PlantInService'!M15</f>
        <v>10959907349.969872</v>
      </c>
    </row>
    <row r="16" spans="1:13">
      <c r="A16" s="2">
        <f t="shared" si="0"/>
        <v>5</v>
      </c>
      <c r="B16" s="510" t="s">
        <v>2907</v>
      </c>
      <c r="C16" s="115">
        <f>'6-PlantInService'!C16</f>
        <v>96924490.60422352</v>
      </c>
      <c r="D16" s="115">
        <f>'6-PlantInService'!D16</f>
        <v>186690925.89820161</v>
      </c>
      <c r="E16" s="115">
        <f>'6-PlantInService'!E16</f>
        <v>914330604.68388569</v>
      </c>
      <c r="F16" s="115">
        <f>'6-PlantInService'!F16</f>
        <v>4439166131.0007229</v>
      </c>
      <c r="G16" s="115">
        <f>'6-PlantInService'!G16</f>
        <v>2503226894.7353525</v>
      </c>
      <c r="H16" s="115">
        <f>'6-PlantInService'!H16</f>
        <v>630607091.60477042</v>
      </c>
      <c r="I16" s="115">
        <f>'6-PlantInService'!I16</f>
        <v>1693787861.5151427</v>
      </c>
      <c r="J16" s="115">
        <f>'6-PlantInService'!J16</f>
        <v>215308524.15616161</v>
      </c>
      <c r="K16" s="115">
        <f>'6-PlantInService'!K16</f>
        <v>58752899.030000001</v>
      </c>
      <c r="L16" s="115">
        <f>'6-PlantInService'!L16</f>
        <v>225684581.27664745</v>
      </c>
      <c r="M16" s="115">
        <f>'6-PlantInService'!M16</f>
        <v>10964480004.50511</v>
      </c>
    </row>
    <row r="17" spans="1:14">
      <c r="A17" s="2">
        <f t="shared" si="0"/>
        <v>6</v>
      </c>
      <c r="B17" s="510" t="s">
        <v>2908</v>
      </c>
      <c r="C17" s="115">
        <f>'6-PlantInService'!C17</f>
        <v>96932345.806224823</v>
      </c>
      <c r="D17" s="115">
        <f>'6-PlantInService'!D17</f>
        <v>188210233.85660809</v>
      </c>
      <c r="E17" s="115">
        <f>'6-PlantInService'!E17</f>
        <v>920079893.30575597</v>
      </c>
      <c r="F17" s="115">
        <f>'6-PlantInService'!F17</f>
        <v>4446749948.468976</v>
      </c>
      <c r="G17" s="115">
        <f>'6-PlantInService'!G17</f>
        <v>2504645136.8927774</v>
      </c>
      <c r="H17" s="115">
        <f>'6-PlantInService'!H17</f>
        <v>632206763.31792939</v>
      </c>
      <c r="I17" s="115">
        <f>'6-PlantInService'!I17</f>
        <v>1696885127.3318267</v>
      </c>
      <c r="J17" s="115">
        <f>'6-PlantInService'!J17</f>
        <v>215308524.0142895</v>
      </c>
      <c r="K17" s="115">
        <f>'6-PlantInService'!K17</f>
        <v>58752899.030000001</v>
      </c>
      <c r="L17" s="115">
        <f>'6-PlantInService'!L17</f>
        <v>225717785.99956226</v>
      </c>
      <c r="M17" s="115">
        <f>'6-PlantInService'!M17</f>
        <v>10985488658.023952</v>
      </c>
    </row>
    <row r="18" spans="1:14">
      <c r="A18" s="2">
        <f t="shared" si="0"/>
        <v>7</v>
      </c>
      <c r="B18" s="510" t="s">
        <v>2909</v>
      </c>
      <c r="C18" s="115">
        <f>'6-PlantInService'!C18</f>
        <v>97013963.319464684</v>
      </c>
      <c r="D18" s="115">
        <f>'6-PlantInService'!D18</f>
        <v>188227486.1263299</v>
      </c>
      <c r="E18" s="115">
        <f>'6-PlantInService'!E18</f>
        <v>927134528.08582163</v>
      </c>
      <c r="F18" s="115">
        <f>'6-PlantInService'!F18</f>
        <v>4446534444.3025551</v>
      </c>
      <c r="G18" s="115">
        <f>'6-PlantInService'!G18</f>
        <v>2505368006.5414114</v>
      </c>
      <c r="H18" s="115">
        <f>'6-PlantInService'!H18</f>
        <v>637561192.23332167</v>
      </c>
      <c r="I18" s="115">
        <f>'6-PlantInService'!I18</f>
        <v>1697201495.6214955</v>
      </c>
      <c r="J18" s="115">
        <f>'6-PlantInService'!J18</f>
        <v>215309100.8932426</v>
      </c>
      <c r="K18" s="115">
        <f>'6-PlantInService'!K18</f>
        <v>58752899.030000001</v>
      </c>
      <c r="L18" s="115">
        <f>'6-PlantInService'!L18</f>
        <v>225744291.82482889</v>
      </c>
      <c r="M18" s="115">
        <f>'6-PlantInService'!M18</f>
        <v>10998847407.978472</v>
      </c>
    </row>
    <row r="19" spans="1:14">
      <c r="A19" s="2">
        <f t="shared" si="0"/>
        <v>8</v>
      </c>
      <c r="B19" s="510" t="s">
        <v>2910</v>
      </c>
      <c r="C19" s="115">
        <f>'6-PlantInService'!C19</f>
        <v>97017136.745377705</v>
      </c>
      <c r="D19" s="115">
        <f>'6-PlantInService'!D19</f>
        <v>188238587.09769842</v>
      </c>
      <c r="E19" s="115">
        <f>'6-PlantInService'!E19</f>
        <v>929027289.46914983</v>
      </c>
      <c r="F19" s="115">
        <f>'6-PlantInService'!F19</f>
        <v>4451242490.1925058</v>
      </c>
      <c r="G19" s="115">
        <f>'6-PlantInService'!G19</f>
        <v>2507643127.5174818</v>
      </c>
      <c r="H19" s="115">
        <f>'6-PlantInService'!H19</f>
        <v>638754330.26226163</v>
      </c>
      <c r="I19" s="115">
        <f>'6-PlantInService'!I19</f>
        <v>1698491796.0801141</v>
      </c>
      <c r="J19" s="115">
        <f>'6-PlantInService'!J19</f>
        <v>215307589.11542669</v>
      </c>
      <c r="K19" s="115">
        <f>'6-PlantInService'!K19</f>
        <v>58752899.030000001</v>
      </c>
      <c r="L19" s="115">
        <f>'6-PlantInService'!L19</f>
        <v>225774293.45965403</v>
      </c>
      <c r="M19" s="115">
        <f>'6-PlantInService'!M19</f>
        <v>11010249538.969671</v>
      </c>
    </row>
    <row r="20" spans="1:14">
      <c r="A20" s="2">
        <f t="shared" si="0"/>
        <v>9</v>
      </c>
      <c r="B20" s="510" t="s">
        <v>2911</v>
      </c>
      <c r="C20" s="115">
        <f>'6-PlantInService'!C20</f>
        <v>97039965.250894785</v>
      </c>
      <c r="D20" s="115">
        <f>'6-PlantInService'!D20</f>
        <v>188251995.32741889</v>
      </c>
      <c r="E20" s="115">
        <f>'6-PlantInService'!E20</f>
        <v>931531685.81284404</v>
      </c>
      <c r="F20" s="115">
        <f>'6-PlantInService'!F20</f>
        <v>4451183663.2286968</v>
      </c>
      <c r="G20" s="115">
        <f>'6-PlantInService'!G20</f>
        <v>2507638328.3265815</v>
      </c>
      <c r="H20" s="115">
        <f>'6-PlantInService'!H20</f>
        <v>639899681.40671182</v>
      </c>
      <c r="I20" s="115">
        <f>'6-PlantInService'!I20</f>
        <v>1698886746.6513004</v>
      </c>
      <c r="J20" s="115">
        <f>'6-PlantInService'!J20</f>
        <v>215307591.47067767</v>
      </c>
      <c r="K20" s="115">
        <f>'6-PlantInService'!K20</f>
        <v>58752899.030000001</v>
      </c>
      <c r="L20" s="115">
        <f>'6-PlantInService'!L20</f>
        <v>225777463.08971265</v>
      </c>
      <c r="M20" s="115">
        <f>'6-PlantInService'!M20</f>
        <v>11014270019.594839</v>
      </c>
    </row>
    <row r="21" spans="1:14">
      <c r="A21" s="2">
        <f t="shared" si="0"/>
        <v>10</v>
      </c>
      <c r="B21" s="510" t="s">
        <v>2912</v>
      </c>
      <c r="C21" s="115">
        <f>'6-PlantInService'!C21</f>
        <v>97764256.392680928</v>
      </c>
      <c r="D21" s="115">
        <f>'6-PlantInService'!D21</f>
        <v>188272015.30422691</v>
      </c>
      <c r="E21" s="115">
        <f>'6-PlantInService'!E21</f>
        <v>931968248.89327264</v>
      </c>
      <c r="F21" s="115">
        <f>'6-PlantInService'!F21</f>
        <v>4454855538.3186417</v>
      </c>
      <c r="G21" s="115">
        <f>'6-PlantInService'!G21</f>
        <v>2507757154.1499157</v>
      </c>
      <c r="H21" s="115">
        <f>'6-PlantInService'!H21</f>
        <v>642090532.26635039</v>
      </c>
      <c r="I21" s="115">
        <f>'6-PlantInService'!I21</f>
        <v>1696020142.0419817</v>
      </c>
      <c r="J21" s="115">
        <f>'6-PlantInService'!J21</f>
        <v>215307591.15838498</v>
      </c>
      <c r="K21" s="115">
        <f>'6-PlantInService'!K21</f>
        <v>58752899.030000001</v>
      </c>
      <c r="L21" s="115">
        <f>'6-PlantInService'!L21</f>
        <v>226012989.90165657</v>
      </c>
      <c r="M21" s="115">
        <f>'6-PlantInService'!M21</f>
        <v>11018801367.457111</v>
      </c>
    </row>
    <row r="22" spans="1:14">
      <c r="A22" s="2">
        <f t="shared" si="0"/>
        <v>11</v>
      </c>
      <c r="B22" s="510" t="s">
        <v>2913</v>
      </c>
      <c r="C22" s="115">
        <f>'6-PlantInService'!C22</f>
        <v>97848755.615085199</v>
      </c>
      <c r="D22" s="115">
        <f>'6-PlantInService'!D22</f>
        <v>188253758.39412954</v>
      </c>
      <c r="E22" s="115">
        <f>'6-PlantInService'!E22</f>
        <v>932409203.35064852</v>
      </c>
      <c r="F22" s="115">
        <f>'6-PlantInService'!F22</f>
        <v>4460257403.9530258</v>
      </c>
      <c r="G22" s="115">
        <f>'6-PlantInService'!G22</f>
        <v>2509077222.8719516</v>
      </c>
      <c r="H22" s="115">
        <f>'6-PlantInService'!H22</f>
        <v>644495932.13584304</v>
      </c>
      <c r="I22" s="115">
        <f>'6-PlantInService'!I22</f>
        <v>1691740804.2394595</v>
      </c>
      <c r="J22" s="115">
        <f>'6-PlantInService'!J22</f>
        <v>215307591.15716645</v>
      </c>
      <c r="K22" s="115">
        <f>'6-PlantInService'!K22</f>
        <v>58752899.030000001</v>
      </c>
      <c r="L22" s="115">
        <f>'6-PlantInService'!L22</f>
        <v>226024101.20543167</v>
      </c>
      <c r="M22" s="115">
        <f>'6-PlantInService'!M22</f>
        <v>11024167671.952742</v>
      </c>
    </row>
    <row r="23" spans="1:14">
      <c r="A23" s="2">
        <f t="shared" si="0"/>
        <v>12</v>
      </c>
      <c r="B23" s="510" t="s">
        <v>2914</v>
      </c>
      <c r="C23" s="115">
        <f>'6-PlantInService'!C23</f>
        <v>95809960.664716199</v>
      </c>
      <c r="D23" s="115">
        <f>'6-PlantInService'!D23</f>
        <v>188240853.2761232</v>
      </c>
      <c r="E23" s="115">
        <f>'6-PlantInService'!E23</f>
        <v>935085457.02228713</v>
      </c>
      <c r="F23" s="115">
        <f>'6-PlantInService'!F23</f>
        <v>4469400341.0722008</v>
      </c>
      <c r="G23" s="115">
        <f>'6-PlantInService'!G23</f>
        <v>2510377346.1847472</v>
      </c>
      <c r="H23" s="115">
        <f>'6-PlantInService'!H23</f>
        <v>645828469.18593907</v>
      </c>
      <c r="I23" s="115">
        <f>'6-PlantInService'!I23</f>
        <v>1691999537.0352275</v>
      </c>
      <c r="J23" s="115">
        <f>'6-PlantInService'!J23</f>
        <v>215307591.156122</v>
      </c>
      <c r="K23" s="115">
        <f>'6-PlantInService'!K23</f>
        <v>58752899.030000001</v>
      </c>
      <c r="L23" s="115">
        <f>'6-PlantInService'!L23</f>
        <v>226050423.49171647</v>
      </c>
      <c r="M23" s="115">
        <f>'6-PlantInService'!M23</f>
        <v>11036852878.119081</v>
      </c>
    </row>
    <row r="24" spans="1:14">
      <c r="A24" s="2">
        <f t="shared" si="0"/>
        <v>13</v>
      </c>
      <c r="B24" s="510" t="s">
        <v>2915</v>
      </c>
      <c r="C24" s="115">
        <f>'6-PlantInService'!C24</f>
        <v>95810136.794716418</v>
      </c>
      <c r="D24" s="115">
        <f>'6-PlantInService'!D24</f>
        <v>188241273.68068492</v>
      </c>
      <c r="E24" s="115">
        <f>'6-PlantInService'!E24</f>
        <v>936218418.31468368</v>
      </c>
      <c r="F24" s="115">
        <f>'6-PlantInService'!F24</f>
        <v>4482729299.8015165</v>
      </c>
      <c r="G24" s="115">
        <f>'6-PlantInService'!G24</f>
        <v>2512776503.7365317</v>
      </c>
      <c r="H24" s="115">
        <f>'6-PlantInService'!H24</f>
        <v>647749642.71152496</v>
      </c>
      <c r="I24" s="115">
        <f>'6-PlantInService'!I24</f>
        <v>1690959761.9104967</v>
      </c>
      <c r="J24" s="115">
        <f>'6-PlantInService'!J24</f>
        <v>215307591.14567745</v>
      </c>
      <c r="K24" s="115">
        <f>'6-PlantInService'!K24</f>
        <v>58752899.030000001</v>
      </c>
      <c r="L24" s="115">
        <f>'6-PlantInService'!L24</f>
        <v>226060419.8889825</v>
      </c>
      <c r="M24" s="115">
        <f>'6-PlantInService'!M24</f>
        <v>11054605947.014814</v>
      </c>
    </row>
    <row r="25" spans="1:14">
      <c r="A25" s="2">
        <f t="shared" si="0"/>
        <v>14</v>
      </c>
      <c r="B25" s="113"/>
      <c r="C25" s="113"/>
      <c r="D25" s="113"/>
      <c r="E25" s="113"/>
      <c r="F25" s="113"/>
      <c r="G25" s="113"/>
      <c r="H25" s="113"/>
      <c r="I25" s="113"/>
      <c r="J25" s="113"/>
      <c r="K25" s="113"/>
      <c r="L25" s="113"/>
      <c r="M25" s="113"/>
    </row>
    <row r="26" spans="1:14">
      <c r="A26" s="2">
        <f t="shared" si="0"/>
        <v>15</v>
      </c>
      <c r="B26" s="331" t="s">
        <v>1351</v>
      </c>
      <c r="C26" s="113"/>
      <c r="D26" s="113"/>
      <c r="E26" s="113"/>
      <c r="F26" s="113"/>
      <c r="G26" s="113"/>
      <c r="H26" s="113"/>
      <c r="I26" s="113"/>
      <c r="J26" s="113"/>
      <c r="K26" s="113"/>
      <c r="L26" s="113"/>
      <c r="M26" s="113"/>
    </row>
    <row r="27" spans="1:14">
      <c r="A27" s="2"/>
      <c r="B27" s="2"/>
      <c r="C27" s="113"/>
      <c r="D27" s="113"/>
      <c r="E27" s="113"/>
      <c r="F27" s="113"/>
      <c r="G27" s="113"/>
      <c r="H27" s="113"/>
      <c r="I27" s="113"/>
      <c r="J27" s="113"/>
      <c r="K27" s="113"/>
      <c r="L27" s="113"/>
      <c r="M27" s="113"/>
    </row>
    <row r="28" spans="1:14">
      <c r="A28" s="2">
        <f>A26+1</f>
        <v>16</v>
      </c>
      <c r="B28" s="3" t="s">
        <v>636</v>
      </c>
      <c r="C28" s="48">
        <v>350.1</v>
      </c>
      <c r="D28" s="48">
        <v>350.2</v>
      </c>
      <c r="E28" s="48">
        <v>352</v>
      </c>
      <c r="F28" s="48">
        <v>353</v>
      </c>
      <c r="G28" s="48">
        <v>354</v>
      </c>
      <c r="H28" s="48">
        <v>355</v>
      </c>
      <c r="I28" s="48">
        <v>356</v>
      </c>
      <c r="J28" s="48">
        <v>357</v>
      </c>
      <c r="K28" s="48">
        <v>358</v>
      </c>
      <c r="L28" s="48">
        <v>359</v>
      </c>
      <c r="M28" s="3"/>
    </row>
    <row r="29" spans="1:14">
      <c r="A29" s="2" t="s">
        <v>1352</v>
      </c>
      <c r="B29" s="510" t="s">
        <v>2806</v>
      </c>
      <c r="C29" s="808">
        <v>0</v>
      </c>
      <c r="D29" s="808">
        <v>1.66E-2</v>
      </c>
      <c r="E29" s="808">
        <v>2.5700000000000001E-2</v>
      </c>
      <c r="F29" s="808">
        <v>2.47E-2</v>
      </c>
      <c r="G29" s="808">
        <v>2.4400000000000002E-2</v>
      </c>
      <c r="H29" s="808">
        <v>3.6700000000000003E-2</v>
      </c>
      <c r="I29" s="808">
        <v>3.0499999999999999E-2</v>
      </c>
      <c r="J29" s="808">
        <v>1.6500000000000001E-2</v>
      </c>
      <c r="K29" s="808">
        <v>3.8699999999999998E-2</v>
      </c>
      <c r="L29" s="808">
        <v>1.5599999999999999E-2</v>
      </c>
      <c r="M29" s="113"/>
      <c r="N29" s="260"/>
    </row>
    <row r="30" spans="1:14">
      <c r="A30" s="2" t="s">
        <v>1353</v>
      </c>
      <c r="B30" s="510" t="s">
        <v>2904</v>
      </c>
      <c r="C30" s="808">
        <v>0</v>
      </c>
      <c r="D30" s="808">
        <v>1.66E-2</v>
      </c>
      <c r="E30" s="808">
        <v>2.5700000000000001E-2</v>
      </c>
      <c r="F30" s="808">
        <v>2.47E-2</v>
      </c>
      <c r="G30" s="808">
        <v>2.4400000000000002E-2</v>
      </c>
      <c r="H30" s="808">
        <v>3.6700000000000003E-2</v>
      </c>
      <c r="I30" s="808">
        <v>3.0499999999999999E-2</v>
      </c>
      <c r="J30" s="808">
        <v>1.6500000000000001E-2</v>
      </c>
      <c r="K30" s="808">
        <v>3.8699999999999998E-2</v>
      </c>
      <c r="L30" s="808">
        <v>1.5599999999999999E-2</v>
      </c>
      <c r="M30" s="113"/>
      <c r="N30" s="260"/>
    </row>
    <row r="31" spans="1:14">
      <c r="A31" s="2" t="s">
        <v>1354</v>
      </c>
      <c r="B31" s="510" t="s">
        <v>2905</v>
      </c>
      <c r="C31" s="808">
        <v>0</v>
      </c>
      <c r="D31" s="808">
        <v>1.66E-2</v>
      </c>
      <c r="E31" s="808">
        <v>2.5700000000000001E-2</v>
      </c>
      <c r="F31" s="808">
        <v>2.47E-2</v>
      </c>
      <c r="G31" s="808">
        <v>2.4400000000000002E-2</v>
      </c>
      <c r="H31" s="808">
        <v>3.6700000000000003E-2</v>
      </c>
      <c r="I31" s="808">
        <v>3.0499999999999999E-2</v>
      </c>
      <c r="J31" s="808">
        <v>1.6500000000000001E-2</v>
      </c>
      <c r="K31" s="808">
        <v>3.8699999999999998E-2</v>
      </c>
      <c r="L31" s="808">
        <v>1.5599999999999999E-2</v>
      </c>
      <c r="M31" s="113"/>
      <c r="N31" s="260"/>
    </row>
    <row r="32" spans="1:14">
      <c r="A32" s="2" t="s">
        <v>1355</v>
      </c>
      <c r="B32" s="510" t="s">
        <v>2906</v>
      </c>
      <c r="C32" s="808">
        <v>0</v>
      </c>
      <c r="D32" s="808">
        <v>1.66E-2</v>
      </c>
      <c r="E32" s="808">
        <v>2.5700000000000001E-2</v>
      </c>
      <c r="F32" s="808">
        <v>2.47E-2</v>
      </c>
      <c r="G32" s="808">
        <v>2.4400000000000002E-2</v>
      </c>
      <c r="H32" s="808">
        <v>3.6700000000000003E-2</v>
      </c>
      <c r="I32" s="808">
        <v>3.0499999999999999E-2</v>
      </c>
      <c r="J32" s="808">
        <v>1.6500000000000001E-2</v>
      </c>
      <c r="K32" s="808">
        <v>3.8699999999999998E-2</v>
      </c>
      <c r="L32" s="808">
        <v>1.5599999999999999E-2</v>
      </c>
      <c r="M32" s="113"/>
      <c r="N32" s="260"/>
    </row>
    <row r="33" spans="1:14">
      <c r="A33" s="2" t="s">
        <v>1356</v>
      </c>
      <c r="B33" s="510" t="s">
        <v>2907</v>
      </c>
      <c r="C33" s="808">
        <v>0</v>
      </c>
      <c r="D33" s="808">
        <v>1.66E-2</v>
      </c>
      <c r="E33" s="808">
        <v>2.5700000000000001E-2</v>
      </c>
      <c r="F33" s="808">
        <v>2.47E-2</v>
      </c>
      <c r="G33" s="808">
        <v>2.4400000000000002E-2</v>
      </c>
      <c r="H33" s="808">
        <v>3.6700000000000003E-2</v>
      </c>
      <c r="I33" s="808">
        <v>3.0499999999999999E-2</v>
      </c>
      <c r="J33" s="808">
        <v>1.6500000000000001E-2</v>
      </c>
      <c r="K33" s="808">
        <v>3.8699999999999998E-2</v>
      </c>
      <c r="L33" s="808">
        <v>1.5599999999999999E-2</v>
      </c>
      <c r="M33" s="113"/>
      <c r="N33" s="260"/>
    </row>
    <row r="34" spans="1:14">
      <c r="A34" s="2" t="s">
        <v>1357</v>
      </c>
      <c r="B34" s="510" t="s">
        <v>2908</v>
      </c>
      <c r="C34" s="808">
        <v>0</v>
      </c>
      <c r="D34" s="808">
        <v>1.66E-2</v>
      </c>
      <c r="E34" s="808">
        <v>2.5700000000000001E-2</v>
      </c>
      <c r="F34" s="808">
        <v>2.47E-2</v>
      </c>
      <c r="G34" s="808">
        <v>2.4400000000000002E-2</v>
      </c>
      <c r="H34" s="808">
        <v>3.6700000000000003E-2</v>
      </c>
      <c r="I34" s="808">
        <v>3.0499999999999999E-2</v>
      </c>
      <c r="J34" s="808">
        <v>1.6500000000000001E-2</v>
      </c>
      <c r="K34" s="808">
        <v>3.8699999999999998E-2</v>
      </c>
      <c r="L34" s="808">
        <v>1.5599999999999999E-2</v>
      </c>
      <c r="M34" s="113"/>
      <c r="N34" s="260"/>
    </row>
    <row r="35" spans="1:14">
      <c r="A35" s="2" t="s">
        <v>1358</v>
      </c>
      <c r="B35" s="510" t="s">
        <v>2909</v>
      </c>
      <c r="C35" s="808">
        <v>0</v>
      </c>
      <c r="D35" s="808">
        <v>1.66E-2</v>
      </c>
      <c r="E35" s="808">
        <v>2.5700000000000001E-2</v>
      </c>
      <c r="F35" s="808">
        <v>2.47E-2</v>
      </c>
      <c r="G35" s="808">
        <v>2.4400000000000002E-2</v>
      </c>
      <c r="H35" s="808">
        <v>3.6700000000000003E-2</v>
      </c>
      <c r="I35" s="808">
        <v>3.0499999999999999E-2</v>
      </c>
      <c r="J35" s="808">
        <v>1.6500000000000001E-2</v>
      </c>
      <c r="K35" s="808">
        <v>3.8699999999999998E-2</v>
      </c>
      <c r="L35" s="808">
        <v>1.5599999999999999E-2</v>
      </c>
      <c r="M35" s="113"/>
      <c r="N35" s="260"/>
    </row>
    <row r="36" spans="1:14">
      <c r="A36" s="2" t="s">
        <v>1359</v>
      </c>
      <c r="B36" s="510" t="s">
        <v>2910</v>
      </c>
      <c r="C36" s="808">
        <v>0</v>
      </c>
      <c r="D36" s="808">
        <v>1.66E-2</v>
      </c>
      <c r="E36" s="808">
        <v>2.5700000000000001E-2</v>
      </c>
      <c r="F36" s="808">
        <v>2.47E-2</v>
      </c>
      <c r="G36" s="808">
        <v>2.4400000000000002E-2</v>
      </c>
      <c r="H36" s="808">
        <v>3.6700000000000003E-2</v>
      </c>
      <c r="I36" s="808">
        <v>3.0499999999999999E-2</v>
      </c>
      <c r="J36" s="808">
        <v>1.6500000000000001E-2</v>
      </c>
      <c r="K36" s="808">
        <v>3.8699999999999998E-2</v>
      </c>
      <c r="L36" s="808">
        <v>1.5599999999999999E-2</v>
      </c>
      <c r="M36" s="113"/>
      <c r="N36" s="260"/>
    </row>
    <row r="37" spans="1:14">
      <c r="A37" s="2" t="s">
        <v>1360</v>
      </c>
      <c r="B37" s="510" t="s">
        <v>2911</v>
      </c>
      <c r="C37" s="808">
        <v>0</v>
      </c>
      <c r="D37" s="808">
        <v>1.66E-2</v>
      </c>
      <c r="E37" s="808">
        <v>2.5700000000000001E-2</v>
      </c>
      <c r="F37" s="808">
        <v>2.47E-2</v>
      </c>
      <c r="G37" s="808">
        <v>2.4400000000000002E-2</v>
      </c>
      <c r="H37" s="808">
        <v>3.6700000000000003E-2</v>
      </c>
      <c r="I37" s="808">
        <v>3.0499999999999999E-2</v>
      </c>
      <c r="J37" s="808">
        <v>1.6500000000000001E-2</v>
      </c>
      <c r="K37" s="808">
        <v>3.8699999999999998E-2</v>
      </c>
      <c r="L37" s="808">
        <v>1.5599999999999999E-2</v>
      </c>
      <c r="M37" s="113"/>
      <c r="N37" s="260"/>
    </row>
    <row r="38" spans="1:14">
      <c r="A38" s="2" t="s">
        <v>1361</v>
      </c>
      <c r="B38" s="510" t="s">
        <v>2912</v>
      </c>
      <c r="C38" s="808">
        <v>0</v>
      </c>
      <c r="D38" s="808">
        <v>1.66E-2</v>
      </c>
      <c r="E38" s="808">
        <v>2.5700000000000001E-2</v>
      </c>
      <c r="F38" s="808">
        <v>2.47E-2</v>
      </c>
      <c r="G38" s="808">
        <v>2.4400000000000002E-2</v>
      </c>
      <c r="H38" s="808">
        <v>3.6700000000000003E-2</v>
      </c>
      <c r="I38" s="808">
        <v>3.0499999999999999E-2</v>
      </c>
      <c r="J38" s="808">
        <v>1.6500000000000001E-2</v>
      </c>
      <c r="K38" s="808">
        <v>3.8699999999999998E-2</v>
      </c>
      <c r="L38" s="808">
        <v>1.5599999999999999E-2</v>
      </c>
      <c r="M38" s="113"/>
      <c r="N38" s="260"/>
    </row>
    <row r="39" spans="1:14">
      <c r="A39" s="2" t="s">
        <v>1362</v>
      </c>
      <c r="B39" s="510" t="s">
        <v>2913</v>
      </c>
      <c r="C39" s="808">
        <v>0</v>
      </c>
      <c r="D39" s="808">
        <v>1.66E-2</v>
      </c>
      <c r="E39" s="808">
        <v>2.5700000000000001E-2</v>
      </c>
      <c r="F39" s="808">
        <v>2.47E-2</v>
      </c>
      <c r="G39" s="808">
        <v>2.4400000000000002E-2</v>
      </c>
      <c r="H39" s="808">
        <v>3.6700000000000003E-2</v>
      </c>
      <c r="I39" s="808">
        <v>3.0499999999999999E-2</v>
      </c>
      <c r="J39" s="808">
        <v>1.6500000000000001E-2</v>
      </c>
      <c r="K39" s="808">
        <v>3.8699999999999998E-2</v>
      </c>
      <c r="L39" s="808">
        <v>1.5599999999999999E-2</v>
      </c>
      <c r="M39" s="113"/>
    </row>
    <row r="40" spans="1:14">
      <c r="A40" s="2" t="s">
        <v>1363</v>
      </c>
      <c r="B40" s="510" t="s">
        <v>2914</v>
      </c>
      <c r="C40" s="808">
        <v>0</v>
      </c>
      <c r="D40" s="808">
        <v>1.66E-2</v>
      </c>
      <c r="E40" s="808">
        <v>2.5700000000000001E-2</v>
      </c>
      <c r="F40" s="808">
        <v>2.47E-2</v>
      </c>
      <c r="G40" s="808">
        <v>2.4400000000000002E-2</v>
      </c>
      <c r="H40" s="808">
        <v>3.6700000000000003E-2</v>
      </c>
      <c r="I40" s="808">
        <v>3.0499999999999999E-2</v>
      </c>
      <c r="J40" s="808">
        <v>1.6500000000000001E-2</v>
      </c>
      <c r="K40" s="808">
        <v>3.8699999999999998E-2</v>
      </c>
      <c r="L40" s="808">
        <v>1.5599999999999999E-2</v>
      </c>
      <c r="M40" s="113"/>
    </row>
    <row r="41" spans="1:14">
      <c r="A41" s="2" t="s">
        <v>1364</v>
      </c>
      <c r="B41" s="510" t="s">
        <v>2915</v>
      </c>
      <c r="C41" s="808">
        <v>0</v>
      </c>
      <c r="D41" s="808">
        <v>1.66E-2</v>
      </c>
      <c r="E41" s="808">
        <v>2.5700000000000001E-2</v>
      </c>
      <c r="F41" s="808">
        <v>2.47E-2</v>
      </c>
      <c r="G41" s="808">
        <v>2.4400000000000002E-2</v>
      </c>
      <c r="H41" s="808">
        <v>3.6700000000000003E-2</v>
      </c>
      <c r="I41" s="808">
        <v>3.0499999999999999E-2</v>
      </c>
      <c r="J41" s="808">
        <v>1.6500000000000001E-2</v>
      </c>
      <c r="K41" s="808">
        <v>3.8699999999999998E-2</v>
      </c>
      <c r="L41" s="808">
        <v>1.5599999999999999E-2</v>
      </c>
      <c r="M41" s="113"/>
    </row>
    <row r="42" spans="1:14">
      <c r="A42" s="2">
        <v>18</v>
      </c>
      <c r="C42" s="120"/>
      <c r="D42" s="120"/>
      <c r="E42" s="120"/>
      <c r="F42" s="120"/>
      <c r="G42" s="120"/>
      <c r="H42" s="120"/>
      <c r="I42" s="120"/>
      <c r="J42" s="120"/>
      <c r="K42" s="120"/>
      <c r="L42" s="120"/>
      <c r="M42" s="113"/>
    </row>
    <row r="43" spans="1:14">
      <c r="A43" s="2">
        <f t="shared" si="0"/>
        <v>19</v>
      </c>
      <c r="B43" s="235" t="s">
        <v>1365</v>
      </c>
      <c r="C43" s="120"/>
      <c r="D43" s="120"/>
      <c r="E43" s="120"/>
      <c r="F43" s="120"/>
      <c r="G43" s="260" t="s">
        <v>1366</v>
      </c>
      <c r="H43" s="120"/>
      <c r="I43" s="120"/>
      <c r="J43" s="120"/>
      <c r="K43" s="120"/>
      <c r="L43" s="120"/>
      <c r="M43" s="113"/>
    </row>
    <row r="44" spans="1:14">
      <c r="A44" s="2">
        <f t="shared" si="0"/>
        <v>20</v>
      </c>
      <c r="B44" s="113"/>
      <c r="C44" s="113"/>
      <c r="D44" s="113"/>
      <c r="E44" s="113"/>
      <c r="F44" s="113"/>
      <c r="G44" s="113"/>
      <c r="H44" s="113"/>
      <c r="I44" s="113"/>
      <c r="J44" s="113"/>
      <c r="K44" s="113"/>
      <c r="L44" s="113"/>
      <c r="M44" s="113"/>
    </row>
    <row r="45" spans="1:14">
      <c r="A45" s="2">
        <f t="shared" si="0"/>
        <v>21</v>
      </c>
      <c r="B45" s="2"/>
      <c r="C45" s="245" t="s">
        <v>239</v>
      </c>
      <c r="D45" s="113"/>
      <c r="E45" s="113"/>
      <c r="F45" s="113"/>
      <c r="G45" s="113"/>
      <c r="H45" s="113"/>
      <c r="I45" s="113"/>
      <c r="J45" s="113"/>
      <c r="K45" s="113"/>
      <c r="L45" s="113"/>
      <c r="M45" s="113"/>
    </row>
    <row r="46" spans="1:14">
      <c r="A46" s="2">
        <f t="shared" si="0"/>
        <v>22</v>
      </c>
      <c r="B46" s="2"/>
      <c r="C46" s="245" t="s">
        <v>736</v>
      </c>
      <c r="D46" s="113"/>
      <c r="E46" s="113"/>
      <c r="F46" s="113"/>
      <c r="G46" s="113"/>
      <c r="H46" s="113"/>
      <c r="I46" s="113"/>
      <c r="J46" s="113"/>
      <c r="K46" s="113"/>
      <c r="L46" s="113"/>
      <c r="M46" s="2" t="s">
        <v>364</v>
      </c>
    </row>
    <row r="47" spans="1:14">
      <c r="A47" s="2">
        <f t="shared" si="0"/>
        <v>23</v>
      </c>
      <c r="B47" s="3" t="s">
        <v>636</v>
      </c>
      <c r="C47" s="48">
        <v>350.1</v>
      </c>
      <c r="D47" s="48">
        <v>350.2</v>
      </c>
      <c r="E47" s="48">
        <v>352</v>
      </c>
      <c r="F47" s="48">
        <v>353</v>
      </c>
      <c r="G47" s="48">
        <v>354</v>
      </c>
      <c r="H47" s="48">
        <v>355</v>
      </c>
      <c r="I47" s="48">
        <v>356</v>
      </c>
      <c r="J47" s="48">
        <v>357</v>
      </c>
      <c r="K47" s="48">
        <v>358</v>
      </c>
      <c r="L47" s="48">
        <v>359</v>
      </c>
      <c r="M47" s="3" t="s">
        <v>244</v>
      </c>
    </row>
    <row r="48" spans="1:14">
      <c r="A48" s="2">
        <f t="shared" si="0"/>
        <v>24</v>
      </c>
      <c r="B48" s="510" t="s">
        <v>2904</v>
      </c>
      <c r="C48" s="115">
        <f>C12*$C$30/12</f>
        <v>0</v>
      </c>
      <c r="D48" s="115">
        <f t="shared" ref="D48:D59" si="1">D12*$D30/12</f>
        <v>258198.96494036962</v>
      </c>
      <c r="E48" s="115">
        <f t="shared" ref="E48:E59" si="2">E12*$E30/12</f>
        <v>1940237.8516247934</v>
      </c>
      <c r="F48" s="115">
        <f t="shared" ref="F48:F59" si="3">F12*$F30/12</f>
        <v>9085174.3322322872</v>
      </c>
      <c r="G48" s="115">
        <f t="shared" ref="G48:G59" si="4">G12*$G30/12</f>
        <v>5081203.0519783646</v>
      </c>
      <c r="H48" s="115">
        <f t="shared" ref="H48:H59" si="5">H12*$H30/12</f>
        <v>1933572.2184777723</v>
      </c>
      <c r="I48" s="115">
        <f t="shared" ref="I48:I59" si="6">I12*$I30/12</f>
        <v>4305559.8230289193</v>
      </c>
      <c r="J48" s="115">
        <f t="shared" ref="J48:J59" si="7">J12*$J30/12</f>
        <v>296049.22433951095</v>
      </c>
      <c r="K48" s="115">
        <f t="shared" ref="K48:K59" si="8">K12*$K30/12</f>
        <v>189478.09937175</v>
      </c>
      <c r="L48" s="115">
        <f t="shared" ref="L48:L59" si="9">L12*$L30/12</f>
        <v>294253.52593261743</v>
      </c>
      <c r="M48" s="115">
        <f>SUM(C48:L48)</f>
        <v>23383727.091926385</v>
      </c>
    </row>
    <row r="49" spans="1:13">
      <c r="A49" s="2">
        <f t="shared" si="0"/>
        <v>25</v>
      </c>
      <c r="B49" s="510" t="s">
        <v>2905</v>
      </c>
      <c r="C49" s="115">
        <f>C13*$C$31/12</f>
        <v>0</v>
      </c>
      <c r="D49" s="115">
        <f t="shared" si="1"/>
        <v>258249.8459998254</v>
      </c>
      <c r="E49" s="115">
        <f t="shared" si="2"/>
        <v>1948008.5734436058</v>
      </c>
      <c r="F49" s="115">
        <f t="shared" si="3"/>
        <v>9108792.1268120538</v>
      </c>
      <c r="G49" s="115">
        <f t="shared" si="4"/>
        <v>5076885.5913077062</v>
      </c>
      <c r="H49" s="115">
        <f t="shared" si="5"/>
        <v>1935415.1812262337</v>
      </c>
      <c r="I49" s="115">
        <f t="shared" si="6"/>
        <v>4306147.6651558904</v>
      </c>
      <c r="J49" s="115">
        <f t="shared" si="7"/>
        <v>296049.22524905909</v>
      </c>
      <c r="K49" s="115">
        <f t="shared" si="8"/>
        <v>189478.09937175</v>
      </c>
      <c r="L49" s="115">
        <f t="shared" si="9"/>
        <v>294257.0778419298</v>
      </c>
      <c r="M49" s="115">
        <f t="shared" ref="M49:M59" si="10">SUM(C49:L49)</f>
        <v>23413283.386408057</v>
      </c>
    </row>
    <row r="50" spans="1:13">
      <c r="A50" s="2">
        <f t="shared" si="0"/>
        <v>26</v>
      </c>
      <c r="B50" s="510" t="s">
        <v>2906</v>
      </c>
      <c r="C50" s="115">
        <f>C14*$C$32/12</f>
        <v>0</v>
      </c>
      <c r="D50" s="115">
        <f t="shared" si="1"/>
        <v>258243.64139356525</v>
      </c>
      <c r="E50" s="115">
        <f t="shared" si="2"/>
        <v>1951488.1932394302</v>
      </c>
      <c r="F50" s="115">
        <f t="shared" si="3"/>
        <v>9123249.8269519266</v>
      </c>
      <c r="G50" s="115">
        <f t="shared" si="4"/>
        <v>5078348.2934127012</v>
      </c>
      <c r="H50" s="115">
        <f t="shared" si="5"/>
        <v>1938974.336175842</v>
      </c>
      <c r="I50" s="115">
        <f t="shared" si="6"/>
        <v>4308722.3722452298</v>
      </c>
      <c r="J50" s="115">
        <f t="shared" si="7"/>
        <v>296049.22435602639</v>
      </c>
      <c r="K50" s="115">
        <f t="shared" si="8"/>
        <v>189478.09937175</v>
      </c>
      <c r="L50" s="115">
        <f t="shared" si="9"/>
        <v>293365.27541833709</v>
      </c>
      <c r="M50" s="115">
        <f t="shared" si="10"/>
        <v>23437919.262564804</v>
      </c>
    </row>
    <row r="51" spans="1:13">
      <c r="A51" s="2">
        <f t="shared" si="0"/>
        <v>27</v>
      </c>
      <c r="B51" s="510" t="s">
        <v>2907</v>
      </c>
      <c r="C51" s="115">
        <f>C15*$C$33/12</f>
        <v>0</v>
      </c>
      <c r="D51" s="115">
        <f t="shared" si="1"/>
        <v>258246.08048845481</v>
      </c>
      <c r="E51" s="115">
        <f t="shared" si="2"/>
        <v>1955737.586287207</v>
      </c>
      <c r="F51" s="115">
        <f t="shared" si="3"/>
        <v>9129263.7238740157</v>
      </c>
      <c r="G51" s="115">
        <f t="shared" si="4"/>
        <v>5093648.3674410004</v>
      </c>
      <c r="H51" s="115">
        <f t="shared" si="5"/>
        <v>1941606.5239088966</v>
      </c>
      <c r="I51" s="115">
        <f t="shared" si="6"/>
        <v>4304931.7262471849</v>
      </c>
      <c r="J51" s="115">
        <f t="shared" si="7"/>
        <v>296049.22421959421</v>
      </c>
      <c r="K51" s="115">
        <f t="shared" si="8"/>
        <v>189478.09937175</v>
      </c>
      <c r="L51" s="115">
        <f t="shared" si="9"/>
        <v>293373.80681166908</v>
      </c>
      <c r="M51" s="115">
        <f t="shared" si="10"/>
        <v>23462335.138649773</v>
      </c>
    </row>
    <row r="52" spans="1:13">
      <c r="A52" s="2">
        <f t="shared" si="0"/>
        <v>28</v>
      </c>
      <c r="B52" s="510" t="s">
        <v>2908</v>
      </c>
      <c r="C52" s="115">
        <f>C16*$C$34/12</f>
        <v>0</v>
      </c>
      <c r="D52" s="115">
        <f t="shared" si="1"/>
        <v>258255.78082584558</v>
      </c>
      <c r="E52" s="115">
        <f t="shared" si="2"/>
        <v>1958191.3783646552</v>
      </c>
      <c r="F52" s="115">
        <f t="shared" si="3"/>
        <v>9137283.6196431536</v>
      </c>
      <c r="G52" s="115">
        <f t="shared" si="4"/>
        <v>5089894.6859618835</v>
      </c>
      <c r="H52" s="115">
        <f t="shared" si="5"/>
        <v>1928606.6884912562</v>
      </c>
      <c r="I52" s="115">
        <f t="shared" si="6"/>
        <v>4305044.1480176542</v>
      </c>
      <c r="J52" s="115">
        <f t="shared" si="7"/>
        <v>296049.22071472224</v>
      </c>
      <c r="K52" s="115">
        <f t="shared" si="8"/>
        <v>189478.09937175</v>
      </c>
      <c r="L52" s="115">
        <f t="shared" si="9"/>
        <v>293389.95565964165</v>
      </c>
      <c r="M52" s="115">
        <f t="shared" si="10"/>
        <v>23456193.577050559</v>
      </c>
    </row>
    <row r="53" spans="1:13">
      <c r="A53" s="2">
        <f t="shared" si="0"/>
        <v>29</v>
      </c>
      <c r="B53" s="510" t="s">
        <v>2909</v>
      </c>
      <c r="C53" s="115">
        <f>C17*$C$35/12</f>
        <v>0</v>
      </c>
      <c r="D53" s="115">
        <f t="shared" si="1"/>
        <v>260357.49016830788</v>
      </c>
      <c r="E53" s="115">
        <f t="shared" si="2"/>
        <v>1970504.4381631606</v>
      </c>
      <c r="F53" s="115">
        <f t="shared" si="3"/>
        <v>9152893.6439319756</v>
      </c>
      <c r="G53" s="115">
        <f t="shared" si="4"/>
        <v>5092778.445015314</v>
      </c>
      <c r="H53" s="115">
        <f t="shared" si="5"/>
        <v>1933499.0178140008</v>
      </c>
      <c r="I53" s="115">
        <f t="shared" si="6"/>
        <v>4312916.3653017255</v>
      </c>
      <c r="J53" s="115">
        <f t="shared" si="7"/>
        <v>296049.22051964811</v>
      </c>
      <c r="K53" s="115">
        <f t="shared" si="8"/>
        <v>189478.09937175</v>
      </c>
      <c r="L53" s="115">
        <f t="shared" si="9"/>
        <v>293433.12179943093</v>
      </c>
      <c r="M53" s="115">
        <f t="shared" si="10"/>
        <v>23501909.842085309</v>
      </c>
    </row>
    <row r="54" spans="1:13">
      <c r="A54" s="2">
        <f t="shared" si="0"/>
        <v>30</v>
      </c>
      <c r="B54" s="510" t="s">
        <v>2910</v>
      </c>
      <c r="C54" s="115">
        <f>C18*$C$36/12</f>
        <v>0</v>
      </c>
      <c r="D54" s="115">
        <f t="shared" si="1"/>
        <v>260381.35580808969</v>
      </c>
      <c r="E54" s="115">
        <f t="shared" si="2"/>
        <v>1985613.1143171347</v>
      </c>
      <c r="F54" s="115">
        <f t="shared" si="3"/>
        <v>9152450.06452276</v>
      </c>
      <c r="G54" s="115">
        <f t="shared" si="4"/>
        <v>5094248.2799675362</v>
      </c>
      <c r="H54" s="115">
        <f t="shared" si="5"/>
        <v>1949874.6462469089</v>
      </c>
      <c r="I54" s="115">
        <f t="shared" si="6"/>
        <v>4313720.4680379676</v>
      </c>
      <c r="J54" s="115">
        <f t="shared" si="7"/>
        <v>296050.01372820855</v>
      </c>
      <c r="K54" s="115">
        <f t="shared" si="8"/>
        <v>189478.09937175</v>
      </c>
      <c r="L54" s="115">
        <f t="shared" si="9"/>
        <v>293467.57937227754</v>
      </c>
      <c r="M54" s="115">
        <f t="shared" si="10"/>
        <v>23535283.621372636</v>
      </c>
    </row>
    <row r="55" spans="1:13">
      <c r="A55" s="2">
        <f t="shared" si="0"/>
        <v>31</v>
      </c>
      <c r="B55" s="510" t="s">
        <v>2911</v>
      </c>
      <c r="C55" s="115">
        <f>C19*$C$37/12</f>
        <v>0</v>
      </c>
      <c r="D55" s="115">
        <f t="shared" si="1"/>
        <v>260396.71215181614</v>
      </c>
      <c r="E55" s="115">
        <f t="shared" si="2"/>
        <v>1989666.7782797627</v>
      </c>
      <c r="F55" s="115">
        <f t="shared" si="3"/>
        <v>9162140.7923129071</v>
      </c>
      <c r="G55" s="115">
        <f t="shared" si="4"/>
        <v>5098874.3592855465</v>
      </c>
      <c r="H55" s="115">
        <f t="shared" si="5"/>
        <v>1953523.6600520837</v>
      </c>
      <c r="I55" s="115">
        <f t="shared" si="6"/>
        <v>4316999.9817036232</v>
      </c>
      <c r="J55" s="115">
        <f t="shared" si="7"/>
        <v>296047.93503371172</v>
      </c>
      <c r="K55" s="115">
        <f t="shared" si="8"/>
        <v>189478.09937175</v>
      </c>
      <c r="L55" s="115">
        <f t="shared" si="9"/>
        <v>293506.58149755024</v>
      </c>
      <c r="M55" s="115">
        <f t="shared" si="10"/>
        <v>23560634.899688754</v>
      </c>
    </row>
    <row r="56" spans="1:13">
      <c r="A56" s="2">
        <f t="shared" si="0"/>
        <v>32</v>
      </c>
      <c r="B56" s="510" t="s">
        <v>2912</v>
      </c>
      <c r="C56" s="115">
        <f>C20*$C$38/12</f>
        <v>0</v>
      </c>
      <c r="D56" s="115">
        <f t="shared" si="1"/>
        <v>260415.26020292946</v>
      </c>
      <c r="E56" s="115">
        <f t="shared" si="2"/>
        <v>1995030.3604491744</v>
      </c>
      <c r="F56" s="115">
        <f t="shared" si="3"/>
        <v>9162019.7068124004</v>
      </c>
      <c r="G56" s="115">
        <f t="shared" si="4"/>
        <v>5098864.6009307159</v>
      </c>
      <c r="H56" s="115">
        <f t="shared" si="5"/>
        <v>1957026.5256355272</v>
      </c>
      <c r="I56" s="115">
        <f t="shared" si="6"/>
        <v>4318003.8144053882</v>
      </c>
      <c r="J56" s="115">
        <f t="shared" si="7"/>
        <v>296047.93827218184</v>
      </c>
      <c r="K56" s="115">
        <f t="shared" si="8"/>
        <v>189478.09937175</v>
      </c>
      <c r="L56" s="115">
        <f t="shared" si="9"/>
        <v>293510.70201662643</v>
      </c>
      <c r="M56" s="115">
        <f t="shared" si="10"/>
        <v>23570397.008096691</v>
      </c>
    </row>
    <row r="57" spans="1:13">
      <c r="A57" s="2">
        <f t="shared" si="0"/>
        <v>33</v>
      </c>
      <c r="B57" s="510" t="s">
        <v>2913</v>
      </c>
      <c r="C57" s="115">
        <f>C21*$C$39/12</f>
        <v>0</v>
      </c>
      <c r="D57" s="115">
        <f t="shared" si="1"/>
        <v>260442.95450418055</v>
      </c>
      <c r="E57" s="115">
        <f t="shared" si="2"/>
        <v>1995965.3330464258</v>
      </c>
      <c r="F57" s="115">
        <f t="shared" si="3"/>
        <v>9169577.6497058701</v>
      </c>
      <c r="G57" s="115">
        <f t="shared" si="4"/>
        <v>5099106.2134381616</v>
      </c>
      <c r="H57" s="115">
        <f t="shared" si="5"/>
        <v>1963726.8778479218</v>
      </c>
      <c r="I57" s="115">
        <f t="shared" si="6"/>
        <v>4310717.8610233702</v>
      </c>
      <c r="J57" s="115">
        <f t="shared" si="7"/>
        <v>296047.93784277939</v>
      </c>
      <c r="K57" s="115">
        <f t="shared" si="8"/>
        <v>189478.09937175</v>
      </c>
      <c r="L57" s="115">
        <f t="shared" si="9"/>
        <v>293816.88687215355</v>
      </c>
      <c r="M57" s="115">
        <f t="shared" si="10"/>
        <v>23578879.813652612</v>
      </c>
    </row>
    <row r="58" spans="1:13">
      <c r="A58" s="2">
        <f t="shared" si="0"/>
        <v>34</v>
      </c>
      <c r="B58" s="510" t="s">
        <v>2914</v>
      </c>
      <c r="C58" s="115">
        <f>C22*$C$40/12</f>
        <v>0</v>
      </c>
      <c r="D58" s="115">
        <f t="shared" si="1"/>
        <v>260417.69911187922</v>
      </c>
      <c r="E58" s="115">
        <f t="shared" si="2"/>
        <v>1996909.7105093056</v>
      </c>
      <c r="F58" s="115">
        <f t="shared" si="3"/>
        <v>9180696.4898033123</v>
      </c>
      <c r="G58" s="115">
        <f t="shared" si="4"/>
        <v>5101790.3531729681</v>
      </c>
      <c r="H58" s="115">
        <f t="shared" si="5"/>
        <v>1971083.3924487869</v>
      </c>
      <c r="I58" s="115">
        <f t="shared" si="6"/>
        <v>4299841.2107752925</v>
      </c>
      <c r="J58" s="115">
        <f t="shared" si="7"/>
        <v>296047.93784110388</v>
      </c>
      <c r="K58" s="115">
        <f t="shared" si="8"/>
        <v>189478.09937175</v>
      </c>
      <c r="L58" s="115">
        <f t="shared" si="9"/>
        <v>293831.33156706119</v>
      </c>
      <c r="M58" s="115">
        <f t="shared" si="10"/>
        <v>23590096.224601459</v>
      </c>
    </row>
    <row r="59" spans="1:13">
      <c r="A59" s="2">
        <f t="shared" si="0"/>
        <v>35</v>
      </c>
      <c r="B59" s="510" t="s">
        <v>2915</v>
      </c>
      <c r="C59" s="185">
        <f>C23*$C$41/12</f>
        <v>0</v>
      </c>
      <c r="D59" s="185">
        <f t="shared" si="1"/>
        <v>260399.84703197042</v>
      </c>
      <c r="E59" s="185">
        <f t="shared" si="2"/>
        <v>2002641.3537893984</v>
      </c>
      <c r="F59" s="185">
        <f t="shared" si="3"/>
        <v>9199515.7020402793</v>
      </c>
      <c r="G59" s="185">
        <f t="shared" si="4"/>
        <v>5104433.9372423198</v>
      </c>
      <c r="H59" s="185">
        <f t="shared" si="5"/>
        <v>1975158.734926997</v>
      </c>
      <c r="I59" s="185">
        <f t="shared" si="6"/>
        <v>4300498.8232978703</v>
      </c>
      <c r="J59" s="185">
        <f t="shared" si="7"/>
        <v>296047.93783966778</v>
      </c>
      <c r="K59" s="185">
        <f t="shared" si="8"/>
        <v>189478.09937175</v>
      </c>
      <c r="L59" s="185">
        <f t="shared" si="9"/>
        <v>293865.55053923139</v>
      </c>
      <c r="M59" s="53">
        <f t="shared" si="10"/>
        <v>23622039.986079484</v>
      </c>
    </row>
    <row r="60" spans="1:13">
      <c r="A60" s="2">
        <f t="shared" si="0"/>
        <v>36</v>
      </c>
      <c r="B60" s="114" t="s">
        <v>424</v>
      </c>
      <c r="C60" s="115">
        <f>SUM(C48:C59)</f>
        <v>0</v>
      </c>
      <c r="D60" s="115">
        <f t="shared" ref="D60:K60" si="11">SUM(D48:D59)</f>
        <v>3114005.6326272343</v>
      </c>
      <c r="E60" s="115">
        <f t="shared" si="11"/>
        <v>23689994.671514049</v>
      </c>
      <c r="F60" s="115">
        <f t="shared" si="11"/>
        <v>109763057.67864294</v>
      </c>
      <c r="G60" s="115">
        <f t="shared" si="11"/>
        <v>61110076.179154217</v>
      </c>
      <c r="H60" s="115">
        <f>SUM(H48:H59)</f>
        <v>23382067.803252228</v>
      </c>
      <c r="I60" s="115">
        <f t="shared" si="11"/>
        <v>51703104.259240113</v>
      </c>
      <c r="J60" s="115">
        <f t="shared" si="11"/>
        <v>3552585.0399562144</v>
      </c>
      <c r="K60" s="115">
        <f t="shared" si="11"/>
        <v>2273737.1924609994</v>
      </c>
      <c r="L60" s="115">
        <f>SUM(L48:L59)</f>
        <v>3524071.3953285269</v>
      </c>
      <c r="M60" s="6"/>
    </row>
    <row r="61" spans="1:13">
      <c r="A61" s="2">
        <f t="shared" si="0"/>
        <v>37</v>
      </c>
      <c r="B61" s="113"/>
      <c r="C61" s="113"/>
      <c r="D61" s="113"/>
      <c r="E61" s="113"/>
      <c r="F61" s="113"/>
      <c r="G61" s="113"/>
      <c r="H61" s="113"/>
      <c r="I61" s="113"/>
      <c r="J61" s="113"/>
      <c r="K61" s="113"/>
      <c r="L61" s="233" t="s">
        <v>1367</v>
      </c>
      <c r="M61" s="115">
        <f>SUM(M48:M59)</f>
        <v>282112699.85217655</v>
      </c>
    </row>
    <row r="62" spans="1:13">
      <c r="A62" s="2">
        <f t="shared" si="0"/>
        <v>38</v>
      </c>
      <c r="B62" s="113"/>
      <c r="C62" s="113"/>
      <c r="D62" s="113"/>
      <c r="E62" s="113"/>
      <c r="F62" s="113"/>
      <c r="G62" s="113"/>
      <c r="H62" s="113"/>
      <c r="I62" s="113"/>
      <c r="J62" s="113"/>
      <c r="K62" s="113"/>
      <c r="L62" s="390" t="s">
        <v>1368</v>
      </c>
      <c r="M62" s="113"/>
    </row>
    <row r="63" spans="1:13">
      <c r="A63" s="2">
        <f t="shared" si="0"/>
        <v>39</v>
      </c>
      <c r="B63" s="1" t="s">
        <v>1369</v>
      </c>
      <c r="C63" s="113"/>
      <c r="D63" s="113"/>
      <c r="E63" s="113"/>
      <c r="F63" s="113"/>
      <c r="G63" s="113"/>
      <c r="H63" s="113"/>
      <c r="I63" s="113"/>
      <c r="J63" s="113"/>
      <c r="K63" s="113"/>
      <c r="L63" s="113"/>
      <c r="M63" s="113"/>
    </row>
    <row r="64" spans="1:13">
      <c r="A64" s="2">
        <f t="shared" si="0"/>
        <v>40</v>
      </c>
      <c r="B64" s="113"/>
      <c r="C64" s="113"/>
      <c r="D64" s="113"/>
      <c r="E64" s="113"/>
      <c r="F64" s="113"/>
      <c r="G64" s="113"/>
      <c r="H64" s="113"/>
      <c r="I64" s="113"/>
      <c r="J64" s="113"/>
      <c r="K64" s="113"/>
      <c r="L64" s="113"/>
      <c r="M64" s="113"/>
    </row>
    <row r="65" spans="1:13">
      <c r="A65" s="2">
        <f t="shared" si="0"/>
        <v>41</v>
      </c>
      <c r="B65" s="113"/>
      <c r="C65" s="113"/>
      <c r="D65" s="48">
        <v>360</v>
      </c>
      <c r="E65" s="48">
        <v>361</v>
      </c>
      <c r="F65" s="48">
        <v>362</v>
      </c>
      <c r="G65" s="113"/>
      <c r="H65" s="30" t="s">
        <v>644</v>
      </c>
      <c r="I65" s="3"/>
      <c r="J65" s="113"/>
      <c r="K65" s="113"/>
      <c r="L65" s="113"/>
      <c r="M65" s="113"/>
    </row>
    <row r="66" spans="1:13">
      <c r="A66" s="2">
        <f t="shared" si="0"/>
        <v>42</v>
      </c>
      <c r="B66" s="235" t="s">
        <v>1370</v>
      </c>
      <c r="C66" s="113"/>
      <c r="D66" s="115">
        <f>'6-PlantInService'!C35</f>
        <v>0</v>
      </c>
      <c r="E66" s="115">
        <f>'6-PlantInService'!D35</f>
        <v>0</v>
      </c>
      <c r="F66" s="115">
        <f>'6-PlantInService'!E35</f>
        <v>0</v>
      </c>
      <c r="G66" s="113"/>
      <c r="H66" s="235" t="s">
        <v>1371</v>
      </c>
      <c r="I66" s="234"/>
      <c r="J66" s="113"/>
      <c r="K66" s="113"/>
      <c r="L66" s="113"/>
      <c r="M66" s="113"/>
    </row>
    <row r="67" spans="1:13">
      <c r="A67" s="2">
        <f t="shared" si="0"/>
        <v>43</v>
      </c>
      <c r="B67" s="235" t="s">
        <v>1372</v>
      </c>
      <c r="C67" s="113"/>
      <c r="D67" s="185">
        <f>'6-PlantInService'!C36</f>
        <v>0</v>
      </c>
      <c r="E67" s="185">
        <f>'6-PlantInService'!D36</f>
        <v>0</v>
      </c>
      <c r="F67" s="185">
        <f>'6-PlantInService'!E36</f>
        <v>0</v>
      </c>
      <c r="G67" s="113"/>
      <c r="H67" s="235" t="s">
        <v>1373</v>
      </c>
      <c r="I67" s="113"/>
      <c r="J67" s="113"/>
      <c r="K67" s="113"/>
      <c r="M67" s="113"/>
    </row>
    <row r="68" spans="1:13">
      <c r="A68" s="2">
        <f t="shared" si="0"/>
        <v>44</v>
      </c>
      <c r="B68" s="235" t="s">
        <v>1374</v>
      </c>
      <c r="C68" s="113"/>
      <c r="D68" s="115">
        <f>AVERAGE(D66:D67)</f>
        <v>0</v>
      </c>
      <c r="E68" s="115">
        <f>AVERAGE(E66:E67)</f>
        <v>0</v>
      </c>
      <c r="F68" s="115">
        <f>AVERAGE(F66:F67)</f>
        <v>0</v>
      </c>
      <c r="G68" s="113"/>
      <c r="H68" s="123"/>
      <c r="I68" s="234"/>
      <c r="J68" s="113"/>
      <c r="K68" s="113"/>
      <c r="M68" s="113"/>
    </row>
    <row r="69" spans="1:13">
      <c r="A69" s="2">
        <f t="shared" si="0"/>
        <v>45</v>
      </c>
      <c r="J69" s="113"/>
      <c r="K69" s="113"/>
      <c r="M69" s="113"/>
    </row>
    <row r="70" spans="1:13">
      <c r="A70" s="2">
        <f t="shared" si="0"/>
        <v>46</v>
      </c>
      <c r="B70" s="331" t="s">
        <v>1375</v>
      </c>
      <c r="C70" s="113"/>
      <c r="D70" s="113"/>
      <c r="E70" s="113"/>
      <c r="J70" s="113"/>
      <c r="K70" s="113"/>
      <c r="L70" s="115"/>
      <c r="M70" s="113"/>
    </row>
    <row r="71" spans="1:13">
      <c r="A71" s="2">
        <f t="shared" si="0"/>
        <v>47</v>
      </c>
      <c r="B71" s="113"/>
      <c r="D71" s="48">
        <v>360</v>
      </c>
      <c r="E71" s="48">
        <v>361</v>
      </c>
      <c r="F71" s="48">
        <v>362</v>
      </c>
      <c r="J71" s="113"/>
      <c r="K71" s="113"/>
      <c r="L71" s="115"/>
      <c r="M71" s="113"/>
    </row>
    <row r="72" spans="1:13">
      <c r="A72" s="2">
        <f t="shared" si="0"/>
        <v>48</v>
      </c>
      <c r="D72" s="120">
        <f>'18-DepRates'!$G20</f>
        <v>1.67E-2</v>
      </c>
      <c r="E72" s="120">
        <f>'18-DepRates'!$G21</f>
        <v>2.0500000000000001E-2</v>
      </c>
      <c r="F72" s="120">
        <f>'18-DepRates'!$G22</f>
        <v>1.8599999999999998E-2</v>
      </c>
      <c r="J72" s="113"/>
      <c r="K72" s="113"/>
      <c r="L72" s="115"/>
      <c r="M72" s="113"/>
    </row>
    <row r="73" spans="1:13">
      <c r="A73" s="2">
        <f t="shared" si="0"/>
        <v>49</v>
      </c>
      <c r="J73" s="113"/>
      <c r="K73" s="113"/>
      <c r="L73" s="53"/>
      <c r="M73" s="113"/>
    </row>
    <row r="74" spans="1:13">
      <c r="A74" s="2">
        <f t="shared" si="0"/>
        <v>50</v>
      </c>
      <c r="B74" t="s">
        <v>1376</v>
      </c>
      <c r="F74" s="235" t="s">
        <v>1377</v>
      </c>
      <c r="J74" s="113"/>
      <c r="K74" s="113"/>
      <c r="L74" s="120"/>
      <c r="M74" s="113"/>
    </row>
    <row r="75" spans="1:13">
      <c r="A75" s="2">
        <f t="shared" si="0"/>
        <v>51</v>
      </c>
      <c r="J75" s="113"/>
      <c r="K75" s="113"/>
      <c r="L75" s="120"/>
      <c r="M75" s="113"/>
    </row>
    <row r="76" spans="1:13">
      <c r="A76" s="2">
        <f t="shared" si="0"/>
        <v>52</v>
      </c>
      <c r="D76" s="48">
        <v>360</v>
      </c>
      <c r="E76" s="48">
        <v>361</v>
      </c>
      <c r="F76" s="48">
        <v>362</v>
      </c>
      <c r="G76" s="186" t="s">
        <v>244</v>
      </c>
      <c r="J76" s="113"/>
      <c r="K76" s="113"/>
      <c r="L76" s="120"/>
      <c r="M76" s="113"/>
    </row>
    <row r="77" spans="1:13">
      <c r="A77" s="2">
        <f t="shared" ref="A77:A90" si="12">A76+1</f>
        <v>53</v>
      </c>
      <c r="D77" s="6">
        <f xml:space="preserve"> D68*D72</f>
        <v>0</v>
      </c>
      <c r="E77" s="6">
        <f xml:space="preserve"> E68*E72</f>
        <v>0</v>
      </c>
      <c r="F77" s="6">
        <f xml:space="preserve"> F68*F72</f>
        <v>0</v>
      </c>
      <c r="G77" s="6">
        <f>SUM(D77:F77)</f>
        <v>0</v>
      </c>
      <c r="H77" s="12" t="s">
        <v>1378</v>
      </c>
      <c r="J77" s="113"/>
      <c r="K77" s="113"/>
      <c r="L77" s="115"/>
      <c r="M77" s="113"/>
    </row>
    <row r="78" spans="1:13">
      <c r="A78" s="2">
        <f t="shared" si="12"/>
        <v>54</v>
      </c>
      <c r="H78" s="12" t="s">
        <v>1379</v>
      </c>
      <c r="J78" s="113"/>
      <c r="K78" s="113"/>
      <c r="L78" s="113"/>
      <c r="M78" s="113"/>
    </row>
    <row r="79" spans="1:13">
      <c r="A79" s="2">
        <f t="shared" si="12"/>
        <v>55</v>
      </c>
      <c r="J79" s="113"/>
      <c r="K79" s="113"/>
      <c r="L79" s="113"/>
      <c r="M79" s="113"/>
    </row>
    <row r="80" spans="1:13">
      <c r="A80" s="2">
        <f t="shared" si="12"/>
        <v>56</v>
      </c>
      <c r="B80" s="1" t="s">
        <v>1380</v>
      </c>
      <c r="J80" s="113"/>
      <c r="K80" s="113"/>
      <c r="L80" s="113"/>
      <c r="M80" s="113"/>
    </row>
    <row r="81" spans="1:13">
      <c r="A81" s="2">
        <f t="shared" si="12"/>
        <v>57</v>
      </c>
      <c r="B81" s="113"/>
      <c r="C81" s="113"/>
      <c r="D81" s="113"/>
      <c r="E81" s="113"/>
      <c r="F81" s="113"/>
      <c r="G81" s="113"/>
      <c r="H81" s="113"/>
      <c r="I81" s="113"/>
      <c r="J81" s="113"/>
      <c r="K81" s="113"/>
      <c r="L81" s="113"/>
      <c r="M81" s="113"/>
    </row>
    <row r="82" spans="1:13">
      <c r="A82" s="2">
        <f t="shared" si="12"/>
        <v>58</v>
      </c>
      <c r="B82" s="278" t="s">
        <v>1381</v>
      </c>
      <c r="C82" s="113"/>
      <c r="D82" s="113"/>
      <c r="E82" s="113"/>
      <c r="F82" s="113"/>
      <c r="G82" s="113"/>
      <c r="H82" s="187">
        <v>316601938</v>
      </c>
      <c r="I82" s="234" t="s">
        <v>1382</v>
      </c>
      <c r="J82" s="113"/>
      <c r="K82" s="113"/>
      <c r="L82" s="113"/>
      <c r="M82" s="113"/>
    </row>
    <row r="83" spans="1:13">
      <c r="A83" s="2">
        <f t="shared" si="12"/>
        <v>59</v>
      </c>
      <c r="B83" s="235" t="s">
        <v>1383</v>
      </c>
      <c r="C83" s="113"/>
      <c r="D83" s="113"/>
      <c r="E83" s="113"/>
      <c r="F83" s="113"/>
      <c r="G83" s="113"/>
      <c r="H83" s="57">
        <v>377657163</v>
      </c>
      <c r="I83" s="234" t="s">
        <v>1384</v>
      </c>
      <c r="J83" s="113"/>
      <c r="K83" s="113"/>
      <c r="L83" s="113"/>
      <c r="M83" s="113"/>
    </row>
    <row r="84" spans="1:13">
      <c r="A84" s="2">
        <f t="shared" si="12"/>
        <v>60</v>
      </c>
      <c r="B84" s="278" t="s">
        <v>1385</v>
      </c>
      <c r="C84" s="113"/>
      <c r="D84" s="113"/>
      <c r="E84" s="113"/>
      <c r="F84" s="113"/>
      <c r="G84" s="113"/>
      <c r="H84" s="115">
        <f>SUM(H82:H83)</f>
        <v>694259101</v>
      </c>
      <c r="I84" s="234" t="str">
        <f>"Line "&amp;A82&amp;" + Line "&amp;A83&amp;""</f>
        <v>Line 58 + Line 59</v>
      </c>
      <c r="J84" s="113"/>
      <c r="K84" s="113"/>
      <c r="L84" s="113"/>
      <c r="M84" s="113"/>
    </row>
    <row r="85" spans="1:13">
      <c r="A85" s="2">
        <f t="shared" si="12"/>
        <v>61</v>
      </c>
      <c r="B85" s="278" t="s">
        <v>142</v>
      </c>
      <c r="C85" s="113"/>
      <c r="D85" s="113"/>
      <c r="E85" s="113"/>
      <c r="F85" s="113"/>
      <c r="G85" s="113"/>
      <c r="H85" s="125">
        <f>'27-Allocators'!G15</f>
        <v>5.8811663225218191E-2</v>
      </c>
      <c r="I85" s="12" t="str">
        <f>"27-Allocators, Line "&amp;'27-Allocators'!A15&amp;""</f>
        <v>27-Allocators, Line 9</v>
      </c>
      <c r="J85" s="113"/>
      <c r="K85" s="113"/>
      <c r="L85" s="113"/>
      <c r="M85" s="113"/>
    </row>
    <row r="86" spans="1:13">
      <c r="A86" s="2">
        <f t="shared" si="12"/>
        <v>62</v>
      </c>
      <c r="B86" s="278" t="s">
        <v>1386</v>
      </c>
      <c r="C86" s="113"/>
      <c r="D86" s="113"/>
      <c r="E86" s="113"/>
      <c r="F86" s="113"/>
      <c r="G86" s="113"/>
      <c r="H86" s="115">
        <f>H84*H85</f>
        <v>40830532.439054742</v>
      </c>
      <c r="I86" s="234" t="str">
        <f>"Line "&amp;A84&amp;" * Line "&amp;A85&amp;""</f>
        <v>Line 60 * Line 61</v>
      </c>
      <c r="J86" s="113"/>
      <c r="K86" s="113"/>
      <c r="L86" s="113"/>
      <c r="M86" s="113"/>
    </row>
    <row r="87" spans="1:13">
      <c r="A87" s="2">
        <f t="shared" si="12"/>
        <v>63</v>
      </c>
      <c r="B87" s="278"/>
      <c r="C87" s="235"/>
      <c r="D87" s="113"/>
      <c r="E87" s="113"/>
      <c r="F87" s="113"/>
      <c r="G87" s="113"/>
      <c r="H87" s="113"/>
      <c r="I87" s="113"/>
      <c r="J87" s="113"/>
      <c r="K87" s="113"/>
      <c r="L87" s="113"/>
      <c r="M87" s="113"/>
    </row>
    <row r="88" spans="1:13">
      <c r="A88" s="2">
        <f t="shared" si="12"/>
        <v>64</v>
      </c>
      <c r="B88" s="47" t="s">
        <v>1387</v>
      </c>
      <c r="C88" s="113"/>
      <c r="D88" s="113"/>
      <c r="E88" s="113"/>
      <c r="F88" s="113"/>
      <c r="G88" s="113"/>
      <c r="H88" s="113"/>
      <c r="I88" s="113"/>
      <c r="J88" s="113"/>
      <c r="K88" s="113"/>
      <c r="L88" s="113"/>
      <c r="M88" s="113"/>
    </row>
    <row r="89" spans="1:13">
      <c r="A89" s="2">
        <f t="shared" si="12"/>
        <v>65</v>
      </c>
      <c r="B89" s="278"/>
      <c r="C89" s="235"/>
      <c r="D89" s="113"/>
      <c r="E89" s="113"/>
      <c r="F89" s="113"/>
      <c r="G89" s="113"/>
      <c r="H89" s="113"/>
      <c r="I89" s="113"/>
      <c r="J89" s="113"/>
      <c r="K89" s="113"/>
      <c r="L89" s="113"/>
      <c r="M89" s="113"/>
    </row>
    <row r="90" spans="1:13">
      <c r="A90" s="2">
        <f t="shared" si="12"/>
        <v>66</v>
      </c>
      <c r="B90" s="278" t="s">
        <v>1388</v>
      </c>
      <c r="C90" s="113"/>
      <c r="D90" s="113"/>
      <c r="E90" s="113"/>
      <c r="F90" s="3" t="s">
        <v>79</v>
      </c>
      <c r="G90" s="3" t="s">
        <v>644</v>
      </c>
      <c r="H90" s="113"/>
      <c r="I90" s="113"/>
    </row>
    <row r="91" spans="1:13">
      <c r="A91" s="2">
        <f>A90+1</f>
        <v>67</v>
      </c>
      <c r="B91" s="234" t="s">
        <v>1389</v>
      </c>
      <c r="C91" s="113"/>
      <c r="D91" s="113"/>
      <c r="E91" s="113"/>
      <c r="F91" s="115">
        <f>M61</f>
        <v>282112699.85217655</v>
      </c>
      <c r="G91" s="234" t="str">
        <f>"Line "&amp;A61&amp;", Col 12"</f>
        <v>Line 37, Col 12</v>
      </c>
      <c r="H91" s="113"/>
      <c r="I91" s="113"/>
    </row>
    <row r="92" spans="1:13">
      <c r="A92" s="2">
        <f>A91+1</f>
        <v>68</v>
      </c>
      <c r="B92" s="234" t="s">
        <v>1390</v>
      </c>
      <c r="C92" s="113"/>
      <c r="D92" s="113"/>
      <c r="E92" s="113"/>
      <c r="F92" s="115">
        <f>G77</f>
        <v>0</v>
      </c>
      <c r="G92" s="234" t="str">
        <f>"Line "&amp;A77&amp;""</f>
        <v>Line 53</v>
      </c>
      <c r="H92" s="113"/>
      <c r="I92" s="113"/>
    </row>
    <row r="93" spans="1:13">
      <c r="A93" s="2">
        <f>A92+1</f>
        <v>69</v>
      </c>
      <c r="B93" s="234" t="s">
        <v>1391</v>
      </c>
      <c r="C93" s="113"/>
      <c r="D93" s="113"/>
      <c r="E93" s="113"/>
      <c r="F93" s="53">
        <f>H86</f>
        <v>40830532.439054742</v>
      </c>
      <c r="G93" s="234" t="str">
        <f>"Line "&amp;A86&amp;""</f>
        <v>Line 62</v>
      </c>
      <c r="H93" s="113"/>
      <c r="I93" s="113"/>
    </row>
    <row r="94" spans="1:13">
      <c r="A94" s="2">
        <f>A93+1</f>
        <v>70</v>
      </c>
      <c r="B94" s="113"/>
      <c r="C94" s="113"/>
      <c r="D94" s="113"/>
      <c r="E94" s="114" t="s">
        <v>1392</v>
      </c>
      <c r="F94" s="115">
        <f>SUM(F91:F93)</f>
        <v>322943232.29123127</v>
      </c>
      <c r="G94" s="234" t="str">
        <f>"Line "&amp;A91&amp;" + Line "&amp;A92&amp;" + Line "&amp;A93&amp;""</f>
        <v>Line 67 + Line 68 + Line 69</v>
      </c>
      <c r="H94" s="113"/>
      <c r="I94" s="113"/>
    </row>
    <row r="95" spans="1:13">
      <c r="A95" s="113"/>
      <c r="B95" s="1" t="s">
        <v>226</v>
      </c>
      <c r="C95" s="113"/>
      <c r="D95" s="113"/>
      <c r="E95" s="113"/>
      <c r="F95" s="113"/>
      <c r="G95" s="113"/>
      <c r="H95" s="113"/>
      <c r="I95" s="113"/>
    </row>
    <row r="96" spans="1:13">
      <c r="A96" s="113"/>
      <c r="B96" s="235" t="s">
        <v>1393</v>
      </c>
      <c r="C96" s="113"/>
      <c r="D96" s="113"/>
      <c r="E96" s="113"/>
      <c r="F96" s="113"/>
      <c r="G96" s="113"/>
      <c r="H96" s="113"/>
      <c r="I96" s="113"/>
    </row>
    <row r="97" spans="1:9">
      <c r="A97" s="113"/>
      <c r="B97" s="235" t="str">
        <f>"same account, times the Monthly Depreciation Rate for that account.  Monthly rate = annual rates on Line "&amp;A29&amp;" etc. divided by 12."</f>
        <v>same account, times the Monthly Depreciation Rate for that account.  Monthly rate = annual rates on Line 17a etc. divided by 12.</v>
      </c>
      <c r="C97" s="113"/>
      <c r="D97" s="113"/>
      <c r="E97" s="113"/>
      <c r="F97" s="113"/>
      <c r="G97" s="113"/>
      <c r="H97" s="113"/>
      <c r="I97" s="113"/>
    </row>
    <row r="98" spans="1:9">
      <c r="A98" s="113"/>
      <c r="B98" s="235" t="str">
        <f>"2) Depreciation Expense for each account is equal to the Average BOY/EOY value on Line "&amp;A68&amp;" times the"</f>
        <v>2) Depreciation Expense for each account is equal to the Average BOY/EOY value on Line 44 times the</v>
      </c>
      <c r="C98" s="113"/>
      <c r="D98" s="113"/>
      <c r="E98" s="113"/>
      <c r="F98" s="113"/>
      <c r="G98" s="113"/>
      <c r="H98" s="113"/>
      <c r="I98" s="113"/>
    </row>
    <row r="99" spans="1:9">
      <c r="B99" s="235" t="str">
        <f>"Depreciation Rate on Line "&amp;A72&amp;"."</f>
        <v>Depreciation Rate on Line 48.</v>
      </c>
    </row>
    <row r="100" spans="1:9">
      <c r="B100" s="1" t="s">
        <v>426</v>
      </c>
    </row>
    <row r="101" spans="1:9">
      <c r="B101" s="235" t="s">
        <v>1394</v>
      </c>
    </row>
    <row r="102" spans="1:9">
      <c r="B102" s="235" t="s">
        <v>1395</v>
      </c>
    </row>
    <row r="103" spans="1:9">
      <c r="B103" s="235" t="s">
        <v>1396</v>
      </c>
    </row>
    <row r="104" spans="1:9">
      <c r="B104" s="23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1" orientation="landscape" cellComments="asDisplayed" r:id="rId1"/>
  <headerFooter>
    <oddHeader>&amp;CSchedule 17
Depreciation Expense
&amp;RTO2025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7"/>
  <sheetViews>
    <sheetView zoomScaleNormal="100" workbookViewId="0"/>
  </sheetViews>
  <sheetFormatPr defaultColWidth="8.5703125" defaultRowHeight="12.75"/>
  <cols>
    <col min="1" max="1" width="4.5703125" customWidth="1"/>
    <col min="2" max="2" width="2.140625" customWidth="1"/>
    <col min="4" max="4" width="38.5703125" customWidth="1"/>
    <col min="5" max="7" width="8.5703125" style="235"/>
  </cols>
  <sheetData>
    <row r="1" spans="1:11">
      <c r="A1" s="199" t="s">
        <v>1397</v>
      </c>
      <c r="B1" s="235"/>
      <c r="C1" s="235"/>
      <c r="D1" s="235"/>
      <c r="K1" t="s">
        <v>1398</v>
      </c>
    </row>
    <row r="2" spans="1:11">
      <c r="A2" s="235"/>
      <c r="B2" s="235"/>
      <c r="C2" s="235"/>
      <c r="D2" s="235"/>
    </row>
    <row r="3" spans="1:11">
      <c r="A3" s="235"/>
      <c r="B3" s="199" t="s">
        <v>632</v>
      </c>
      <c r="C3" s="235"/>
      <c r="D3" s="235"/>
      <c r="E3" s="2" t="s">
        <v>652</v>
      </c>
      <c r="F3" s="2"/>
      <c r="G3" s="2"/>
    </row>
    <row r="4" spans="1:11">
      <c r="A4" s="235"/>
      <c r="B4" s="235"/>
      <c r="C4" s="116" t="s">
        <v>239</v>
      </c>
      <c r="D4" s="235"/>
      <c r="E4" s="2" t="s">
        <v>1399</v>
      </c>
      <c r="F4" s="4" t="s">
        <v>1308</v>
      </c>
      <c r="G4" s="4"/>
    </row>
    <row r="5" spans="1:11">
      <c r="A5" s="30" t="s">
        <v>266</v>
      </c>
      <c r="B5" s="235"/>
      <c r="C5" s="186" t="s">
        <v>698</v>
      </c>
      <c r="D5" s="186" t="s">
        <v>806</v>
      </c>
      <c r="E5" s="3" t="s">
        <v>1400</v>
      </c>
      <c r="F5" s="3" t="s">
        <v>1401</v>
      </c>
      <c r="G5" s="3" t="s">
        <v>244</v>
      </c>
    </row>
    <row r="6" spans="1:11" ht="15" customHeight="1">
      <c r="A6" s="2">
        <v>1</v>
      </c>
      <c r="B6" s="235"/>
      <c r="C6" s="390">
        <v>350.1</v>
      </c>
      <c r="D6" s="234" t="s">
        <v>1402</v>
      </c>
      <c r="E6" s="260">
        <v>0</v>
      </c>
      <c r="F6" s="260">
        <v>0</v>
      </c>
      <c r="G6" s="260">
        <v>0</v>
      </c>
    </row>
    <row r="7" spans="1:11" ht="15" customHeight="1">
      <c r="A7" s="2">
        <f>A6+1</f>
        <v>2</v>
      </c>
      <c r="B7" s="235"/>
      <c r="C7" s="390">
        <v>350.2</v>
      </c>
      <c r="D7" s="234" t="s">
        <v>1403</v>
      </c>
      <c r="E7" s="260">
        <v>1.66E-2</v>
      </c>
      <c r="F7" s="260">
        <v>0</v>
      </c>
      <c r="G7" s="260">
        <v>1.66E-2</v>
      </c>
    </row>
    <row r="8" spans="1:11">
      <c r="A8" s="2">
        <f t="shared" ref="A8:A16" si="0">A7+1</f>
        <v>3</v>
      </c>
      <c r="B8" s="235"/>
      <c r="C8" s="390">
        <v>352</v>
      </c>
      <c r="D8" s="234" t="s">
        <v>1404</v>
      </c>
      <c r="E8" s="260">
        <v>1.7999999999999999E-2</v>
      </c>
      <c r="F8" s="260">
        <v>7.7000000000000002E-3</v>
      </c>
      <c r="G8" s="260">
        <v>2.5700000000000001E-2</v>
      </c>
    </row>
    <row r="9" spans="1:11">
      <c r="A9" s="2">
        <f t="shared" si="0"/>
        <v>4</v>
      </c>
      <c r="B9" s="235"/>
      <c r="C9" s="390">
        <v>353</v>
      </c>
      <c r="D9" s="234" t="s">
        <v>1405</v>
      </c>
      <c r="E9" s="260">
        <v>2.1999999999999999E-2</v>
      </c>
      <c r="F9" s="260">
        <v>2.7000000000000001E-3</v>
      </c>
      <c r="G9" s="260">
        <v>2.47E-2</v>
      </c>
    </row>
    <row r="10" spans="1:11">
      <c r="A10" s="2">
        <f t="shared" si="0"/>
        <v>5</v>
      </c>
      <c r="B10" s="235"/>
      <c r="C10" s="390">
        <v>354</v>
      </c>
      <c r="D10" s="234" t="s">
        <v>1406</v>
      </c>
      <c r="E10" s="260">
        <v>1.35E-2</v>
      </c>
      <c r="F10" s="260">
        <v>1.09E-2</v>
      </c>
      <c r="G10" s="260">
        <v>2.4400000000000002E-2</v>
      </c>
    </row>
    <row r="11" spans="1:11">
      <c r="A11" s="2">
        <f t="shared" si="0"/>
        <v>6</v>
      </c>
      <c r="B11" s="235"/>
      <c r="C11" s="390">
        <v>355</v>
      </c>
      <c r="D11" s="234" t="s">
        <v>1407</v>
      </c>
      <c r="E11" s="260">
        <v>0.02</v>
      </c>
      <c r="F11" s="260">
        <v>1.67E-2</v>
      </c>
      <c r="G11" s="260">
        <v>3.6700000000000003E-2</v>
      </c>
    </row>
    <row r="12" spans="1:11">
      <c r="A12" s="2">
        <f t="shared" si="0"/>
        <v>7</v>
      </c>
      <c r="B12" s="235"/>
      <c r="C12" s="390">
        <v>356</v>
      </c>
      <c r="D12" s="234" t="s">
        <v>1408</v>
      </c>
      <c r="E12" s="260">
        <v>0.02</v>
      </c>
      <c r="F12" s="260">
        <v>1.0500000000000001E-2</v>
      </c>
      <c r="G12" s="260">
        <v>3.0499999999999999E-2</v>
      </c>
    </row>
    <row r="13" spans="1:11">
      <c r="A13" s="2">
        <f t="shared" si="0"/>
        <v>8</v>
      </c>
      <c r="B13" s="235"/>
      <c r="C13" s="390">
        <v>357</v>
      </c>
      <c r="D13" s="234" t="s">
        <v>1409</v>
      </c>
      <c r="E13" s="260">
        <v>1.6500000000000001E-2</v>
      </c>
      <c r="F13" s="260">
        <v>0</v>
      </c>
      <c r="G13" s="260">
        <v>1.6500000000000001E-2</v>
      </c>
    </row>
    <row r="14" spans="1:11">
      <c r="A14" s="2">
        <f t="shared" si="0"/>
        <v>9</v>
      </c>
      <c r="B14" s="235"/>
      <c r="C14" s="390">
        <v>358</v>
      </c>
      <c r="D14" s="234" t="s">
        <v>1410</v>
      </c>
      <c r="E14" s="260">
        <v>3.2599999999999997E-2</v>
      </c>
      <c r="F14" s="260">
        <v>6.1000000000000004E-3</v>
      </c>
      <c r="G14" s="260">
        <v>3.8699999999999998E-2</v>
      </c>
    </row>
    <row r="15" spans="1:11">
      <c r="A15" s="2">
        <f t="shared" si="0"/>
        <v>10</v>
      </c>
      <c r="B15" s="235"/>
      <c r="C15" s="390">
        <v>359</v>
      </c>
      <c r="D15" s="234" t="s">
        <v>1411</v>
      </c>
      <c r="E15" s="260">
        <v>1.5599999999999999E-2</v>
      </c>
      <c r="F15" s="260">
        <v>0</v>
      </c>
      <c r="G15" s="260">
        <v>1.5599999999999999E-2</v>
      </c>
    </row>
    <row r="16" spans="1:11">
      <c r="A16" s="2">
        <f t="shared" si="0"/>
        <v>11</v>
      </c>
      <c r="B16" s="235"/>
      <c r="C16" s="235"/>
      <c r="D16" s="235"/>
    </row>
    <row r="17" spans="1:7">
      <c r="A17" s="235"/>
      <c r="B17" s="199" t="s">
        <v>638</v>
      </c>
      <c r="C17" s="235"/>
      <c r="D17" s="235"/>
      <c r="E17" s="2" t="s">
        <v>652</v>
      </c>
      <c r="F17" s="2"/>
      <c r="G17" s="2"/>
    </row>
    <row r="18" spans="1:7">
      <c r="A18" s="235"/>
      <c r="B18" s="235"/>
      <c r="C18" s="116" t="s">
        <v>239</v>
      </c>
      <c r="D18" s="235"/>
      <c r="E18" s="2" t="s">
        <v>1399</v>
      </c>
      <c r="F18" s="4" t="s">
        <v>1308</v>
      </c>
      <c r="G18" s="4"/>
    </row>
    <row r="19" spans="1:7">
      <c r="A19" s="235"/>
      <c r="B19" s="235"/>
      <c r="C19" s="186" t="s">
        <v>698</v>
      </c>
      <c r="D19" s="186" t="s">
        <v>806</v>
      </c>
      <c r="E19" s="3" t="s">
        <v>1400</v>
      </c>
      <c r="F19" s="3" t="s">
        <v>1401</v>
      </c>
      <c r="G19" s="3" t="s">
        <v>244</v>
      </c>
    </row>
    <row r="20" spans="1:7">
      <c r="A20" s="2">
        <f>A16+1</f>
        <v>12</v>
      </c>
      <c r="B20" s="235"/>
      <c r="C20" s="235">
        <v>360</v>
      </c>
      <c r="D20" s="234" t="s">
        <v>1412</v>
      </c>
      <c r="E20" s="260">
        <v>1.67E-2</v>
      </c>
      <c r="F20" s="260">
        <v>0</v>
      </c>
      <c r="G20" s="260">
        <v>1.67E-2</v>
      </c>
    </row>
    <row r="21" spans="1:7">
      <c r="A21" s="2">
        <f>A20+1</f>
        <v>13</v>
      </c>
      <c r="B21" s="235"/>
      <c r="C21" s="235">
        <v>361</v>
      </c>
      <c r="D21" s="234" t="s">
        <v>1404</v>
      </c>
      <c r="E21" s="976">
        <v>1.4200000000000001E-2</v>
      </c>
      <c r="F21" s="485">
        <v>6.3E-3</v>
      </c>
      <c r="G21" s="485">
        <v>2.0500000000000001E-2</v>
      </c>
    </row>
    <row r="22" spans="1:7">
      <c r="A22" s="2">
        <f>A21+1</f>
        <v>14</v>
      </c>
      <c r="B22" s="235"/>
      <c r="C22" s="235">
        <v>362</v>
      </c>
      <c r="D22" s="234" t="s">
        <v>1405</v>
      </c>
      <c r="E22" s="976">
        <v>1.3299999999999999E-2</v>
      </c>
      <c r="F22" s="485">
        <v>5.3E-3</v>
      </c>
      <c r="G22" s="485">
        <v>1.8599999999999998E-2</v>
      </c>
    </row>
    <row r="23" spans="1:7">
      <c r="A23" s="235"/>
      <c r="B23" s="235"/>
      <c r="C23" s="235"/>
      <c r="D23" s="235"/>
    </row>
    <row r="24" spans="1:7">
      <c r="A24" s="235"/>
      <c r="B24" s="199" t="s">
        <v>1413</v>
      </c>
      <c r="C24" s="235"/>
      <c r="D24" s="235"/>
      <c r="E24" s="2" t="s">
        <v>652</v>
      </c>
    </row>
    <row r="25" spans="1:7">
      <c r="A25" s="235"/>
      <c r="B25" s="235"/>
      <c r="C25" s="116" t="s">
        <v>239</v>
      </c>
      <c r="D25" s="235"/>
      <c r="E25" s="2" t="s">
        <v>1399</v>
      </c>
      <c r="F25" s="4" t="s">
        <v>1308</v>
      </c>
      <c r="G25" s="4"/>
    </row>
    <row r="26" spans="1:7">
      <c r="A26" s="235"/>
      <c r="B26" s="235"/>
      <c r="C26" s="186" t="s">
        <v>698</v>
      </c>
      <c r="D26" s="186" t="s">
        <v>806</v>
      </c>
      <c r="E26" s="3" t="s">
        <v>1400</v>
      </c>
      <c r="F26" s="3" t="s">
        <v>1401</v>
      </c>
      <c r="G26" s="3" t="s">
        <v>244</v>
      </c>
    </row>
    <row r="27" spans="1:7">
      <c r="A27" s="2">
        <f>A22+1</f>
        <v>15</v>
      </c>
      <c r="B27" s="235"/>
      <c r="C27" s="235">
        <v>389</v>
      </c>
      <c r="D27" s="234" t="s">
        <v>1412</v>
      </c>
      <c r="E27" s="260">
        <v>1.67E-2</v>
      </c>
      <c r="F27" s="260">
        <v>0</v>
      </c>
      <c r="G27" s="260">
        <v>1.67E-2</v>
      </c>
    </row>
    <row r="28" spans="1:7">
      <c r="A28" s="2">
        <f t="shared" ref="A28:A42" si="1">A27+1</f>
        <v>16</v>
      </c>
      <c r="B28" s="235"/>
      <c r="C28" s="235">
        <v>390</v>
      </c>
      <c r="D28" s="234" t="s">
        <v>1404</v>
      </c>
      <c r="E28" s="976">
        <v>1.5900000000000001E-2</v>
      </c>
      <c r="F28" s="260">
        <v>2.3E-3</v>
      </c>
      <c r="G28" s="976">
        <v>1.8200000000000001E-2</v>
      </c>
    </row>
    <row r="29" spans="1:7">
      <c r="A29" s="2">
        <f t="shared" si="1"/>
        <v>17</v>
      </c>
      <c r="B29" s="235"/>
      <c r="C29" s="235">
        <v>391.1</v>
      </c>
      <c r="D29" s="818" t="s">
        <v>1414</v>
      </c>
      <c r="E29" s="260">
        <v>0.05</v>
      </c>
      <c r="F29" s="260">
        <v>0</v>
      </c>
      <c r="G29" s="260">
        <v>0.05</v>
      </c>
    </row>
    <row r="30" spans="1:7">
      <c r="A30" s="2">
        <f t="shared" si="1"/>
        <v>18</v>
      </c>
      <c r="B30" s="235"/>
      <c r="C30" s="235">
        <v>391.5</v>
      </c>
      <c r="D30" s="818" t="s">
        <v>1415</v>
      </c>
      <c r="E30" s="260">
        <v>0.2</v>
      </c>
      <c r="F30" s="260">
        <v>0</v>
      </c>
      <c r="G30" s="260">
        <v>0.2</v>
      </c>
    </row>
    <row r="31" spans="1:7">
      <c r="A31" s="2">
        <f t="shared" si="1"/>
        <v>19</v>
      </c>
      <c r="B31" s="235"/>
      <c r="C31" s="235">
        <v>391.6</v>
      </c>
      <c r="D31" s="818" t="s">
        <v>1416</v>
      </c>
      <c r="E31" s="260">
        <v>0.2</v>
      </c>
      <c r="F31" s="260">
        <v>0</v>
      </c>
      <c r="G31" s="260">
        <v>0.2</v>
      </c>
    </row>
    <row r="32" spans="1:7">
      <c r="A32" s="2">
        <f t="shared" si="1"/>
        <v>20</v>
      </c>
      <c r="B32" s="235"/>
      <c r="C32" s="235">
        <v>391.2</v>
      </c>
      <c r="D32" s="818" t="s">
        <v>1417</v>
      </c>
      <c r="E32" s="485">
        <v>0.19070000000000001</v>
      </c>
      <c r="F32" s="976">
        <v>0</v>
      </c>
      <c r="G32" s="485">
        <v>0.19070000000000001</v>
      </c>
    </row>
    <row r="33" spans="1:7">
      <c r="A33" s="2">
        <f t="shared" si="1"/>
        <v>21</v>
      </c>
      <c r="B33" s="235"/>
      <c r="C33" s="235">
        <v>391.3</v>
      </c>
      <c r="D33" s="818" t="s">
        <v>1418</v>
      </c>
      <c r="E33" s="485">
        <v>0.19070000000000001</v>
      </c>
      <c r="F33" s="976">
        <v>0</v>
      </c>
      <c r="G33" s="485">
        <v>0.19070000000000001</v>
      </c>
    </row>
    <row r="34" spans="1:7">
      <c r="A34" s="2">
        <f t="shared" si="1"/>
        <v>22</v>
      </c>
      <c r="B34" s="235"/>
      <c r="C34" s="233">
        <v>391.7</v>
      </c>
      <c r="D34" s="818" t="s">
        <v>1419</v>
      </c>
      <c r="E34" s="485">
        <v>0.19070000000000001</v>
      </c>
      <c r="F34" s="976">
        <v>0</v>
      </c>
      <c r="G34" s="485">
        <v>0.19070000000000001</v>
      </c>
    </row>
    <row r="35" spans="1:7">
      <c r="A35" s="2">
        <f t="shared" si="1"/>
        <v>23</v>
      </c>
      <c r="B35" s="235"/>
      <c r="C35" s="233">
        <v>391.4</v>
      </c>
      <c r="D35" s="818" t="s">
        <v>1420</v>
      </c>
      <c r="E35" s="485">
        <v>0.11360000000000001</v>
      </c>
      <c r="F35" s="976">
        <v>0</v>
      </c>
      <c r="G35" s="485">
        <v>0.11360000000000001</v>
      </c>
    </row>
    <row r="36" spans="1:7">
      <c r="A36" s="2">
        <f t="shared" si="1"/>
        <v>24</v>
      </c>
      <c r="B36" s="235"/>
      <c r="C36" s="235">
        <v>391.4</v>
      </c>
      <c r="D36" s="818" t="s">
        <v>1421</v>
      </c>
      <c r="E36" s="485">
        <v>0.11360000000000001</v>
      </c>
      <c r="F36" s="976">
        <v>0</v>
      </c>
      <c r="G36" s="485">
        <v>0.11360000000000001</v>
      </c>
    </row>
    <row r="37" spans="1:7">
      <c r="A37" s="2">
        <f t="shared" si="1"/>
        <v>25</v>
      </c>
      <c r="B37" s="235"/>
      <c r="C37" s="233">
        <v>391.4</v>
      </c>
      <c r="D37" s="818" t="s">
        <v>1422</v>
      </c>
      <c r="E37" s="485">
        <v>0.11360000000000001</v>
      </c>
      <c r="F37" s="976">
        <v>0</v>
      </c>
      <c r="G37" s="485">
        <v>0.11360000000000001</v>
      </c>
    </row>
    <row r="38" spans="1:7">
      <c r="A38" s="2">
        <f t="shared" si="1"/>
        <v>26</v>
      </c>
      <c r="B38" s="235"/>
      <c r="C38" s="233">
        <v>391.4</v>
      </c>
      <c r="D38" s="818" t="s">
        <v>1423</v>
      </c>
      <c r="E38" s="485">
        <v>0.11360000000000001</v>
      </c>
      <c r="F38" s="976">
        <v>0</v>
      </c>
      <c r="G38" s="485">
        <v>0.11360000000000001</v>
      </c>
    </row>
    <row r="39" spans="1:7">
      <c r="A39" s="2">
        <f t="shared" si="1"/>
        <v>27</v>
      </c>
      <c r="B39" s="235"/>
      <c r="C39" s="233">
        <v>391.4</v>
      </c>
      <c r="D39" s="818" t="s">
        <v>1424</v>
      </c>
      <c r="E39" s="485">
        <v>0.11360000000000001</v>
      </c>
      <c r="F39" s="976">
        <v>0</v>
      </c>
      <c r="G39" s="485">
        <v>0.11360000000000001</v>
      </c>
    </row>
    <row r="40" spans="1:7">
      <c r="A40" s="2">
        <f t="shared" si="1"/>
        <v>28</v>
      </c>
      <c r="B40" s="235"/>
      <c r="C40" s="233">
        <v>393</v>
      </c>
      <c r="D40" s="234" t="s">
        <v>1425</v>
      </c>
      <c r="E40" s="260">
        <v>0.05</v>
      </c>
      <c r="F40" s="260">
        <v>0</v>
      </c>
      <c r="G40" s="260">
        <v>0.05</v>
      </c>
    </row>
    <row r="41" spans="1:7">
      <c r="A41" s="2">
        <f t="shared" si="1"/>
        <v>29</v>
      </c>
      <c r="B41" s="235"/>
      <c r="C41" s="233">
        <v>395</v>
      </c>
      <c r="D41" s="234" t="s">
        <v>1426</v>
      </c>
      <c r="E41" s="260">
        <v>6.6699999999999995E-2</v>
      </c>
      <c r="F41" s="260">
        <v>0</v>
      </c>
      <c r="G41" s="260">
        <v>6.6699999999999995E-2</v>
      </c>
    </row>
    <row r="42" spans="1:7">
      <c r="A42" s="2">
        <f t="shared" si="1"/>
        <v>30</v>
      </c>
      <c r="B42" s="235"/>
      <c r="C42" s="233">
        <v>398</v>
      </c>
      <c r="D42" s="234" t="s">
        <v>1427</v>
      </c>
      <c r="E42" s="260">
        <v>0.05</v>
      </c>
      <c r="F42" s="260">
        <v>0</v>
      </c>
      <c r="G42" s="260">
        <v>0.05</v>
      </c>
    </row>
    <row r="43" spans="1:7">
      <c r="A43" s="2">
        <f>A42+1</f>
        <v>31</v>
      </c>
      <c r="B43" s="235"/>
      <c r="C43" s="233">
        <v>397</v>
      </c>
      <c r="D43" s="234" t="s">
        <v>1428</v>
      </c>
      <c r="E43" s="260">
        <v>0.2</v>
      </c>
      <c r="F43" s="260">
        <v>0</v>
      </c>
      <c r="G43" s="260">
        <v>0.2</v>
      </c>
    </row>
    <row r="44" spans="1:7">
      <c r="A44" s="2">
        <f t="shared" ref="A44:A53" si="2">A43+1</f>
        <v>32</v>
      </c>
      <c r="B44" s="235"/>
      <c r="C44" s="233">
        <v>397</v>
      </c>
      <c r="D44" s="234" t="s">
        <v>1429</v>
      </c>
      <c r="E44" s="260">
        <v>0.1429</v>
      </c>
      <c r="F44" s="260">
        <v>0</v>
      </c>
      <c r="G44" s="260">
        <v>0.1429</v>
      </c>
    </row>
    <row r="45" spans="1:7">
      <c r="A45" s="2">
        <f t="shared" si="2"/>
        <v>33</v>
      </c>
      <c r="B45" s="235"/>
      <c r="C45" s="233">
        <v>397</v>
      </c>
      <c r="D45" s="234" t="s">
        <v>1430</v>
      </c>
      <c r="E45" s="260">
        <v>0.1</v>
      </c>
      <c r="F45" s="260">
        <v>0</v>
      </c>
      <c r="G45" s="260">
        <v>0.1</v>
      </c>
    </row>
    <row r="46" spans="1:7">
      <c r="A46" s="2">
        <f t="shared" si="2"/>
        <v>34</v>
      </c>
      <c r="B46" s="235"/>
      <c r="C46" s="233">
        <v>397</v>
      </c>
      <c r="D46" s="234" t="s">
        <v>1431</v>
      </c>
      <c r="E46" s="260">
        <v>6.6699999999999995E-2</v>
      </c>
      <c r="F46" s="260">
        <v>0</v>
      </c>
      <c r="G46" s="260">
        <v>6.6699999999999995E-2</v>
      </c>
    </row>
    <row r="47" spans="1:7">
      <c r="A47" s="2">
        <f t="shared" si="2"/>
        <v>35</v>
      </c>
      <c r="B47" s="235"/>
      <c r="C47" s="233">
        <v>397</v>
      </c>
      <c r="D47" s="234" t="s">
        <v>1432</v>
      </c>
      <c r="E47" s="535">
        <v>0.05</v>
      </c>
      <c r="F47" s="260">
        <v>0</v>
      </c>
      <c r="G47" s="535">
        <v>0.05</v>
      </c>
    </row>
    <row r="48" spans="1:7">
      <c r="A48" s="2">
        <f t="shared" si="2"/>
        <v>36</v>
      </c>
      <c r="B48" s="235"/>
      <c r="C48" s="233">
        <v>397</v>
      </c>
      <c r="D48" s="234" t="s">
        <v>1433</v>
      </c>
      <c r="E48" s="260">
        <v>0.04</v>
      </c>
      <c r="F48" s="260">
        <v>0</v>
      </c>
      <c r="G48" s="260">
        <v>0.04</v>
      </c>
    </row>
    <row r="49" spans="1:7">
      <c r="A49" s="2">
        <f t="shared" si="2"/>
        <v>37</v>
      </c>
      <c r="B49" s="235"/>
      <c r="C49" s="233">
        <v>397</v>
      </c>
      <c r="D49" s="234" t="s">
        <v>1434</v>
      </c>
      <c r="E49" s="260">
        <v>2.5000000000000001E-2</v>
      </c>
      <c r="F49" s="260">
        <v>0</v>
      </c>
      <c r="G49" s="260">
        <v>2.5000000000000001E-2</v>
      </c>
    </row>
    <row r="50" spans="1:7">
      <c r="A50" s="2">
        <f t="shared" si="2"/>
        <v>38</v>
      </c>
      <c r="B50" s="235"/>
      <c r="C50" s="233">
        <v>392</v>
      </c>
      <c r="D50" s="234" t="s">
        <v>1435</v>
      </c>
      <c r="E50" s="260">
        <v>0.1429</v>
      </c>
      <c r="F50" s="260">
        <v>0</v>
      </c>
      <c r="G50" s="260">
        <v>0.1429</v>
      </c>
    </row>
    <row r="51" spans="1:7">
      <c r="A51" s="2">
        <f t="shared" si="2"/>
        <v>39</v>
      </c>
      <c r="B51" s="235"/>
      <c r="C51" s="233">
        <v>394.4</v>
      </c>
      <c r="D51" s="234" t="s">
        <v>1436</v>
      </c>
      <c r="E51" s="260">
        <v>0.1</v>
      </c>
      <c r="F51" s="260">
        <v>0</v>
      </c>
      <c r="G51" s="260">
        <v>0.1</v>
      </c>
    </row>
    <row r="52" spans="1:7">
      <c r="A52" s="2">
        <f t="shared" si="2"/>
        <v>40</v>
      </c>
      <c r="B52" s="235"/>
      <c r="C52" s="233">
        <v>394.5</v>
      </c>
      <c r="D52" s="234" t="s">
        <v>1437</v>
      </c>
      <c r="E52" s="260">
        <v>0.1</v>
      </c>
      <c r="F52" s="260">
        <v>0</v>
      </c>
      <c r="G52" s="260">
        <v>0.1</v>
      </c>
    </row>
    <row r="53" spans="1:7">
      <c r="A53" s="2">
        <f t="shared" si="2"/>
        <v>41</v>
      </c>
      <c r="B53" s="235"/>
      <c r="C53" s="233">
        <v>396</v>
      </c>
      <c r="D53" s="234" t="s">
        <v>1438</v>
      </c>
      <c r="E53" s="260">
        <v>6.6699999999999995E-2</v>
      </c>
      <c r="F53" s="260">
        <v>0</v>
      </c>
      <c r="G53" s="260">
        <v>6.6699999999999995E-2</v>
      </c>
    </row>
    <row r="54" spans="1:7">
      <c r="A54" s="235"/>
      <c r="B54" s="235"/>
      <c r="C54" s="235"/>
      <c r="D54" s="235"/>
    </row>
    <row r="55" spans="1:7">
      <c r="A55" s="235"/>
      <c r="B55" s="199" t="s">
        <v>1439</v>
      </c>
      <c r="C55" s="235"/>
      <c r="D55" s="235"/>
      <c r="E55" s="2" t="s">
        <v>652</v>
      </c>
    </row>
    <row r="56" spans="1:7">
      <c r="A56" s="235"/>
      <c r="B56" s="235"/>
      <c r="C56" s="116" t="s">
        <v>239</v>
      </c>
      <c r="D56" s="235"/>
      <c r="E56" s="2" t="s">
        <v>1399</v>
      </c>
      <c r="F56" s="4" t="s">
        <v>1308</v>
      </c>
      <c r="G56" s="4"/>
    </row>
    <row r="57" spans="1:7">
      <c r="A57" s="235"/>
      <c r="B57" s="235"/>
      <c r="C57" s="186" t="s">
        <v>698</v>
      </c>
      <c r="D57" s="186" t="s">
        <v>806</v>
      </c>
      <c r="E57" s="3" t="s">
        <v>1400</v>
      </c>
      <c r="F57" s="3" t="s">
        <v>1401</v>
      </c>
      <c r="G57" s="3" t="s">
        <v>244</v>
      </c>
    </row>
    <row r="58" spans="1:7">
      <c r="A58" s="2">
        <f>A53+1</f>
        <v>42</v>
      </c>
      <c r="B58" s="235"/>
      <c r="C58" s="233">
        <v>302</v>
      </c>
      <c r="D58" s="234" t="s">
        <v>1440</v>
      </c>
      <c r="E58" s="485">
        <v>2.06E-2</v>
      </c>
      <c r="F58" s="260">
        <v>0</v>
      </c>
      <c r="G58" s="485">
        <v>2.06E-2</v>
      </c>
    </row>
    <row r="59" spans="1:7">
      <c r="A59" s="2">
        <f t="shared" ref="A59:A64" si="3">A58+1</f>
        <v>43</v>
      </c>
      <c r="B59" s="235"/>
      <c r="C59" s="233">
        <v>303</v>
      </c>
      <c r="D59" s="234" t="s">
        <v>1441</v>
      </c>
      <c r="E59" s="260">
        <v>2.5000000000000001E-2</v>
      </c>
      <c r="F59" s="260">
        <v>0</v>
      </c>
      <c r="G59" s="260">
        <v>2.5000000000000001E-2</v>
      </c>
    </row>
    <row r="60" spans="1:7">
      <c r="A60" s="2">
        <f t="shared" si="3"/>
        <v>44</v>
      </c>
      <c r="B60" s="235"/>
      <c r="C60" s="233">
        <v>301</v>
      </c>
      <c r="D60" s="234" t="s">
        <v>1442</v>
      </c>
      <c r="E60" s="260">
        <v>0.05</v>
      </c>
      <c r="F60" s="260">
        <v>0</v>
      </c>
      <c r="G60" s="260">
        <v>0.05</v>
      </c>
    </row>
    <row r="61" spans="1:7">
      <c r="A61" s="2">
        <f t="shared" si="3"/>
        <v>45</v>
      </c>
      <c r="B61" s="235"/>
      <c r="C61" s="233">
        <v>303</v>
      </c>
      <c r="D61" s="234" t="s">
        <v>1443</v>
      </c>
      <c r="E61" s="485">
        <v>0.21479999999999999</v>
      </c>
      <c r="F61" s="260">
        <v>0</v>
      </c>
      <c r="G61" s="485">
        <v>0.21479999999999999</v>
      </c>
    </row>
    <row r="62" spans="1:7">
      <c r="A62" s="2">
        <f t="shared" si="3"/>
        <v>46</v>
      </c>
      <c r="B62" s="235"/>
      <c r="C62" s="233">
        <v>303</v>
      </c>
      <c r="D62" s="234" t="s">
        <v>1444</v>
      </c>
      <c r="E62" s="976">
        <v>0.1429</v>
      </c>
      <c r="F62" s="260">
        <v>0</v>
      </c>
      <c r="G62" s="260">
        <v>0.1429</v>
      </c>
    </row>
    <row r="63" spans="1:7">
      <c r="A63" s="2">
        <f t="shared" si="3"/>
        <v>47</v>
      </c>
      <c r="B63" s="235"/>
      <c r="C63" s="233">
        <v>303</v>
      </c>
      <c r="D63" s="234" t="s">
        <v>1445</v>
      </c>
      <c r="E63" s="485">
        <v>0.1</v>
      </c>
      <c r="F63" s="260">
        <v>0</v>
      </c>
      <c r="G63" s="485">
        <v>0.1</v>
      </c>
    </row>
    <row r="64" spans="1:7">
      <c r="A64" s="2">
        <f t="shared" si="3"/>
        <v>48</v>
      </c>
      <c r="B64" s="235"/>
      <c r="C64" s="233">
        <v>303</v>
      </c>
      <c r="D64" s="234" t="s">
        <v>1446</v>
      </c>
      <c r="E64" s="485">
        <v>6.6699999999999995E-2</v>
      </c>
      <c r="F64" s="260">
        <v>0</v>
      </c>
      <c r="G64" s="485">
        <v>6.6699999999999995E-2</v>
      </c>
    </row>
    <row r="65" spans="1:7">
      <c r="A65" s="2"/>
      <c r="B65" s="235"/>
      <c r="C65" s="233"/>
      <c r="D65" s="234"/>
      <c r="E65" s="485"/>
      <c r="F65" s="260"/>
      <c r="G65" s="485"/>
    </row>
    <row r="66" spans="1:7">
      <c r="A66" s="235"/>
      <c r="B66" s="235" t="s">
        <v>1447</v>
      </c>
      <c r="C66" s="235"/>
      <c r="D66" s="235"/>
    </row>
    <row r="67" spans="1:7">
      <c r="A67" s="235"/>
      <c r="B67" s="235" t="s">
        <v>1448</v>
      </c>
      <c r="C67" s="235"/>
      <c r="D67" s="235"/>
    </row>
  </sheetData>
  <pageMargins left="0.7" right="0.7" top="0.75" bottom="0.75" header="0.3" footer="0.3"/>
  <pageSetup scale="75" orientation="portrait" cellComments="asDisplayed" r:id="rId1"/>
  <headerFooter>
    <oddHeader>&amp;CSchedule 18
Depreciation Rates
&amp;RTO2025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zoomScaleNormal="100" zoomScaleSheetLayoutView="40" zoomScalePageLayoutView="80" workbookViewId="0"/>
  </sheetViews>
  <sheetFormatPr defaultColWidth="9.42578125" defaultRowHeight="12.75"/>
  <cols>
    <col min="1" max="1" width="5.5703125" style="243" customWidth="1"/>
    <col min="2" max="2" width="50.5703125" style="243" customWidth="1"/>
    <col min="3" max="3" width="18.140625" style="243" customWidth="1"/>
    <col min="4" max="4" width="13.85546875" style="243" customWidth="1"/>
    <col min="5" max="5" width="15.140625" style="243" customWidth="1"/>
    <col min="6" max="6" width="8.85546875" style="243" customWidth="1"/>
    <col min="7" max="7" width="13.85546875" style="446" customWidth="1"/>
    <col min="8" max="9" width="13.85546875" style="447" customWidth="1"/>
    <col min="10" max="10" width="15" style="243" customWidth="1"/>
    <col min="11" max="12" width="14.5703125" style="243" customWidth="1"/>
    <col min="13" max="13" width="14.85546875" style="235" customWidth="1"/>
    <col min="14" max="14" width="10.5703125" style="235" bestFit="1" customWidth="1"/>
    <col min="15" max="16384" width="9.42578125" style="235"/>
  </cols>
  <sheetData>
    <row r="1" spans="1:13" ht="12.75" customHeight="1">
      <c r="A1" s="130" t="s">
        <v>1449</v>
      </c>
      <c r="C1" s="209"/>
      <c r="D1" s="210"/>
      <c r="E1" s="210"/>
      <c r="F1" s="210"/>
      <c r="G1" s="210"/>
      <c r="H1" s="210"/>
      <c r="I1" s="210"/>
      <c r="J1" s="210"/>
      <c r="K1" s="235"/>
      <c r="L1" s="235"/>
    </row>
    <row r="2" spans="1:13" ht="12.75" customHeight="1">
      <c r="A2" s="15"/>
      <c r="B2" s="676" t="s">
        <v>193</v>
      </c>
      <c r="C2" s="267" t="s">
        <v>1450</v>
      </c>
      <c r="D2" s="211"/>
      <c r="E2" s="210"/>
      <c r="F2" s="211"/>
      <c r="G2" s="369" t="s">
        <v>96</v>
      </c>
      <c r="H2" s="242"/>
      <c r="I2" s="210"/>
      <c r="J2" s="210"/>
      <c r="K2" s="210"/>
      <c r="L2" s="210"/>
    </row>
    <row r="3" spans="1:13" ht="12.75" customHeight="1">
      <c r="A3" s="212"/>
      <c r="B3" s="213" t="s">
        <v>1451</v>
      </c>
      <c r="C3" s="214"/>
      <c r="D3" s="214"/>
      <c r="E3" s="214"/>
      <c r="F3" s="214"/>
      <c r="G3" s="214"/>
      <c r="H3" s="214"/>
      <c r="I3" s="214"/>
      <c r="J3" s="214"/>
      <c r="K3" s="214"/>
      <c r="L3" s="215"/>
    </row>
    <row r="4" spans="1:13" ht="12.75" customHeight="1">
      <c r="A4" s="128"/>
      <c r="B4" s="15"/>
      <c r="C4" s="19"/>
      <c r="D4" s="19"/>
      <c r="E4" s="19"/>
      <c r="F4" s="19"/>
      <c r="G4" s="19"/>
      <c r="H4" s="19"/>
      <c r="I4" s="19"/>
      <c r="J4" s="19"/>
      <c r="K4" s="19"/>
      <c r="L4" s="210"/>
    </row>
    <row r="5" spans="1:13" ht="12.75" customHeight="1">
      <c r="A5" s="214"/>
      <c r="B5" s="216" t="s">
        <v>329</v>
      </c>
      <c r="C5" s="216" t="s">
        <v>330</v>
      </c>
      <c r="D5" s="216" t="s">
        <v>331</v>
      </c>
      <c r="E5" s="216" t="s">
        <v>332</v>
      </c>
      <c r="F5" s="216" t="s">
        <v>333</v>
      </c>
      <c r="G5" s="216" t="s">
        <v>334</v>
      </c>
      <c r="H5" s="216" t="s">
        <v>335</v>
      </c>
      <c r="I5" s="216" t="s">
        <v>336</v>
      </c>
      <c r="J5" s="216" t="s">
        <v>1452</v>
      </c>
      <c r="K5" s="216" t="s">
        <v>337</v>
      </c>
      <c r="L5" s="216" t="s">
        <v>582</v>
      </c>
      <c r="M5" s="216" t="s">
        <v>583</v>
      </c>
    </row>
    <row r="6" spans="1:13" ht="12.75" customHeight="1">
      <c r="A6" s="128"/>
      <c r="B6" s="15"/>
      <c r="C6" s="631" t="s">
        <v>1453</v>
      </c>
      <c r="D6" s="19"/>
      <c r="E6" s="19"/>
      <c r="F6" s="444" t="s">
        <v>165</v>
      </c>
      <c r="G6" s="631" t="s">
        <v>1454</v>
      </c>
      <c r="H6" s="132"/>
      <c r="I6" s="132"/>
      <c r="J6" s="632" t="s">
        <v>1455</v>
      </c>
      <c r="K6" s="631" t="s">
        <v>1456</v>
      </c>
      <c r="L6" s="631" t="s">
        <v>1457</v>
      </c>
      <c r="M6" s="632" t="s">
        <v>2746</v>
      </c>
    </row>
    <row r="7" spans="1:13" ht="12.75" customHeight="1">
      <c r="C7" s="847"/>
      <c r="D7" s="445"/>
      <c r="E7" s="445"/>
      <c r="F7" s="235"/>
      <c r="J7" s="460" t="s">
        <v>1458</v>
      </c>
    </row>
    <row r="8" spans="1:13">
      <c r="A8" s="128"/>
      <c r="B8" s="1111" t="s">
        <v>1459</v>
      </c>
      <c r="C8" s="1113" t="s">
        <v>1460</v>
      </c>
      <c r="D8" s="1113"/>
      <c r="E8" s="1113"/>
      <c r="F8" s="217"/>
      <c r="G8" s="1114" t="s">
        <v>1461</v>
      </c>
      <c r="H8" s="1114"/>
      <c r="I8" s="1114"/>
      <c r="J8" s="839"/>
      <c r="K8" s="836"/>
      <c r="L8" s="837" t="s">
        <v>1462</v>
      </c>
      <c r="M8" s="838"/>
    </row>
    <row r="9" spans="1:13" ht="28.5" customHeight="1">
      <c r="A9" s="30"/>
      <c r="B9" s="1112"/>
      <c r="C9" s="218" t="s">
        <v>244</v>
      </c>
      <c r="D9" s="218" t="s">
        <v>797</v>
      </c>
      <c r="E9" s="218" t="s">
        <v>1463</v>
      </c>
      <c r="F9" s="218" t="s">
        <v>1464</v>
      </c>
      <c r="G9" s="218" t="s">
        <v>244</v>
      </c>
      <c r="H9" s="218" t="s">
        <v>797</v>
      </c>
      <c r="I9" s="218" t="s">
        <v>1463</v>
      </c>
      <c r="J9" s="958" t="s">
        <v>1465</v>
      </c>
      <c r="K9" s="218" t="s">
        <v>244</v>
      </c>
      <c r="L9" s="218" t="s">
        <v>797</v>
      </c>
      <c r="M9" s="218" t="s">
        <v>1463</v>
      </c>
    </row>
    <row r="10" spans="1:13">
      <c r="A10" s="30" t="s">
        <v>266</v>
      </c>
      <c r="B10" s="148" t="s">
        <v>1466</v>
      </c>
      <c r="C10" s="19"/>
      <c r="D10" s="19"/>
      <c r="E10" s="19"/>
      <c r="F10" s="19"/>
      <c r="G10" s="19"/>
      <c r="H10" s="19"/>
      <c r="I10" s="19"/>
      <c r="K10" s="19"/>
      <c r="L10" s="19"/>
      <c r="M10" s="19"/>
    </row>
    <row r="11" spans="1:13">
      <c r="A11" s="2">
        <v>1</v>
      </c>
      <c r="B11" s="245" t="s">
        <v>1467</v>
      </c>
      <c r="C11" s="448">
        <f>SUM(D11:E11)</f>
        <v>5945969.8399999989</v>
      </c>
      <c r="D11" s="994">
        <v>1805916.1199999994</v>
      </c>
      <c r="E11" s="994">
        <v>4140053.7199999993</v>
      </c>
      <c r="F11" s="995"/>
      <c r="G11" s="449">
        <f t="shared" ref="G11:G42" si="0">SUM(H11:I11)</f>
        <v>0</v>
      </c>
      <c r="H11" s="994"/>
      <c r="I11" s="994"/>
      <c r="J11" s="448">
        <f>'35-Other Formula Revenue'!G17</f>
        <v>20671.132350534495</v>
      </c>
      <c r="K11" s="448">
        <f>SUM(L11:M11)</f>
        <v>5966640.9723505331</v>
      </c>
      <c r="L11" s="448">
        <f>D11+H11</f>
        <v>1805916.1199999994</v>
      </c>
      <c r="M11" s="448">
        <f t="shared" ref="M11:M40" si="1">E11+I11+J11</f>
        <v>4160724.8523505339</v>
      </c>
    </row>
    <row r="12" spans="1:13">
      <c r="A12" s="2">
        <f>A11+1</f>
        <v>2</v>
      </c>
      <c r="B12" s="245" t="s">
        <v>1468</v>
      </c>
      <c r="C12" s="448">
        <f>SUM(D12:E12)</f>
        <v>378571.84</v>
      </c>
      <c r="D12" s="994">
        <v>0</v>
      </c>
      <c r="E12" s="994">
        <v>378571.84</v>
      </c>
      <c r="F12" s="995"/>
      <c r="G12" s="449">
        <f t="shared" si="0"/>
        <v>0</v>
      </c>
      <c r="H12" s="994"/>
      <c r="I12" s="994"/>
      <c r="J12" s="448">
        <f>'35-Other Formula Revenue'!G18</f>
        <v>0</v>
      </c>
      <c r="K12" s="448">
        <f t="shared" ref="K12:K42" si="2">SUM(L12:M12)</f>
        <v>378571.84</v>
      </c>
      <c r="L12" s="448">
        <f t="shared" ref="L12:L40" si="3">D12+H12</f>
        <v>0</v>
      </c>
      <c r="M12" s="448">
        <f t="shared" si="1"/>
        <v>378571.84</v>
      </c>
    </row>
    <row r="13" spans="1:13">
      <c r="A13" s="2">
        <f t="shared" ref="A13:A44" si="4">A12+1</f>
        <v>3</v>
      </c>
      <c r="B13" s="245" t="s">
        <v>1469</v>
      </c>
      <c r="C13" s="448">
        <f t="shared" ref="C13:C40" si="5">SUM(D13:E13)</f>
        <v>11368494.789999999</v>
      </c>
      <c r="D13" s="994">
        <v>8955161.9799999986</v>
      </c>
      <c r="E13" s="994">
        <v>2413332.81</v>
      </c>
      <c r="F13" s="995"/>
      <c r="G13" s="449">
        <f t="shared" si="0"/>
        <v>0</v>
      </c>
      <c r="H13" s="994"/>
      <c r="I13" s="994"/>
      <c r="J13" s="448">
        <f>'35-Other Formula Revenue'!G19</f>
        <v>41418.370456218981</v>
      </c>
      <c r="K13" s="448">
        <f t="shared" si="2"/>
        <v>11409913.160456218</v>
      </c>
      <c r="L13" s="448">
        <f t="shared" si="3"/>
        <v>8955161.9799999986</v>
      </c>
      <c r="M13" s="448">
        <f t="shared" si="1"/>
        <v>2454751.1804562192</v>
      </c>
    </row>
    <row r="14" spans="1:13">
      <c r="A14" s="2">
        <f t="shared" si="4"/>
        <v>4</v>
      </c>
      <c r="B14" s="245" t="s">
        <v>1470</v>
      </c>
      <c r="C14" s="448">
        <f t="shared" si="5"/>
        <v>25235688.82</v>
      </c>
      <c r="D14" s="994">
        <v>0</v>
      </c>
      <c r="E14" s="994">
        <v>25235688.82</v>
      </c>
      <c r="F14" s="995" t="s">
        <v>1471</v>
      </c>
      <c r="G14" s="449">
        <f t="shared" si="0"/>
        <v>-25235688.82</v>
      </c>
      <c r="H14" s="994"/>
      <c r="I14" s="994">
        <v>-25235688.82</v>
      </c>
      <c r="J14" s="448">
        <f>'35-Other Formula Revenue'!G20</f>
        <v>0</v>
      </c>
      <c r="K14" s="448">
        <f t="shared" si="2"/>
        <v>0</v>
      </c>
      <c r="L14" s="448">
        <f t="shared" si="3"/>
        <v>0</v>
      </c>
      <c r="M14" s="448">
        <f t="shared" si="1"/>
        <v>0</v>
      </c>
    </row>
    <row r="15" spans="1:13">
      <c r="A15" s="2">
        <f t="shared" si="4"/>
        <v>5</v>
      </c>
      <c r="B15" s="245" t="s">
        <v>1472</v>
      </c>
      <c r="C15" s="448">
        <f t="shared" si="5"/>
        <v>5617148.6900000032</v>
      </c>
      <c r="D15" s="994">
        <v>3125328.4400000013</v>
      </c>
      <c r="E15" s="994">
        <v>2491820.2500000019</v>
      </c>
      <c r="F15" s="995"/>
      <c r="G15" s="449">
        <f t="shared" si="0"/>
        <v>0</v>
      </c>
      <c r="H15" s="994"/>
      <c r="I15" s="994"/>
      <c r="J15" s="448">
        <f>'35-Other Formula Revenue'!G21</f>
        <v>41430.27836934675</v>
      </c>
      <c r="K15" s="448">
        <f t="shared" si="2"/>
        <v>5658578.9683693498</v>
      </c>
      <c r="L15" s="448">
        <f t="shared" si="3"/>
        <v>3125328.4400000013</v>
      </c>
      <c r="M15" s="448">
        <f t="shared" si="1"/>
        <v>2533250.5283693485</v>
      </c>
    </row>
    <row r="16" spans="1:13">
      <c r="A16" s="2">
        <f t="shared" si="4"/>
        <v>6</v>
      </c>
      <c r="B16" s="245" t="s">
        <v>1473</v>
      </c>
      <c r="C16" s="448">
        <f t="shared" si="5"/>
        <v>24893384.180000003</v>
      </c>
      <c r="D16" s="994">
        <v>19492099.170000017</v>
      </c>
      <c r="E16" s="994">
        <v>5401285.0099999858</v>
      </c>
      <c r="F16" s="995"/>
      <c r="G16" s="449">
        <f t="shared" si="0"/>
        <v>0</v>
      </c>
      <c r="H16" s="994"/>
      <c r="I16" s="994"/>
      <c r="J16" s="448">
        <f>'35-Other Formula Revenue'!G22</f>
        <v>0</v>
      </c>
      <c r="K16" s="448">
        <f t="shared" si="2"/>
        <v>24893384.180000003</v>
      </c>
      <c r="L16" s="448">
        <f t="shared" si="3"/>
        <v>19492099.170000017</v>
      </c>
      <c r="M16" s="448">
        <f t="shared" si="1"/>
        <v>5401285.0099999858</v>
      </c>
    </row>
    <row r="17" spans="1:13">
      <c r="A17" s="2">
        <f t="shared" si="4"/>
        <v>7</v>
      </c>
      <c r="B17" s="245" t="s">
        <v>1474</v>
      </c>
      <c r="C17" s="448">
        <f t="shared" si="5"/>
        <v>0</v>
      </c>
      <c r="D17" s="994">
        <v>0</v>
      </c>
      <c r="E17" s="994">
        <v>0</v>
      </c>
      <c r="F17" s="995" t="s">
        <v>1475</v>
      </c>
      <c r="G17" s="449">
        <f t="shared" si="0"/>
        <v>0</v>
      </c>
      <c r="H17" s="994">
        <v>0</v>
      </c>
      <c r="I17" s="994">
        <v>0</v>
      </c>
      <c r="J17" s="448">
        <f>'35-Other Formula Revenue'!G23</f>
        <v>0</v>
      </c>
      <c r="K17" s="448">
        <f t="shared" si="2"/>
        <v>0</v>
      </c>
      <c r="L17" s="448">
        <f t="shared" si="3"/>
        <v>0</v>
      </c>
      <c r="M17" s="448">
        <f t="shared" si="1"/>
        <v>0</v>
      </c>
    </row>
    <row r="18" spans="1:13">
      <c r="A18" s="2">
        <f t="shared" si="4"/>
        <v>8</v>
      </c>
      <c r="B18" s="245" t="s">
        <v>1476</v>
      </c>
      <c r="C18" s="448">
        <f t="shared" si="5"/>
        <v>1145408.21</v>
      </c>
      <c r="D18" s="994">
        <v>0</v>
      </c>
      <c r="E18" s="994">
        <v>1145408.21</v>
      </c>
      <c r="F18" s="995"/>
      <c r="G18" s="449">
        <f t="shared" si="0"/>
        <v>0</v>
      </c>
      <c r="H18" s="994"/>
      <c r="I18" s="994"/>
      <c r="J18" s="448">
        <f>'35-Other Formula Revenue'!G24</f>
        <v>0</v>
      </c>
      <c r="K18" s="448">
        <f t="shared" si="2"/>
        <v>1145408.21</v>
      </c>
      <c r="L18" s="448">
        <f t="shared" si="3"/>
        <v>0</v>
      </c>
      <c r="M18" s="448">
        <f t="shared" si="1"/>
        <v>1145408.21</v>
      </c>
    </row>
    <row r="19" spans="1:13">
      <c r="A19" s="2">
        <f t="shared" si="4"/>
        <v>9</v>
      </c>
      <c r="B19" s="245" t="s">
        <v>1477</v>
      </c>
      <c r="C19" s="448">
        <f t="shared" si="5"/>
        <v>37322634.329999983</v>
      </c>
      <c r="D19" s="994">
        <v>12960548.029999981</v>
      </c>
      <c r="E19" s="994">
        <v>24362086.300000001</v>
      </c>
      <c r="F19" s="995"/>
      <c r="G19" s="449">
        <f t="shared" si="0"/>
        <v>0</v>
      </c>
      <c r="H19" s="994"/>
      <c r="I19" s="994"/>
      <c r="J19" s="448">
        <f>'35-Other Formula Revenue'!G25</f>
        <v>274802.68011605751</v>
      </c>
      <c r="K19" s="448">
        <f t="shared" si="2"/>
        <v>37597437.010116041</v>
      </c>
      <c r="L19" s="448">
        <f t="shared" si="3"/>
        <v>12960548.029999981</v>
      </c>
      <c r="M19" s="448">
        <f t="shared" si="1"/>
        <v>24636888.980116058</v>
      </c>
    </row>
    <row r="20" spans="1:13">
      <c r="A20" s="2">
        <f t="shared" si="4"/>
        <v>10</v>
      </c>
      <c r="B20" s="245" t="s">
        <v>1478</v>
      </c>
      <c r="C20" s="448">
        <f t="shared" si="5"/>
        <v>3404656.300000004</v>
      </c>
      <c r="D20" s="994">
        <v>2901825.9400000037</v>
      </c>
      <c r="E20" s="994">
        <v>502830.36000000022</v>
      </c>
      <c r="F20" s="995"/>
      <c r="G20" s="449">
        <f>SUM(H20:I20)</f>
        <v>0</v>
      </c>
      <c r="H20" s="994"/>
      <c r="I20" s="994"/>
      <c r="J20" s="448">
        <f>'35-Other Formula Revenue'!G26</f>
        <v>0</v>
      </c>
      <c r="K20" s="448">
        <f t="shared" si="2"/>
        <v>3404656.300000004</v>
      </c>
      <c r="L20" s="448">
        <f t="shared" si="3"/>
        <v>2901825.9400000037</v>
      </c>
      <c r="M20" s="448">
        <f t="shared" si="1"/>
        <v>502830.36000000022</v>
      </c>
    </row>
    <row r="21" spans="1:13">
      <c r="A21" s="2">
        <f t="shared" si="4"/>
        <v>11</v>
      </c>
      <c r="B21" s="245" t="s">
        <v>1479</v>
      </c>
      <c r="C21" s="448">
        <f t="shared" si="5"/>
        <v>0</v>
      </c>
      <c r="D21" s="994">
        <v>0</v>
      </c>
      <c r="E21" s="994">
        <v>0</v>
      </c>
      <c r="F21" s="995"/>
      <c r="G21" s="449">
        <f t="shared" si="0"/>
        <v>0</v>
      </c>
      <c r="H21" s="994"/>
      <c r="I21" s="994"/>
      <c r="J21" s="448">
        <f>'35-Other Formula Revenue'!G27</f>
        <v>0</v>
      </c>
      <c r="K21" s="448">
        <f t="shared" si="2"/>
        <v>0</v>
      </c>
      <c r="L21" s="448">
        <f t="shared" si="3"/>
        <v>0</v>
      </c>
      <c r="M21" s="448">
        <f t="shared" si="1"/>
        <v>0</v>
      </c>
    </row>
    <row r="22" spans="1:13">
      <c r="A22" s="2">
        <f t="shared" si="4"/>
        <v>12</v>
      </c>
      <c r="B22" s="245" t="s">
        <v>1480</v>
      </c>
      <c r="C22" s="448">
        <f t="shared" si="5"/>
        <v>21966488.210000001</v>
      </c>
      <c r="D22" s="994">
        <v>0</v>
      </c>
      <c r="E22" s="994">
        <v>21966488.210000001</v>
      </c>
      <c r="F22" s="995" t="s">
        <v>1481</v>
      </c>
      <c r="G22" s="449">
        <f t="shared" si="0"/>
        <v>-21966488.210000001</v>
      </c>
      <c r="H22" s="994"/>
      <c r="I22" s="994">
        <v>-21966488.210000001</v>
      </c>
      <c r="J22" s="448">
        <f>'35-Other Formula Revenue'!G28</f>
        <v>0</v>
      </c>
      <c r="K22" s="448">
        <f t="shared" si="2"/>
        <v>0</v>
      </c>
      <c r="L22" s="448">
        <f t="shared" si="3"/>
        <v>0</v>
      </c>
      <c r="M22" s="448">
        <f t="shared" si="1"/>
        <v>0</v>
      </c>
    </row>
    <row r="23" spans="1:13">
      <c r="A23" s="2">
        <f t="shared" si="4"/>
        <v>13</v>
      </c>
      <c r="B23" s="245" t="s">
        <v>1482</v>
      </c>
      <c r="C23" s="448">
        <f t="shared" si="5"/>
        <v>343010.62</v>
      </c>
      <c r="D23" s="994">
        <v>0</v>
      </c>
      <c r="E23" s="994">
        <v>343010.62</v>
      </c>
      <c r="F23" s="995"/>
      <c r="G23" s="449">
        <f t="shared" si="0"/>
        <v>0</v>
      </c>
      <c r="H23" s="994"/>
      <c r="I23" s="994"/>
      <c r="J23" s="448">
        <f>'35-Other Formula Revenue'!G29</f>
        <v>0</v>
      </c>
      <c r="K23" s="448">
        <f t="shared" si="2"/>
        <v>343010.62</v>
      </c>
      <c r="L23" s="448">
        <f t="shared" si="3"/>
        <v>0</v>
      </c>
      <c r="M23" s="448">
        <f t="shared" si="1"/>
        <v>343010.62</v>
      </c>
    </row>
    <row r="24" spans="1:13">
      <c r="A24" s="2">
        <f t="shared" si="4"/>
        <v>14</v>
      </c>
      <c r="B24" s="245" t="s">
        <v>1483</v>
      </c>
      <c r="C24" s="448">
        <f t="shared" si="5"/>
        <v>46543133.779999971</v>
      </c>
      <c r="D24" s="994">
        <v>26316931.959999949</v>
      </c>
      <c r="E24" s="994">
        <v>20226201.820000019</v>
      </c>
      <c r="F24" s="995" t="s">
        <v>1484</v>
      </c>
      <c r="G24" s="449">
        <f>SUM(H24:I24)</f>
        <v>-1467607.5799999998</v>
      </c>
      <c r="H24" s="994">
        <v>-241263.43000000002</v>
      </c>
      <c r="I24" s="994">
        <v>-1226344.1499999999</v>
      </c>
      <c r="J24" s="448">
        <f>'35-Other Formula Revenue'!G30</f>
        <v>337070.33307418227</v>
      </c>
      <c r="K24" s="448">
        <f>SUM(L24:M24)</f>
        <v>45412596.533074155</v>
      </c>
      <c r="L24" s="448">
        <f t="shared" si="3"/>
        <v>26075668.529999949</v>
      </c>
      <c r="M24" s="448">
        <f t="shared" si="1"/>
        <v>19336928.003074203</v>
      </c>
    </row>
    <row r="25" spans="1:13">
      <c r="A25" s="2">
        <f t="shared" si="4"/>
        <v>15</v>
      </c>
      <c r="B25" s="245" t="s">
        <v>1485</v>
      </c>
      <c r="C25" s="448">
        <f t="shared" si="5"/>
        <v>128170952.90999998</v>
      </c>
      <c r="D25" s="994">
        <v>20058.719999999994</v>
      </c>
      <c r="E25" s="994">
        <v>128150894.18999998</v>
      </c>
      <c r="F25" s="995" t="s">
        <v>1486</v>
      </c>
      <c r="G25" s="449">
        <f>SUM(H25:I25)</f>
        <v>-128170952.90999998</v>
      </c>
      <c r="H25" s="994">
        <v>-20058.72</v>
      </c>
      <c r="I25" s="994">
        <v>-128150894.18999998</v>
      </c>
      <c r="J25" s="448">
        <f>'35-Other Formula Revenue'!G31</f>
        <v>0</v>
      </c>
      <c r="K25" s="448">
        <f t="shared" si="2"/>
        <v>0</v>
      </c>
      <c r="L25" s="448">
        <f t="shared" si="3"/>
        <v>0</v>
      </c>
      <c r="M25" s="448">
        <f t="shared" si="1"/>
        <v>0</v>
      </c>
    </row>
    <row r="26" spans="1:13">
      <c r="A26" s="2">
        <f t="shared" si="4"/>
        <v>16</v>
      </c>
      <c r="B26" s="245" t="s">
        <v>1487</v>
      </c>
      <c r="C26" s="448">
        <f t="shared" si="5"/>
        <v>5643084.5100000007</v>
      </c>
      <c r="D26" s="994">
        <v>65862.399999999965</v>
      </c>
      <c r="E26" s="994">
        <v>5577222.1100000003</v>
      </c>
      <c r="F26" s="995"/>
      <c r="G26" s="449">
        <f t="shared" si="0"/>
        <v>0</v>
      </c>
      <c r="H26" s="994"/>
      <c r="I26" s="994"/>
      <c r="J26" s="448">
        <f>'35-Other Formula Revenue'!G32</f>
        <v>0</v>
      </c>
      <c r="K26" s="448">
        <f t="shared" si="2"/>
        <v>5643084.5100000007</v>
      </c>
      <c r="L26" s="448">
        <f t="shared" si="3"/>
        <v>65862.399999999965</v>
      </c>
      <c r="M26" s="448">
        <f t="shared" si="1"/>
        <v>5577222.1100000003</v>
      </c>
    </row>
    <row r="27" spans="1:13">
      <c r="A27" s="2">
        <f t="shared" si="4"/>
        <v>17</v>
      </c>
      <c r="B27" s="245" t="s">
        <v>1488</v>
      </c>
      <c r="C27" s="448">
        <f t="shared" si="5"/>
        <v>14718214.489999998</v>
      </c>
      <c r="D27" s="994">
        <v>72713.11</v>
      </c>
      <c r="E27" s="994">
        <v>14645501.379999999</v>
      </c>
      <c r="F27" s="995"/>
      <c r="G27" s="449">
        <f t="shared" si="0"/>
        <v>0</v>
      </c>
      <c r="H27" s="994"/>
      <c r="I27" s="994"/>
      <c r="J27" s="448">
        <f>'35-Other Formula Revenue'!G33</f>
        <v>1452701.8981077711</v>
      </c>
      <c r="K27" s="448">
        <f t="shared" si="2"/>
        <v>16170916.388107769</v>
      </c>
      <c r="L27" s="448">
        <f t="shared" si="3"/>
        <v>72713.11</v>
      </c>
      <c r="M27" s="448">
        <f t="shared" si="1"/>
        <v>16098203.27810777</v>
      </c>
    </row>
    <row r="28" spans="1:13">
      <c r="A28" s="2">
        <f t="shared" si="4"/>
        <v>18</v>
      </c>
      <c r="B28" s="245" t="s">
        <v>1489</v>
      </c>
      <c r="C28" s="448">
        <f t="shared" si="5"/>
        <v>-32670.740000000005</v>
      </c>
      <c r="D28" s="994">
        <v>0</v>
      </c>
      <c r="E28" s="994">
        <v>-32670.740000000005</v>
      </c>
      <c r="F28" s="995"/>
      <c r="G28" s="449">
        <f t="shared" si="0"/>
        <v>0</v>
      </c>
      <c r="H28" s="994"/>
      <c r="I28" s="994"/>
      <c r="J28" s="448">
        <f>'35-Other Formula Revenue'!G34</f>
        <v>0</v>
      </c>
      <c r="K28" s="448">
        <f t="shared" si="2"/>
        <v>-32670.740000000005</v>
      </c>
      <c r="L28" s="448">
        <f t="shared" si="3"/>
        <v>0</v>
      </c>
      <c r="M28" s="448">
        <f t="shared" si="1"/>
        <v>-32670.740000000005</v>
      </c>
    </row>
    <row r="29" spans="1:13">
      <c r="A29" s="2">
        <f t="shared" si="4"/>
        <v>19</v>
      </c>
      <c r="B29" s="245" t="s">
        <v>1490</v>
      </c>
      <c r="C29" s="448">
        <f t="shared" si="5"/>
        <v>360280.04000000004</v>
      </c>
      <c r="D29" s="994">
        <v>0</v>
      </c>
      <c r="E29" s="994">
        <v>360280.04000000004</v>
      </c>
      <c r="F29" s="995"/>
      <c r="G29" s="449">
        <f t="shared" si="0"/>
        <v>0</v>
      </c>
      <c r="H29" s="994"/>
      <c r="I29" s="994"/>
      <c r="J29" s="448">
        <f>'35-Other Formula Revenue'!G35</f>
        <v>0</v>
      </c>
      <c r="K29" s="448">
        <f t="shared" ref="K29" si="6">SUM(L29:M29)</f>
        <v>360280.04000000004</v>
      </c>
      <c r="L29" s="448">
        <f t="shared" si="3"/>
        <v>0</v>
      </c>
      <c r="M29" s="448">
        <f t="shared" si="1"/>
        <v>360280.04000000004</v>
      </c>
    </row>
    <row r="30" spans="1:13">
      <c r="A30" s="2">
        <f t="shared" si="4"/>
        <v>20</v>
      </c>
      <c r="B30" s="245" t="s">
        <v>1491</v>
      </c>
      <c r="C30" s="448">
        <f t="shared" si="5"/>
        <v>1137010.28</v>
      </c>
      <c r="D30" s="994">
        <v>912354.7300000001</v>
      </c>
      <c r="E30" s="994">
        <v>224655.55</v>
      </c>
      <c r="F30" s="995"/>
      <c r="G30" s="449">
        <f t="shared" si="0"/>
        <v>0</v>
      </c>
      <c r="H30" s="994"/>
      <c r="I30" s="994"/>
      <c r="J30" s="448">
        <f>'35-Other Formula Revenue'!G36</f>
        <v>5390.1442539620139</v>
      </c>
      <c r="K30" s="448">
        <f t="shared" si="2"/>
        <v>1142400.424253962</v>
      </c>
      <c r="L30" s="448">
        <f t="shared" si="3"/>
        <v>912354.7300000001</v>
      </c>
      <c r="M30" s="448">
        <f t="shared" si="1"/>
        <v>230045.69425396199</v>
      </c>
    </row>
    <row r="31" spans="1:13">
      <c r="A31" s="2">
        <f t="shared" si="4"/>
        <v>21</v>
      </c>
      <c r="B31" s="245" t="s">
        <v>1492</v>
      </c>
      <c r="C31" s="448">
        <f t="shared" si="5"/>
        <v>265551.43</v>
      </c>
      <c r="D31" s="994">
        <v>0</v>
      </c>
      <c r="E31" s="994">
        <v>265551.43</v>
      </c>
      <c r="F31" s="995"/>
      <c r="G31" s="449">
        <f t="shared" si="0"/>
        <v>0</v>
      </c>
      <c r="H31" s="994"/>
      <c r="I31" s="994"/>
      <c r="J31" s="448">
        <f>'35-Other Formula Revenue'!G37</f>
        <v>0</v>
      </c>
      <c r="K31" s="448">
        <f t="shared" si="2"/>
        <v>265551.43</v>
      </c>
      <c r="L31" s="448">
        <f t="shared" si="3"/>
        <v>0</v>
      </c>
      <c r="M31" s="448">
        <f t="shared" si="1"/>
        <v>265551.43</v>
      </c>
    </row>
    <row r="32" spans="1:13">
      <c r="A32" s="2">
        <f t="shared" si="4"/>
        <v>22</v>
      </c>
      <c r="B32" s="245" t="s">
        <v>1493</v>
      </c>
      <c r="C32" s="448">
        <f t="shared" si="5"/>
        <v>50530539.170000002</v>
      </c>
      <c r="D32" s="994">
        <v>21755.200000000001</v>
      </c>
      <c r="E32" s="994">
        <v>50508783.969999999</v>
      </c>
      <c r="F32" s="995" t="s">
        <v>1494</v>
      </c>
      <c r="G32" s="449">
        <f t="shared" si="0"/>
        <v>-47985610</v>
      </c>
      <c r="H32" s="994">
        <v>0</v>
      </c>
      <c r="I32" s="994">
        <v>-47985610</v>
      </c>
      <c r="J32" s="448">
        <f>'35-Other Formula Revenue'!G38</f>
        <v>0</v>
      </c>
      <c r="K32" s="448">
        <f t="shared" si="2"/>
        <v>2544929.169999999</v>
      </c>
      <c r="L32" s="448">
        <f t="shared" si="3"/>
        <v>21755.200000000001</v>
      </c>
      <c r="M32" s="448">
        <f t="shared" si="1"/>
        <v>2523173.9699999988</v>
      </c>
    </row>
    <row r="33" spans="1:13">
      <c r="A33" s="2">
        <f t="shared" si="4"/>
        <v>23</v>
      </c>
      <c r="B33" s="245" t="s">
        <v>1495</v>
      </c>
      <c r="C33" s="448">
        <f t="shared" si="5"/>
        <v>162649.41999999993</v>
      </c>
      <c r="D33" s="994">
        <v>0</v>
      </c>
      <c r="E33" s="994">
        <v>162649.41999999993</v>
      </c>
      <c r="F33" s="995"/>
      <c r="G33" s="449">
        <f t="shared" si="0"/>
        <v>0</v>
      </c>
      <c r="H33" s="994"/>
      <c r="I33" s="994"/>
      <c r="J33" s="448">
        <f>'35-Other Formula Revenue'!G39</f>
        <v>0</v>
      </c>
      <c r="K33" s="448">
        <f t="shared" si="2"/>
        <v>162649.41999999993</v>
      </c>
      <c r="L33" s="448">
        <f t="shared" si="3"/>
        <v>0</v>
      </c>
      <c r="M33" s="448">
        <f t="shared" si="1"/>
        <v>162649.41999999993</v>
      </c>
    </row>
    <row r="34" spans="1:13">
      <c r="A34" s="2">
        <f t="shared" si="4"/>
        <v>24</v>
      </c>
      <c r="B34" s="245" t="s">
        <v>1496</v>
      </c>
      <c r="C34" s="448">
        <f t="shared" si="5"/>
        <v>6153540.7499999944</v>
      </c>
      <c r="D34" s="994">
        <v>3984331.2699999972</v>
      </c>
      <c r="E34" s="994">
        <v>2169209.4799999972</v>
      </c>
      <c r="F34" s="995"/>
      <c r="G34" s="449">
        <f t="shared" si="0"/>
        <v>0</v>
      </c>
      <c r="H34" s="994"/>
      <c r="I34" s="994"/>
      <c r="J34" s="448">
        <f>'35-Other Formula Revenue'!G40</f>
        <v>0</v>
      </c>
      <c r="K34" s="448">
        <f t="shared" si="2"/>
        <v>6153540.7499999944</v>
      </c>
      <c r="L34" s="448">
        <f t="shared" si="3"/>
        <v>3984331.2699999972</v>
      </c>
      <c r="M34" s="448">
        <f t="shared" si="1"/>
        <v>2169209.4799999972</v>
      </c>
    </row>
    <row r="35" spans="1:13">
      <c r="A35" s="2">
        <f t="shared" si="4"/>
        <v>25</v>
      </c>
      <c r="B35" s="245" t="s">
        <v>1497</v>
      </c>
      <c r="C35" s="448">
        <f t="shared" si="5"/>
        <v>919951.78</v>
      </c>
      <c r="D35" s="994">
        <v>0</v>
      </c>
      <c r="E35" s="994">
        <v>919951.78</v>
      </c>
      <c r="F35" s="995"/>
      <c r="G35" s="449">
        <f t="shared" si="0"/>
        <v>0</v>
      </c>
      <c r="H35" s="994"/>
      <c r="I35" s="994"/>
      <c r="J35" s="448">
        <f>'35-Other Formula Revenue'!G41</f>
        <v>0</v>
      </c>
      <c r="K35" s="448">
        <f t="shared" si="2"/>
        <v>919951.78</v>
      </c>
      <c r="L35" s="448">
        <f t="shared" si="3"/>
        <v>0</v>
      </c>
      <c r="M35" s="448">
        <f t="shared" si="1"/>
        <v>919951.78</v>
      </c>
    </row>
    <row r="36" spans="1:13">
      <c r="A36" s="2">
        <f t="shared" si="4"/>
        <v>26</v>
      </c>
      <c r="B36" s="245" t="s">
        <v>1498</v>
      </c>
      <c r="C36" s="448">
        <f t="shared" si="5"/>
        <v>51716559.559999928</v>
      </c>
      <c r="D36" s="994">
        <v>12881904.919999994</v>
      </c>
      <c r="E36" s="994">
        <v>38834654.639999934</v>
      </c>
      <c r="F36" s="995" t="s">
        <v>1484</v>
      </c>
      <c r="G36" s="449">
        <f t="shared" si="0"/>
        <v>-2335.6799999999998</v>
      </c>
      <c r="H36" s="994">
        <v>-2054.12</v>
      </c>
      <c r="I36" s="994">
        <v>-281.56</v>
      </c>
      <c r="J36" s="448">
        <f>'35-Other Formula Revenue'!G42</f>
        <v>678239.29314308369</v>
      </c>
      <c r="K36" s="448">
        <f t="shared" si="2"/>
        <v>52392463.173143014</v>
      </c>
      <c r="L36" s="448">
        <f t="shared" si="3"/>
        <v>12879850.799999995</v>
      </c>
      <c r="M36" s="448">
        <f t="shared" si="1"/>
        <v>39512612.373143017</v>
      </c>
    </row>
    <row r="37" spans="1:13">
      <c r="A37" s="2">
        <f t="shared" si="4"/>
        <v>27</v>
      </c>
      <c r="B37" s="245" t="s">
        <v>1499</v>
      </c>
      <c r="C37" s="448">
        <f t="shared" si="5"/>
        <v>1002959.4199999999</v>
      </c>
      <c r="D37" s="994">
        <v>0</v>
      </c>
      <c r="E37" s="994">
        <v>1002959.4199999999</v>
      </c>
      <c r="F37" s="995"/>
      <c r="G37" s="449">
        <f t="shared" si="0"/>
        <v>0</v>
      </c>
      <c r="H37" s="994"/>
      <c r="I37" s="994"/>
      <c r="J37" s="448">
        <f>'35-Other Formula Revenue'!G43</f>
        <v>0</v>
      </c>
      <c r="K37" s="448">
        <f t="shared" si="2"/>
        <v>1002959.4199999999</v>
      </c>
      <c r="L37" s="448">
        <f t="shared" si="3"/>
        <v>0</v>
      </c>
      <c r="M37" s="448">
        <f t="shared" si="1"/>
        <v>1002959.4199999999</v>
      </c>
    </row>
    <row r="38" spans="1:13">
      <c r="A38" s="2">
        <f t="shared" si="4"/>
        <v>28</v>
      </c>
      <c r="B38" s="245" t="s">
        <v>1500</v>
      </c>
      <c r="C38" s="448">
        <f t="shared" si="5"/>
        <v>872108.83000000066</v>
      </c>
      <c r="D38" s="994">
        <v>442800.02000000037</v>
      </c>
      <c r="E38" s="994">
        <v>429308.81000000029</v>
      </c>
      <c r="F38" s="995"/>
      <c r="G38" s="449">
        <f t="shared" si="0"/>
        <v>0</v>
      </c>
      <c r="H38" s="994"/>
      <c r="I38" s="994"/>
      <c r="J38" s="448">
        <f>'35-Other Formula Revenue'!G44</f>
        <v>0</v>
      </c>
      <c r="K38" s="448">
        <f t="shared" si="2"/>
        <v>872108.83000000066</v>
      </c>
      <c r="L38" s="448">
        <f t="shared" si="3"/>
        <v>442800.02000000037</v>
      </c>
      <c r="M38" s="448">
        <f t="shared" si="1"/>
        <v>429308.81000000029</v>
      </c>
    </row>
    <row r="39" spans="1:13">
      <c r="A39" s="2">
        <f t="shared" si="4"/>
        <v>29</v>
      </c>
      <c r="B39" s="245" t="s">
        <v>1501</v>
      </c>
      <c r="C39" s="448">
        <f t="shared" si="5"/>
        <v>37.909999999999997</v>
      </c>
      <c r="D39" s="994">
        <v>0</v>
      </c>
      <c r="E39" s="994">
        <v>37.909999999999997</v>
      </c>
      <c r="F39" s="995"/>
      <c r="G39" s="449">
        <f t="shared" si="0"/>
        <v>0</v>
      </c>
      <c r="H39" s="994"/>
      <c r="I39" s="994"/>
      <c r="J39" s="448">
        <f>'35-Other Formula Revenue'!G45</f>
        <v>0</v>
      </c>
      <c r="K39" s="448">
        <f t="shared" si="2"/>
        <v>37.909999999999997</v>
      </c>
      <c r="L39" s="448">
        <f t="shared" si="3"/>
        <v>0</v>
      </c>
      <c r="M39" s="448">
        <f t="shared" si="1"/>
        <v>37.909999999999997</v>
      </c>
    </row>
    <row r="40" spans="1:13">
      <c r="A40" s="2">
        <f t="shared" si="4"/>
        <v>30</v>
      </c>
      <c r="B40" s="245" t="s">
        <v>1502</v>
      </c>
      <c r="C40" s="448">
        <f t="shared" si="5"/>
        <v>3904726.2899999986</v>
      </c>
      <c r="D40" s="994">
        <v>1625726.1100000003</v>
      </c>
      <c r="E40" s="994">
        <v>2279000.1799999983</v>
      </c>
      <c r="F40" s="995"/>
      <c r="G40" s="449">
        <f t="shared" si="0"/>
        <v>0</v>
      </c>
      <c r="H40" s="994"/>
      <c r="I40" s="994"/>
      <c r="J40" s="448">
        <f>'35-Other Formula Revenue'!G46</f>
        <v>4654.5725784185215</v>
      </c>
      <c r="K40" s="448">
        <f t="shared" si="2"/>
        <v>3909380.8625784172</v>
      </c>
      <c r="L40" s="448">
        <f t="shared" si="3"/>
        <v>1625726.1100000003</v>
      </c>
      <c r="M40" s="448">
        <f t="shared" si="1"/>
        <v>2283654.7525784168</v>
      </c>
    </row>
    <row r="41" spans="1:13">
      <c r="A41" s="2">
        <f t="shared" si="4"/>
        <v>31</v>
      </c>
      <c r="B41" s="268" t="s">
        <v>815</v>
      </c>
      <c r="C41" s="451" t="s">
        <v>373</v>
      </c>
      <c r="D41" s="451" t="s">
        <v>373</v>
      </c>
      <c r="E41" s="451" t="s">
        <v>373</v>
      </c>
      <c r="F41" s="451" t="s">
        <v>373</v>
      </c>
      <c r="G41" s="449">
        <f t="shared" si="0"/>
        <v>0</v>
      </c>
      <c r="H41" s="451" t="s">
        <v>373</v>
      </c>
      <c r="I41" s="451" t="s">
        <v>373</v>
      </c>
      <c r="J41" s="959">
        <v>0</v>
      </c>
      <c r="K41" s="959">
        <v>0</v>
      </c>
      <c r="L41" s="959">
        <v>0</v>
      </c>
      <c r="M41" s="959">
        <v>0</v>
      </c>
    </row>
    <row r="42" spans="1:13">
      <c r="A42" s="2">
        <f t="shared" si="4"/>
        <v>32</v>
      </c>
      <c r="B42" s="245" t="s">
        <v>1503</v>
      </c>
      <c r="C42" s="452">
        <v>0</v>
      </c>
      <c r="D42" s="452">
        <v>0</v>
      </c>
      <c r="E42" s="452">
        <v>0</v>
      </c>
      <c r="F42" s="463"/>
      <c r="G42" s="453">
        <f t="shared" si="0"/>
        <v>-2179237.8051492469</v>
      </c>
      <c r="H42" s="454">
        <f>+C64*C144</f>
        <v>-2179237.8051492469</v>
      </c>
      <c r="I42" s="454">
        <v>0</v>
      </c>
      <c r="J42" s="841">
        <f>'35-Other Formula Revenue'!G47</f>
        <v>0</v>
      </c>
      <c r="K42" s="841">
        <f t="shared" si="2"/>
        <v>-2179237.8051492469</v>
      </c>
      <c r="L42" s="841">
        <f>D42+H42</f>
        <v>-2179237.8051492469</v>
      </c>
      <c r="M42" s="841">
        <f>E42+I42+J42</f>
        <v>0</v>
      </c>
    </row>
    <row r="43" spans="1:13">
      <c r="A43" s="2">
        <f t="shared" si="4"/>
        <v>33</v>
      </c>
      <c r="B43" s="128" t="s">
        <v>1504</v>
      </c>
      <c r="C43" s="448">
        <f>SUM(C11:C42)</f>
        <v>449690085.65999991</v>
      </c>
      <c r="D43" s="455">
        <f>SUM(D11:D42)</f>
        <v>95585318.119999945</v>
      </c>
      <c r="E43" s="455">
        <f>SUM(E11:E42)</f>
        <v>354104767.53999996</v>
      </c>
      <c r="F43" s="456"/>
      <c r="G43" s="456">
        <f t="shared" ref="G43:I43" si="7">SUM(G11:G42)</f>
        <v>-227007921.00514925</v>
      </c>
      <c r="H43" s="457">
        <f t="shared" si="7"/>
        <v>-2442614.075149247</v>
      </c>
      <c r="I43" s="457">
        <f t="shared" si="7"/>
        <v>-224565306.92999998</v>
      </c>
      <c r="J43" s="457">
        <f>SUM(J11:J42)</f>
        <v>2856378.7024495755</v>
      </c>
      <c r="K43" s="457">
        <f>SUM(K11:K42)</f>
        <v>225538543.35730016</v>
      </c>
      <c r="L43" s="457">
        <f>SUM(L11:L42)</f>
        <v>93142704.044850707</v>
      </c>
      <c r="M43" s="457">
        <f>SUM(M11:M42)</f>
        <v>132395839.31244956</v>
      </c>
    </row>
    <row r="44" spans="1:13">
      <c r="A44" s="2">
        <f t="shared" si="4"/>
        <v>34</v>
      </c>
      <c r="D44" s="458"/>
      <c r="E44" s="458"/>
      <c r="F44" s="459"/>
      <c r="G44" s="460"/>
      <c r="H44" s="461"/>
      <c r="I44" s="461"/>
      <c r="J44" s="302"/>
      <c r="K44" s="302"/>
      <c r="L44" s="302"/>
    </row>
    <row r="45" spans="1:13">
      <c r="A45" s="2"/>
      <c r="B45" s="128"/>
      <c r="C45" s="458"/>
      <c r="D45" s="458"/>
      <c r="E45" s="458"/>
      <c r="F45" s="459"/>
      <c r="G45" s="462"/>
      <c r="H45" s="458"/>
      <c r="I45" s="458"/>
      <c r="J45" s="458"/>
      <c r="K45" s="458"/>
      <c r="L45" s="458"/>
    </row>
    <row r="46" spans="1:13">
      <c r="A46" s="2"/>
      <c r="B46" s="216" t="s">
        <v>329</v>
      </c>
      <c r="C46" s="216" t="s">
        <v>330</v>
      </c>
      <c r="D46" s="216" t="s">
        <v>331</v>
      </c>
      <c r="E46" s="216" t="s">
        <v>332</v>
      </c>
      <c r="F46" s="216" t="s">
        <v>333</v>
      </c>
      <c r="G46" s="216" t="s">
        <v>334</v>
      </c>
      <c r="H46" s="216" t="s">
        <v>335</v>
      </c>
      <c r="I46" s="216" t="s">
        <v>336</v>
      </c>
      <c r="J46" s="216" t="s">
        <v>337</v>
      </c>
      <c r="K46" s="216" t="s">
        <v>582</v>
      </c>
      <c r="L46" s="216" t="s">
        <v>583</v>
      </c>
    </row>
    <row r="47" spans="1:13">
      <c r="A47" s="2"/>
      <c r="B47" s="128"/>
      <c r="C47" s="631" t="s">
        <v>1453</v>
      </c>
      <c r="D47" s="19"/>
      <c r="E47" s="19"/>
      <c r="F47" s="444" t="s">
        <v>165</v>
      </c>
      <c r="G47" s="631" t="s">
        <v>1454</v>
      </c>
      <c r="H47" s="132"/>
      <c r="I47" s="132"/>
      <c r="J47" s="631" t="s">
        <v>1456</v>
      </c>
      <c r="K47" s="631" t="s">
        <v>1457</v>
      </c>
      <c r="L47" s="632" t="s">
        <v>1505</v>
      </c>
    </row>
    <row r="48" spans="1:13">
      <c r="A48" s="2"/>
      <c r="D48" s="458"/>
      <c r="E48" s="458"/>
      <c r="F48" s="459"/>
      <c r="G48" s="460"/>
      <c r="H48" s="458"/>
      <c r="I48" s="458"/>
      <c r="J48" s="302"/>
      <c r="K48" s="302"/>
      <c r="L48" s="302"/>
    </row>
    <row r="49" spans="1:12">
      <c r="A49" s="2"/>
      <c r="B49" s="1111" t="s">
        <v>1459</v>
      </c>
      <c r="C49" s="1113" t="s">
        <v>1460</v>
      </c>
      <c r="D49" s="1113"/>
      <c r="E49" s="1113"/>
      <c r="F49" s="217"/>
      <c r="G49" s="1114" t="s">
        <v>1461</v>
      </c>
      <c r="H49" s="1114"/>
      <c r="I49" s="1117"/>
      <c r="J49" s="1116" t="s">
        <v>1462</v>
      </c>
      <c r="K49" s="1114"/>
      <c r="L49" s="1117"/>
    </row>
    <row r="50" spans="1:12">
      <c r="A50" s="2"/>
      <c r="B50" s="1112"/>
      <c r="C50" s="218" t="s">
        <v>244</v>
      </c>
      <c r="D50" s="218" t="s">
        <v>797</v>
      </c>
      <c r="E50" s="218" t="s">
        <v>1463</v>
      </c>
      <c r="F50" s="218" t="s">
        <v>1464</v>
      </c>
      <c r="G50" s="218" t="s">
        <v>244</v>
      </c>
      <c r="H50" s="218" t="s">
        <v>797</v>
      </c>
      <c r="I50" s="218" t="s">
        <v>1463</v>
      </c>
      <c r="J50" s="218" t="s">
        <v>244</v>
      </c>
      <c r="K50" s="218" t="s">
        <v>797</v>
      </c>
      <c r="L50" s="218" t="s">
        <v>1463</v>
      </c>
    </row>
    <row r="51" spans="1:12">
      <c r="A51" s="2"/>
      <c r="B51" s="148" t="s">
        <v>1506</v>
      </c>
      <c r="C51" s="19"/>
      <c r="D51" s="19"/>
      <c r="E51" s="19"/>
      <c r="F51" s="19"/>
      <c r="G51" s="19"/>
      <c r="H51" s="19"/>
      <c r="I51" s="19"/>
      <c r="J51" s="19"/>
      <c r="K51" s="19"/>
      <c r="L51" s="19"/>
    </row>
    <row r="52" spans="1:12">
      <c r="A52" s="2">
        <f>A44+1</f>
        <v>35</v>
      </c>
      <c r="B52" s="245" t="s">
        <v>1507</v>
      </c>
      <c r="C52" s="302">
        <f t="shared" ref="C52:C56" si="8">SUM(D52:E52)</f>
        <v>41268200.579999916</v>
      </c>
      <c r="D52" s="994">
        <v>30190942.439999927</v>
      </c>
      <c r="E52" s="994">
        <v>11077258.139999991</v>
      </c>
      <c r="F52" s="995"/>
      <c r="G52" s="460">
        <f t="shared" ref="G52:G56" si="9">SUM(H52:I52)</f>
        <v>0</v>
      </c>
      <c r="H52" s="994"/>
      <c r="I52" s="994"/>
      <c r="J52" s="302">
        <f t="shared" ref="J52:J56" si="10">SUM(K52:L52)</f>
        <v>41268200.579999916</v>
      </c>
      <c r="K52" s="302">
        <f t="shared" ref="K52:L57" si="11">D52+H52</f>
        <v>30190942.439999927</v>
      </c>
      <c r="L52" s="302">
        <f t="shared" si="11"/>
        <v>11077258.139999991</v>
      </c>
    </row>
    <row r="53" spans="1:12">
      <c r="A53" s="2">
        <f t="shared" ref="A53:A62" si="12">A52+1</f>
        <v>36</v>
      </c>
      <c r="B53" s="245" t="s">
        <v>1508</v>
      </c>
      <c r="C53" s="302">
        <f t="shared" si="8"/>
        <v>1133009.6499999999</v>
      </c>
      <c r="D53" s="994">
        <v>898106.14</v>
      </c>
      <c r="E53" s="994">
        <v>234903.50999999992</v>
      </c>
      <c r="F53" s="995"/>
      <c r="G53" s="460">
        <f t="shared" si="9"/>
        <v>0</v>
      </c>
      <c r="H53" s="994"/>
      <c r="I53" s="994"/>
      <c r="J53" s="302">
        <f t="shared" si="10"/>
        <v>1133009.6499999999</v>
      </c>
      <c r="K53" s="302">
        <f t="shared" si="11"/>
        <v>898106.14</v>
      </c>
      <c r="L53" s="302">
        <f t="shared" si="11"/>
        <v>234903.50999999992</v>
      </c>
    </row>
    <row r="54" spans="1:12">
      <c r="A54" s="2">
        <f t="shared" si="12"/>
        <v>37</v>
      </c>
      <c r="B54" s="245" t="s">
        <v>1509</v>
      </c>
      <c r="C54" s="302">
        <f t="shared" si="8"/>
        <v>36905.409999999996</v>
      </c>
      <c r="D54" s="994">
        <v>8729.279999999997</v>
      </c>
      <c r="E54" s="994">
        <v>28176.129999999997</v>
      </c>
      <c r="F54" s="995"/>
      <c r="G54" s="460">
        <f t="shared" si="9"/>
        <v>0</v>
      </c>
      <c r="H54" s="994"/>
      <c r="I54" s="994"/>
      <c r="J54" s="302">
        <f t="shared" si="10"/>
        <v>36905.409999999996</v>
      </c>
      <c r="K54" s="302">
        <f t="shared" si="11"/>
        <v>8729.279999999997</v>
      </c>
      <c r="L54" s="302">
        <f t="shared" si="11"/>
        <v>28176.129999999997</v>
      </c>
    </row>
    <row r="55" spans="1:12">
      <c r="A55" s="2">
        <f t="shared" si="12"/>
        <v>38</v>
      </c>
      <c r="B55" s="245" t="s">
        <v>1510</v>
      </c>
      <c r="C55" s="302">
        <f t="shared" si="8"/>
        <v>6761108.9400000069</v>
      </c>
      <c r="D55" s="994">
        <v>3895654.1000000015</v>
      </c>
      <c r="E55" s="994">
        <v>2865454.8400000054</v>
      </c>
      <c r="F55" s="995"/>
      <c r="G55" s="460">
        <f t="shared" si="9"/>
        <v>0</v>
      </c>
      <c r="H55" s="994"/>
      <c r="I55" s="994"/>
      <c r="J55" s="302">
        <f t="shared" si="10"/>
        <v>6761108.9400000069</v>
      </c>
      <c r="K55" s="302">
        <f t="shared" si="11"/>
        <v>3895654.1000000015</v>
      </c>
      <c r="L55" s="302">
        <f t="shared" si="11"/>
        <v>2865454.8400000054</v>
      </c>
    </row>
    <row r="56" spans="1:12">
      <c r="A56" s="2">
        <f t="shared" si="12"/>
        <v>39</v>
      </c>
      <c r="B56" s="245" t="s">
        <v>1511</v>
      </c>
      <c r="C56" s="302">
        <f t="shared" si="8"/>
        <v>959946414.07000041</v>
      </c>
      <c r="D56" s="994">
        <v>294757438.06999993</v>
      </c>
      <c r="E56" s="994">
        <v>665188976.00000048</v>
      </c>
      <c r="F56" s="995" t="s">
        <v>1484</v>
      </c>
      <c r="G56" s="460">
        <f t="shared" si="9"/>
        <v>-429078.27000000008</v>
      </c>
      <c r="H56" s="994">
        <v>-198397.64000000004</v>
      </c>
      <c r="I56" s="994">
        <v>-230680.63000000003</v>
      </c>
      <c r="J56" s="302">
        <f t="shared" si="10"/>
        <v>959517335.80000043</v>
      </c>
      <c r="K56" s="302">
        <f t="shared" si="11"/>
        <v>294559040.42999995</v>
      </c>
      <c r="L56" s="302">
        <f t="shared" si="11"/>
        <v>664958295.37000048</v>
      </c>
    </row>
    <row r="57" spans="1:12">
      <c r="A57" s="2">
        <f>A56+1</f>
        <v>40</v>
      </c>
      <c r="B57" s="245" t="s">
        <v>1512</v>
      </c>
      <c r="C57" s="452">
        <v>0</v>
      </c>
      <c r="D57" s="452">
        <v>0</v>
      </c>
      <c r="E57" s="452">
        <v>0</v>
      </c>
      <c r="F57" s="463"/>
      <c r="G57" s="452">
        <f>SUM(H57:I57)</f>
        <v>-7517949.1619003443</v>
      </c>
      <c r="H57" s="463">
        <f>+C64*C145</f>
        <v>-7517949.1619003443</v>
      </c>
      <c r="I57" s="463">
        <v>0</v>
      </c>
      <c r="J57" s="464">
        <f>SUM(K57:L57)</f>
        <v>-7517949.1619003443</v>
      </c>
      <c r="K57" s="464">
        <f t="shared" si="11"/>
        <v>-7517949.1619003443</v>
      </c>
      <c r="L57" s="464">
        <f t="shared" si="11"/>
        <v>0</v>
      </c>
    </row>
    <row r="58" spans="1:12">
      <c r="A58" s="2">
        <f t="shared" si="12"/>
        <v>41</v>
      </c>
      <c r="B58" s="128" t="s">
        <v>1513</v>
      </c>
      <c r="C58" s="458">
        <f>SUM(C52:C57)</f>
        <v>1009145638.6500003</v>
      </c>
      <c r="D58" s="458">
        <f>SUM(D52:D57)</f>
        <v>329750870.02999985</v>
      </c>
      <c r="E58" s="458">
        <f>SUM(E52:E57)</f>
        <v>679394768.62000048</v>
      </c>
      <c r="F58" s="459"/>
      <c r="G58" s="462">
        <f t="shared" ref="G58:L58" si="13">SUM(G52:G57)</f>
        <v>-7947027.4319003448</v>
      </c>
      <c r="H58" s="458">
        <f t="shared" si="13"/>
        <v>-7716346.801900344</v>
      </c>
      <c r="I58" s="458">
        <f t="shared" si="13"/>
        <v>-230680.63000000003</v>
      </c>
      <c r="J58" s="458">
        <f>SUM(J52:J57)</f>
        <v>1001198611.2181</v>
      </c>
      <c r="K58" s="458">
        <f t="shared" si="13"/>
        <v>322034523.22809952</v>
      </c>
      <c r="L58" s="458">
        <f t="shared" si="13"/>
        <v>679164087.99000049</v>
      </c>
    </row>
    <row r="59" spans="1:12">
      <c r="A59" s="2">
        <f t="shared" si="12"/>
        <v>42</v>
      </c>
      <c r="C59" s="302"/>
      <c r="D59" s="458"/>
      <c r="E59" s="458"/>
      <c r="F59" s="465"/>
      <c r="G59" s="460"/>
      <c r="H59" s="461"/>
      <c r="I59" s="461"/>
      <c r="J59" s="302"/>
      <c r="K59" s="302"/>
      <c r="L59" s="302"/>
    </row>
    <row r="60" spans="1:12">
      <c r="A60" s="2">
        <f t="shared" si="12"/>
        <v>43</v>
      </c>
      <c r="B60" s="128" t="s">
        <v>1514</v>
      </c>
      <c r="C60" s="302">
        <f>+C43+C58</f>
        <v>1458835724.3100002</v>
      </c>
      <c r="D60" s="302">
        <f>D58+D43</f>
        <v>425336188.1499998</v>
      </c>
      <c r="E60" s="302">
        <f>E58+E43</f>
        <v>1033499536.1600004</v>
      </c>
      <c r="G60" s="460">
        <f>+G43+G58</f>
        <v>-234954948.4370496</v>
      </c>
      <c r="H60" s="302">
        <f>H58+H43</f>
        <v>-10158960.877049591</v>
      </c>
      <c r="I60" s="302">
        <f>I58+I43</f>
        <v>-224795987.55999997</v>
      </c>
      <c r="J60" s="302">
        <f>J58+K43</f>
        <v>1226737154.5754001</v>
      </c>
      <c r="K60" s="302">
        <f>K58+L43</f>
        <v>415177227.27295023</v>
      </c>
      <c r="L60" s="302">
        <f>L58+M43</f>
        <v>811559927.30245006</v>
      </c>
    </row>
    <row r="61" spans="1:12">
      <c r="A61" s="2">
        <f t="shared" si="12"/>
        <v>44</v>
      </c>
      <c r="H61" s="461"/>
      <c r="I61" s="461"/>
    </row>
    <row r="62" spans="1:12">
      <c r="A62" s="2">
        <f t="shared" si="12"/>
        <v>45</v>
      </c>
      <c r="B62" s="245" t="s">
        <v>1515</v>
      </c>
      <c r="C62" s="561">
        <v>449690086</v>
      </c>
      <c r="D62" s="302" t="s">
        <v>1516</v>
      </c>
      <c r="E62" s="302" t="str">
        <f>"Must equal Line "&amp;A43&amp;", Column 2."</f>
        <v>Must equal Line 33, Column 2.</v>
      </c>
      <c r="G62" s="219"/>
      <c r="H62" s="220"/>
      <c r="I62" s="220"/>
      <c r="J62" s="220"/>
      <c r="K62" s="220"/>
      <c r="L62" s="220"/>
    </row>
    <row r="63" spans="1:12">
      <c r="A63" s="2">
        <f>A62+1</f>
        <v>46</v>
      </c>
      <c r="B63" s="245" t="s">
        <v>1517</v>
      </c>
      <c r="C63" s="561">
        <v>1009145640</v>
      </c>
      <c r="D63" s="302" t="s">
        <v>1518</v>
      </c>
      <c r="E63" s="302" t="str">
        <f>"Must equal Line "&amp;A58&amp;", Column 2."</f>
        <v>Must equal Line 41, Column 2.</v>
      </c>
      <c r="G63" s="460"/>
      <c r="H63" s="302"/>
      <c r="I63" s="302"/>
      <c r="J63" s="302"/>
      <c r="K63" s="302"/>
      <c r="L63" s="302"/>
    </row>
    <row r="64" spans="1:12">
      <c r="A64" s="2">
        <f>A63+1</f>
        <v>47</v>
      </c>
      <c r="B64" s="245" t="s">
        <v>1519</v>
      </c>
      <c r="C64" s="466">
        <f>'20-AandG'!E64</f>
        <v>-9697186.9670495912</v>
      </c>
      <c r="D64" s="302" t="str">
        <f>"20-AandG, Note 2, "&amp;'20-AandG'!B64&amp;""</f>
        <v>20-AandG, Note 2, f</v>
      </c>
      <c r="E64" s="302"/>
      <c r="F64" s="2"/>
      <c r="G64" s="460"/>
      <c r="H64" s="302"/>
      <c r="I64" s="302"/>
      <c r="J64" s="302"/>
      <c r="K64" s="302"/>
      <c r="L64" s="302"/>
    </row>
    <row r="65" spans="1:12">
      <c r="A65" s="221"/>
      <c r="C65" s="221"/>
      <c r="D65" s="302"/>
      <c r="E65" s="302"/>
      <c r="G65" s="460"/>
      <c r="H65" s="302"/>
      <c r="I65" s="302"/>
      <c r="J65" s="302"/>
      <c r="K65" s="302"/>
      <c r="L65" s="302"/>
    </row>
    <row r="66" spans="1:12">
      <c r="B66" s="15" t="s">
        <v>1520</v>
      </c>
      <c r="H66" s="243"/>
      <c r="I66" s="243"/>
    </row>
    <row r="67" spans="1:12">
      <c r="H67" s="243"/>
      <c r="I67" s="243"/>
    </row>
    <row r="68" spans="1:12">
      <c r="B68" s="48" t="s">
        <v>329</v>
      </c>
      <c r="C68" s="216" t="s">
        <v>330</v>
      </c>
      <c r="D68" s="216" t="s">
        <v>331</v>
      </c>
      <c r="E68" s="216" t="s">
        <v>332</v>
      </c>
      <c r="F68" s="216" t="s">
        <v>333</v>
      </c>
      <c r="G68" s="216" t="s">
        <v>334</v>
      </c>
      <c r="H68" s="216" t="s">
        <v>335</v>
      </c>
      <c r="I68" s="216" t="s">
        <v>336</v>
      </c>
      <c r="J68" s="216" t="s">
        <v>337</v>
      </c>
      <c r="K68" s="48"/>
      <c r="L68" s="48"/>
    </row>
    <row r="69" spans="1:12">
      <c r="C69" s="243" t="s">
        <v>1521</v>
      </c>
      <c r="D69" s="243" t="s">
        <v>1522</v>
      </c>
      <c r="E69" s="243" t="s">
        <v>1523</v>
      </c>
      <c r="F69" s="446" t="s">
        <v>126</v>
      </c>
      <c r="G69" s="632" t="s">
        <v>1454</v>
      </c>
      <c r="H69" s="632" t="s">
        <v>1524</v>
      </c>
      <c r="I69" s="632" t="s">
        <v>1525</v>
      </c>
    </row>
    <row r="70" spans="1:12">
      <c r="H70" s="243"/>
      <c r="I70" s="243"/>
    </row>
    <row r="71" spans="1:12">
      <c r="A71" s="128"/>
      <c r="B71" s="1115" t="s">
        <v>1459</v>
      </c>
      <c r="C71" s="1116" t="s">
        <v>1462</v>
      </c>
      <c r="D71" s="1114"/>
      <c r="E71" s="1117"/>
      <c r="F71" s="222" t="s">
        <v>1526</v>
      </c>
      <c r="G71" s="1116" t="s">
        <v>1527</v>
      </c>
      <c r="H71" s="1114"/>
      <c r="I71" s="1117"/>
      <c r="J71" s="493" t="s">
        <v>1528</v>
      </c>
    </row>
    <row r="72" spans="1:12">
      <c r="B72" s="1115"/>
      <c r="C72" s="218" t="s">
        <v>244</v>
      </c>
      <c r="D72" s="218" t="s">
        <v>797</v>
      </c>
      <c r="E72" s="218" t="s">
        <v>1463</v>
      </c>
      <c r="F72" s="222" t="s">
        <v>1529</v>
      </c>
      <c r="G72" s="218" t="s">
        <v>244</v>
      </c>
      <c r="H72" s="218" t="s">
        <v>797</v>
      </c>
      <c r="I72" s="218" t="s">
        <v>1463</v>
      </c>
      <c r="J72" s="218" t="s">
        <v>246</v>
      </c>
    </row>
    <row r="73" spans="1:12">
      <c r="A73" s="30" t="s">
        <v>266</v>
      </c>
      <c r="B73" s="148" t="s">
        <v>1466</v>
      </c>
      <c r="C73" s="19"/>
      <c r="D73" s="19"/>
      <c r="E73" s="19"/>
      <c r="F73" s="223"/>
      <c r="G73" s="19"/>
      <c r="H73" s="19"/>
      <c r="I73" s="19"/>
    </row>
    <row r="74" spans="1:12">
      <c r="A74" s="2">
        <f>A64+1</f>
        <v>48</v>
      </c>
      <c r="B74" s="245" t="s">
        <v>1467</v>
      </c>
      <c r="C74" s="302">
        <f t="shared" ref="C74:C103" si="14">K11</f>
        <v>5966640.9723505331</v>
      </c>
      <c r="D74" s="302">
        <f t="shared" ref="D74:D103" si="15">L11</f>
        <v>1805916.1199999994</v>
      </c>
      <c r="E74" s="302">
        <f t="shared" ref="E74:E103" si="16">M11</f>
        <v>4160724.8523505339</v>
      </c>
      <c r="F74" s="472">
        <f>'27-Allocators'!$D$48</f>
        <v>0.4035703833772315</v>
      </c>
      <c r="G74" s="467">
        <f>SUM(H74:I74)</f>
        <v>2407959.584685802</v>
      </c>
      <c r="H74" s="467">
        <f>D74*F74</f>
        <v>728814.26089552219</v>
      </c>
      <c r="I74" s="467">
        <f>E74*F74</f>
        <v>1679145.3237902799</v>
      </c>
      <c r="J74" s="305" t="s">
        <v>1530</v>
      </c>
    </row>
    <row r="75" spans="1:12">
      <c r="A75" s="2">
        <f t="shared" ref="A75:A107" si="17">A74+1</f>
        <v>49</v>
      </c>
      <c r="B75" s="245" t="s">
        <v>1468</v>
      </c>
      <c r="C75" s="302">
        <f t="shared" si="14"/>
        <v>378571.84</v>
      </c>
      <c r="D75" s="302">
        <f t="shared" si="15"/>
        <v>0</v>
      </c>
      <c r="E75" s="302">
        <f t="shared" si="16"/>
        <v>378571.84</v>
      </c>
      <c r="F75" s="472">
        <v>1</v>
      </c>
      <c r="G75" s="467">
        <f t="shared" ref="G75:G103" si="18">SUM(H75:I75)</f>
        <v>378571.84</v>
      </c>
      <c r="H75" s="467">
        <f t="shared" ref="H75:H103" si="19">D75*F75</f>
        <v>0</v>
      </c>
      <c r="I75" s="467">
        <f t="shared" ref="I75:I103" si="20">E75*F75</f>
        <v>378571.84</v>
      </c>
      <c r="J75" s="623" t="s">
        <v>1531</v>
      </c>
    </row>
    <row r="76" spans="1:12">
      <c r="A76" s="2">
        <f t="shared" si="17"/>
        <v>50</v>
      </c>
      <c r="B76" s="245" t="s">
        <v>1469</v>
      </c>
      <c r="C76" s="302">
        <f t="shared" si="14"/>
        <v>11409913.160456218</v>
      </c>
      <c r="D76" s="302">
        <f t="shared" si="15"/>
        <v>8955161.9799999986</v>
      </c>
      <c r="E76" s="302">
        <f t="shared" si="16"/>
        <v>2454751.1804562192</v>
      </c>
      <c r="F76" s="472">
        <f>'27-Allocators'!$D$48</f>
        <v>0.4035703833772315</v>
      </c>
      <c r="G76" s="467">
        <f t="shared" si="18"/>
        <v>4604703.0284662349</v>
      </c>
      <c r="H76" s="467">
        <f t="shared" si="19"/>
        <v>3614038.153473807</v>
      </c>
      <c r="I76" s="467">
        <f t="shared" si="20"/>
        <v>990664.874992428</v>
      </c>
      <c r="J76" s="305" t="s">
        <v>1530</v>
      </c>
    </row>
    <row r="77" spans="1:12">
      <c r="A77" s="2">
        <f t="shared" si="17"/>
        <v>51</v>
      </c>
      <c r="B77" s="245" t="s">
        <v>1470</v>
      </c>
      <c r="C77" s="302">
        <f t="shared" si="14"/>
        <v>0</v>
      </c>
      <c r="D77" s="302">
        <f t="shared" si="15"/>
        <v>0</v>
      </c>
      <c r="E77" s="302">
        <f t="shared" si="16"/>
        <v>0</v>
      </c>
      <c r="F77" s="472">
        <v>0</v>
      </c>
      <c r="G77" s="467">
        <f t="shared" si="18"/>
        <v>0</v>
      </c>
      <c r="H77" s="467">
        <f t="shared" si="19"/>
        <v>0</v>
      </c>
      <c r="I77" s="467">
        <f t="shared" si="20"/>
        <v>0</v>
      </c>
      <c r="J77" s="623" t="s">
        <v>1532</v>
      </c>
    </row>
    <row r="78" spans="1:12">
      <c r="A78" s="2">
        <f t="shared" si="17"/>
        <v>52</v>
      </c>
      <c r="B78" s="245" t="s">
        <v>1472</v>
      </c>
      <c r="C78" s="302">
        <f t="shared" si="14"/>
        <v>5658578.9683693498</v>
      </c>
      <c r="D78" s="302">
        <f t="shared" si="15"/>
        <v>3125328.4400000013</v>
      </c>
      <c r="E78" s="302">
        <f t="shared" si="16"/>
        <v>2533250.5283693485</v>
      </c>
      <c r="F78" s="472">
        <v>1</v>
      </c>
      <c r="G78" s="467">
        <f t="shared" si="18"/>
        <v>5658578.9683693498</v>
      </c>
      <c r="H78" s="467">
        <f t="shared" si="19"/>
        <v>3125328.4400000013</v>
      </c>
      <c r="I78" s="467">
        <f t="shared" si="20"/>
        <v>2533250.5283693485</v>
      </c>
      <c r="J78" s="623" t="s">
        <v>1531</v>
      </c>
    </row>
    <row r="79" spans="1:12">
      <c r="A79" s="2">
        <f t="shared" si="17"/>
        <v>53</v>
      </c>
      <c r="B79" s="245" t="s">
        <v>1473</v>
      </c>
      <c r="C79" s="302">
        <f t="shared" si="14"/>
        <v>24893384.180000003</v>
      </c>
      <c r="D79" s="302">
        <f t="shared" si="15"/>
        <v>19492099.170000017</v>
      </c>
      <c r="E79" s="302">
        <f t="shared" si="16"/>
        <v>5401285.0099999858</v>
      </c>
      <c r="F79" s="472">
        <f>'27-Allocators'!$D$48</f>
        <v>0.4035703833772315</v>
      </c>
      <c r="G79" s="467">
        <f t="shared" si="18"/>
        <v>10046232.597079311</v>
      </c>
      <c r="H79" s="467">
        <f t="shared" si="19"/>
        <v>7866433.9348639231</v>
      </c>
      <c r="I79" s="467">
        <f t="shared" si="20"/>
        <v>2179798.6622153879</v>
      </c>
      <c r="J79" s="305" t="s">
        <v>1530</v>
      </c>
    </row>
    <row r="80" spans="1:12">
      <c r="A80" s="2">
        <f t="shared" si="17"/>
        <v>54</v>
      </c>
      <c r="B80" s="245" t="s">
        <v>1474</v>
      </c>
      <c r="C80" s="302">
        <f t="shared" si="14"/>
        <v>0</v>
      </c>
      <c r="D80" s="302">
        <f t="shared" si="15"/>
        <v>0</v>
      </c>
      <c r="E80" s="302">
        <f t="shared" si="16"/>
        <v>0</v>
      </c>
      <c r="F80" s="472">
        <v>0</v>
      </c>
      <c r="G80" s="467">
        <f t="shared" si="18"/>
        <v>0</v>
      </c>
      <c r="H80" s="467">
        <f t="shared" si="19"/>
        <v>0</v>
      </c>
      <c r="I80" s="467">
        <f t="shared" si="20"/>
        <v>0</v>
      </c>
      <c r="J80" s="623" t="s">
        <v>1532</v>
      </c>
    </row>
    <row r="81" spans="1:11">
      <c r="A81" s="2">
        <f t="shared" si="17"/>
        <v>55</v>
      </c>
      <c r="B81" s="245" t="s">
        <v>1476</v>
      </c>
      <c r="C81" s="302">
        <f t="shared" si="14"/>
        <v>1145408.21</v>
      </c>
      <c r="D81" s="302">
        <f t="shared" si="15"/>
        <v>0</v>
      </c>
      <c r="E81" s="302">
        <f t="shared" si="16"/>
        <v>1145408.21</v>
      </c>
      <c r="F81" s="472">
        <v>1</v>
      </c>
      <c r="G81" s="467">
        <f t="shared" si="18"/>
        <v>1145408.21</v>
      </c>
      <c r="H81" s="467">
        <f t="shared" si="19"/>
        <v>0</v>
      </c>
      <c r="I81" s="467">
        <f t="shared" si="20"/>
        <v>1145408.21</v>
      </c>
      <c r="J81" s="623" t="s">
        <v>1531</v>
      </c>
      <c r="K81" s="302"/>
    </row>
    <row r="82" spans="1:11">
      <c r="A82" s="2">
        <f t="shared" si="17"/>
        <v>56</v>
      </c>
      <c r="B82" s="245" t="s">
        <v>1477</v>
      </c>
      <c r="C82" s="302">
        <f t="shared" si="14"/>
        <v>37597437.010116041</v>
      </c>
      <c r="D82" s="302">
        <f t="shared" si="15"/>
        <v>12960548.029999981</v>
      </c>
      <c r="E82" s="302">
        <f t="shared" si="16"/>
        <v>24636888.980116058</v>
      </c>
      <c r="F82" s="472">
        <f>'27-Allocators'!$D$36</f>
        <v>0.47483740998153495</v>
      </c>
      <c r="G82" s="467">
        <f t="shared" si="18"/>
        <v>17852669.611827403</v>
      </c>
      <c r="H82" s="467">
        <f t="shared" si="19"/>
        <v>6154153.0585064758</v>
      </c>
      <c r="I82" s="467">
        <f t="shared" si="20"/>
        <v>11698516.553320929</v>
      </c>
      <c r="J82" s="305" t="s">
        <v>1533</v>
      </c>
    </row>
    <row r="83" spans="1:11" ht="12.75" customHeight="1">
      <c r="A83" s="2">
        <f t="shared" si="17"/>
        <v>57</v>
      </c>
      <c r="B83" s="245" t="s">
        <v>1478</v>
      </c>
      <c r="C83" s="302">
        <f t="shared" si="14"/>
        <v>3404656.300000004</v>
      </c>
      <c r="D83" s="302">
        <f t="shared" si="15"/>
        <v>2901825.9400000037</v>
      </c>
      <c r="E83" s="302">
        <f t="shared" si="16"/>
        <v>502830.36000000022</v>
      </c>
      <c r="F83" s="472">
        <f>'27-Allocators'!$D$42</f>
        <v>1.9589296066884313E-2</v>
      </c>
      <c r="G83" s="468">
        <f t="shared" si="18"/>
        <v>66694.820266682975</v>
      </c>
      <c r="H83" s="468">
        <f t="shared" si="19"/>
        <v>56844.72747322495</v>
      </c>
      <c r="I83" s="468">
        <f t="shared" si="20"/>
        <v>9850.0927934580268</v>
      </c>
      <c r="J83" s="305" t="s">
        <v>1534</v>
      </c>
      <c r="K83" s="302"/>
    </row>
    <row r="84" spans="1:11">
      <c r="A84" s="2">
        <f t="shared" si="17"/>
        <v>58</v>
      </c>
      <c r="B84" s="245" t="s">
        <v>1479</v>
      </c>
      <c r="C84" s="302">
        <f t="shared" si="14"/>
        <v>0</v>
      </c>
      <c r="D84" s="302">
        <f t="shared" si="15"/>
        <v>0</v>
      </c>
      <c r="E84" s="302">
        <f t="shared" si="16"/>
        <v>0</v>
      </c>
      <c r="F84" s="472">
        <v>1</v>
      </c>
      <c r="G84" s="467">
        <f t="shared" si="18"/>
        <v>0</v>
      </c>
      <c r="H84" s="467">
        <f t="shared" si="19"/>
        <v>0</v>
      </c>
      <c r="I84" s="467">
        <f t="shared" si="20"/>
        <v>0</v>
      </c>
      <c r="J84" s="623" t="s">
        <v>1531</v>
      </c>
    </row>
    <row r="85" spans="1:11">
      <c r="A85" s="2">
        <f t="shared" si="17"/>
        <v>59</v>
      </c>
      <c r="B85" s="245" t="s">
        <v>1480</v>
      </c>
      <c r="C85" s="302">
        <f t="shared" si="14"/>
        <v>0</v>
      </c>
      <c r="D85" s="302">
        <f t="shared" si="15"/>
        <v>0</v>
      </c>
      <c r="E85" s="302">
        <f t="shared" si="16"/>
        <v>0</v>
      </c>
      <c r="F85" s="472">
        <v>0</v>
      </c>
      <c r="G85" s="467">
        <f t="shared" si="18"/>
        <v>0</v>
      </c>
      <c r="H85" s="467">
        <f t="shared" si="19"/>
        <v>0</v>
      </c>
      <c r="I85" s="467">
        <f t="shared" si="20"/>
        <v>0</v>
      </c>
      <c r="J85" s="623" t="s">
        <v>1532</v>
      </c>
    </row>
    <row r="86" spans="1:11">
      <c r="A86" s="2">
        <f t="shared" si="17"/>
        <v>60</v>
      </c>
      <c r="B86" s="245" t="s">
        <v>1482</v>
      </c>
      <c r="C86" s="302">
        <f t="shared" si="14"/>
        <v>343010.62</v>
      </c>
      <c r="D86" s="302">
        <f t="shared" si="15"/>
        <v>0</v>
      </c>
      <c r="E86" s="302">
        <f t="shared" si="16"/>
        <v>343010.62</v>
      </c>
      <c r="F86" s="472">
        <v>0</v>
      </c>
      <c r="G86" s="467">
        <f t="shared" si="18"/>
        <v>0</v>
      </c>
      <c r="H86" s="467">
        <f t="shared" si="19"/>
        <v>0</v>
      </c>
      <c r="I86" s="467">
        <f t="shared" si="20"/>
        <v>0</v>
      </c>
      <c r="J86" s="623" t="s">
        <v>1532</v>
      </c>
    </row>
    <row r="87" spans="1:11">
      <c r="A87" s="2">
        <f t="shared" si="17"/>
        <v>61</v>
      </c>
      <c r="B87" s="245" t="s">
        <v>1483</v>
      </c>
      <c r="C87" s="302">
        <f t="shared" si="14"/>
        <v>45412596.533074155</v>
      </c>
      <c r="D87" s="302">
        <f t="shared" si="15"/>
        <v>26075668.529999949</v>
      </c>
      <c r="E87" s="302">
        <f t="shared" si="16"/>
        <v>19336928.003074203</v>
      </c>
      <c r="F87" s="472">
        <f>'27-Allocators'!$D$48</f>
        <v>0.4035703833772315</v>
      </c>
      <c r="G87" s="467">
        <f t="shared" si="18"/>
        <v>18327178.993008271</v>
      </c>
      <c r="H87" s="467">
        <f t="shared" si="19"/>
        <v>10523367.54546969</v>
      </c>
      <c r="I87" s="467">
        <f t="shared" si="20"/>
        <v>7803811.4475385798</v>
      </c>
      <c r="J87" s="305" t="s">
        <v>1530</v>
      </c>
      <c r="K87" s="302"/>
    </row>
    <row r="88" spans="1:11">
      <c r="A88" s="2">
        <f t="shared" si="17"/>
        <v>62</v>
      </c>
      <c r="B88" s="245" t="s">
        <v>1485</v>
      </c>
      <c r="C88" s="302">
        <f t="shared" si="14"/>
        <v>0</v>
      </c>
      <c r="D88" s="302">
        <f t="shared" si="15"/>
        <v>0</v>
      </c>
      <c r="E88" s="302">
        <f t="shared" si="16"/>
        <v>0</v>
      </c>
      <c r="F88" s="472">
        <v>0</v>
      </c>
      <c r="G88" s="467">
        <f t="shared" si="18"/>
        <v>0</v>
      </c>
      <c r="H88" s="467">
        <f t="shared" si="19"/>
        <v>0</v>
      </c>
      <c r="I88" s="467">
        <f t="shared" si="20"/>
        <v>0</v>
      </c>
      <c r="J88" s="623" t="s">
        <v>1532</v>
      </c>
    </row>
    <row r="89" spans="1:11">
      <c r="A89" s="2">
        <f t="shared" si="17"/>
        <v>63</v>
      </c>
      <c r="B89" s="245" t="s">
        <v>1487</v>
      </c>
      <c r="C89" s="302">
        <f t="shared" si="14"/>
        <v>5643084.5100000007</v>
      </c>
      <c r="D89" s="302">
        <f t="shared" si="15"/>
        <v>65862.399999999965</v>
      </c>
      <c r="E89" s="302">
        <f t="shared" si="16"/>
        <v>5577222.1100000003</v>
      </c>
      <c r="F89" s="472">
        <v>1</v>
      </c>
      <c r="G89" s="467">
        <f t="shared" si="18"/>
        <v>5643084.5100000007</v>
      </c>
      <c r="H89" s="467">
        <f t="shared" si="19"/>
        <v>65862.399999999965</v>
      </c>
      <c r="I89" s="467">
        <f t="shared" si="20"/>
        <v>5577222.1100000003</v>
      </c>
      <c r="J89" s="623" t="s">
        <v>1531</v>
      </c>
    </row>
    <row r="90" spans="1:11">
      <c r="A90" s="2">
        <f t="shared" si="17"/>
        <v>64</v>
      </c>
      <c r="B90" s="245" t="s">
        <v>1488</v>
      </c>
      <c r="C90" s="302">
        <f t="shared" si="14"/>
        <v>16170916.388107769</v>
      </c>
      <c r="D90" s="302">
        <f t="shared" si="15"/>
        <v>72713.11</v>
      </c>
      <c r="E90" s="302">
        <f t="shared" si="16"/>
        <v>16098203.27810777</v>
      </c>
      <c r="F90" s="472">
        <f>'27-Allocators'!$D$36</f>
        <v>0.47483740998153495</v>
      </c>
      <c r="G90" s="467">
        <f t="shared" si="18"/>
        <v>7678556.0547570512</v>
      </c>
      <c r="H90" s="467">
        <f t="shared" si="19"/>
        <v>34526.90482410245</v>
      </c>
      <c r="I90" s="467">
        <f t="shared" si="20"/>
        <v>7644029.1499329489</v>
      </c>
      <c r="J90" s="305" t="s">
        <v>1533</v>
      </c>
      <c r="K90" s="302"/>
    </row>
    <row r="91" spans="1:11">
      <c r="A91" s="2">
        <f t="shared" si="17"/>
        <v>65</v>
      </c>
      <c r="B91" s="245" t="s">
        <v>1489</v>
      </c>
      <c r="C91" s="302">
        <f t="shared" si="14"/>
        <v>-32670.740000000005</v>
      </c>
      <c r="D91" s="302">
        <f t="shared" si="15"/>
        <v>0</v>
      </c>
      <c r="E91" s="302">
        <f t="shared" si="16"/>
        <v>-32670.740000000005</v>
      </c>
      <c r="F91" s="472">
        <v>1</v>
      </c>
      <c r="G91" s="467">
        <f t="shared" si="18"/>
        <v>-32670.740000000005</v>
      </c>
      <c r="H91" s="467">
        <f t="shared" si="19"/>
        <v>0</v>
      </c>
      <c r="I91" s="467">
        <f t="shared" si="20"/>
        <v>-32670.740000000005</v>
      </c>
      <c r="J91" s="623" t="s">
        <v>1531</v>
      </c>
    </row>
    <row r="92" spans="1:11">
      <c r="A92" s="2">
        <f t="shared" si="17"/>
        <v>66</v>
      </c>
      <c r="B92" s="245" t="s">
        <v>1490</v>
      </c>
      <c r="C92" s="302">
        <f t="shared" si="14"/>
        <v>360280.04000000004</v>
      </c>
      <c r="D92" s="302">
        <f t="shared" si="15"/>
        <v>0</v>
      </c>
      <c r="E92" s="302">
        <f t="shared" si="16"/>
        <v>360280.04000000004</v>
      </c>
      <c r="F92" s="472">
        <v>1</v>
      </c>
      <c r="G92" s="467">
        <f t="shared" ref="G92" si="21">SUM(H92:I92)</f>
        <v>360280.04000000004</v>
      </c>
      <c r="H92" s="467">
        <f t="shared" ref="H92" si="22">D92*F92</f>
        <v>0</v>
      </c>
      <c r="I92" s="467">
        <f t="shared" ref="I92" si="23">E92*F92</f>
        <v>360280.04000000004</v>
      </c>
      <c r="J92" s="623" t="s">
        <v>1531</v>
      </c>
    </row>
    <row r="93" spans="1:11">
      <c r="A93" s="2">
        <f t="shared" si="17"/>
        <v>67</v>
      </c>
      <c r="B93" s="245" t="s">
        <v>1491</v>
      </c>
      <c r="C93" s="302">
        <f t="shared" si="14"/>
        <v>1142400.424253962</v>
      </c>
      <c r="D93" s="302">
        <f t="shared" si="15"/>
        <v>912354.7300000001</v>
      </c>
      <c r="E93" s="302">
        <f t="shared" si="16"/>
        <v>230045.69425396199</v>
      </c>
      <c r="F93" s="472">
        <f>'27-Allocators'!$D$48</f>
        <v>0.4035703833772315</v>
      </c>
      <c r="G93" s="467">
        <f t="shared" si="18"/>
        <v>461038.97718648339</v>
      </c>
      <c r="H93" s="467">
        <f t="shared" si="19"/>
        <v>368199.34816213057</v>
      </c>
      <c r="I93" s="467">
        <f t="shared" si="20"/>
        <v>92839.62902435282</v>
      </c>
      <c r="J93" s="305" t="s">
        <v>1530</v>
      </c>
    </row>
    <row r="94" spans="1:11">
      <c r="A94" s="2">
        <f t="shared" si="17"/>
        <v>68</v>
      </c>
      <c r="B94" s="245" t="s">
        <v>1492</v>
      </c>
      <c r="C94" s="302">
        <f t="shared" si="14"/>
        <v>265551.43</v>
      </c>
      <c r="D94" s="302">
        <f t="shared" si="15"/>
        <v>0</v>
      </c>
      <c r="E94" s="302">
        <f t="shared" si="16"/>
        <v>265551.43</v>
      </c>
      <c r="F94" s="472">
        <v>1</v>
      </c>
      <c r="G94" s="467">
        <f t="shared" si="18"/>
        <v>265551.43</v>
      </c>
      <c r="H94" s="467">
        <f t="shared" si="19"/>
        <v>0</v>
      </c>
      <c r="I94" s="467">
        <f t="shared" si="20"/>
        <v>265551.43</v>
      </c>
      <c r="J94" s="623" t="s">
        <v>1531</v>
      </c>
      <c r="K94" s="302"/>
    </row>
    <row r="95" spans="1:11">
      <c r="A95" s="2">
        <f t="shared" si="17"/>
        <v>69</v>
      </c>
      <c r="B95" s="245" t="s">
        <v>1493</v>
      </c>
      <c r="C95" s="302">
        <f t="shared" si="14"/>
        <v>2544929.169999999</v>
      </c>
      <c r="D95" s="302">
        <f t="shared" si="15"/>
        <v>21755.200000000001</v>
      </c>
      <c r="E95" s="302">
        <f t="shared" si="16"/>
        <v>2523173.9699999988</v>
      </c>
      <c r="F95" s="472">
        <f>'27-Allocators'!$D$48</f>
        <v>0.4035703833772315</v>
      </c>
      <c r="G95" s="467">
        <f t="shared" si="18"/>
        <v>1027058.0408047991</v>
      </c>
      <c r="H95" s="467">
        <f t="shared" si="19"/>
        <v>8779.7544044483475</v>
      </c>
      <c r="I95" s="467">
        <f t="shared" si="20"/>
        <v>1018278.2864003507</v>
      </c>
      <c r="J95" s="305" t="s">
        <v>1530</v>
      </c>
    </row>
    <row r="96" spans="1:11">
      <c r="A96" s="2">
        <f t="shared" si="17"/>
        <v>70</v>
      </c>
      <c r="B96" s="245" t="s">
        <v>1495</v>
      </c>
      <c r="C96" s="302">
        <f t="shared" si="14"/>
        <v>162649.41999999993</v>
      </c>
      <c r="D96" s="302">
        <f t="shared" si="15"/>
        <v>0</v>
      </c>
      <c r="E96" s="302">
        <f t="shared" si="16"/>
        <v>162649.41999999993</v>
      </c>
      <c r="F96" s="472">
        <v>1</v>
      </c>
      <c r="G96" s="467">
        <f t="shared" si="18"/>
        <v>162649.41999999993</v>
      </c>
      <c r="H96" s="467">
        <f t="shared" si="19"/>
        <v>0</v>
      </c>
      <c r="I96" s="467">
        <f t="shared" si="20"/>
        <v>162649.41999999993</v>
      </c>
      <c r="J96" s="623" t="s">
        <v>1531</v>
      </c>
    </row>
    <row r="97" spans="1:11">
      <c r="A97" s="2">
        <f t="shared" si="17"/>
        <v>71</v>
      </c>
      <c r="B97" s="245" t="s">
        <v>1496</v>
      </c>
      <c r="C97" s="302">
        <f t="shared" si="14"/>
        <v>6153540.7499999944</v>
      </c>
      <c r="D97" s="302">
        <f t="shared" si="15"/>
        <v>3984331.2699999972</v>
      </c>
      <c r="E97" s="302">
        <f t="shared" si="16"/>
        <v>2169209.4799999972</v>
      </c>
      <c r="F97" s="472">
        <f>'27-Allocators'!$D$48</f>
        <v>0.4035703833772315</v>
      </c>
      <c r="G97" s="467">
        <f t="shared" si="18"/>
        <v>2483386.7996049142</v>
      </c>
      <c r="H97" s="467">
        <f t="shared" si="19"/>
        <v>1607958.0981357906</v>
      </c>
      <c r="I97" s="467">
        <f t="shared" si="20"/>
        <v>875428.70146912383</v>
      </c>
      <c r="J97" s="305" t="s">
        <v>1530</v>
      </c>
    </row>
    <row r="98" spans="1:11">
      <c r="A98" s="2">
        <f t="shared" si="17"/>
        <v>72</v>
      </c>
      <c r="B98" s="245" t="s">
        <v>1497</v>
      </c>
      <c r="C98" s="302">
        <f t="shared" si="14"/>
        <v>919951.78</v>
      </c>
      <c r="D98" s="302">
        <f t="shared" si="15"/>
        <v>0</v>
      </c>
      <c r="E98" s="302">
        <f t="shared" si="16"/>
        <v>919951.78</v>
      </c>
      <c r="F98" s="472">
        <v>1</v>
      </c>
      <c r="G98" s="467">
        <f t="shared" si="18"/>
        <v>919951.78</v>
      </c>
      <c r="H98" s="467">
        <f t="shared" si="19"/>
        <v>0</v>
      </c>
      <c r="I98" s="467">
        <f t="shared" si="20"/>
        <v>919951.78</v>
      </c>
      <c r="J98" s="623" t="s">
        <v>1531</v>
      </c>
    </row>
    <row r="99" spans="1:11">
      <c r="A99" s="2">
        <f t="shared" si="17"/>
        <v>73</v>
      </c>
      <c r="B99" s="245" t="s">
        <v>1498</v>
      </c>
      <c r="C99" s="302">
        <f t="shared" si="14"/>
        <v>52392463.173143014</v>
      </c>
      <c r="D99" s="302">
        <f t="shared" si="15"/>
        <v>12879850.799999995</v>
      </c>
      <c r="E99" s="302">
        <f t="shared" si="16"/>
        <v>39512612.373143017</v>
      </c>
      <c r="F99" s="472">
        <f>'27-Allocators'!$D$36</f>
        <v>0.47483740998153495</v>
      </c>
      <c r="G99" s="467">
        <f t="shared" si="18"/>
        <v>24877901.515688181</v>
      </c>
      <c r="H99" s="467">
        <f t="shared" si="19"/>
        <v>6115834.9948205985</v>
      </c>
      <c r="I99" s="467">
        <f t="shared" si="20"/>
        <v>18762066.520867582</v>
      </c>
      <c r="J99" s="305" t="s">
        <v>1533</v>
      </c>
    </row>
    <row r="100" spans="1:11">
      <c r="A100" s="2">
        <f t="shared" si="17"/>
        <v>74</v>
      </c>
      <c r="B100" s="245" t="s">
        <v>1499</v>
      </c>
      <c r="C100" s="302">
        <f t="shared" si="14"/>
        <v>1002959.4199999999</v>
      </c>
      <c r="D100" s="302">
        <f t="shared" si="15"/>
        <v>0</v>
      </c>
      <c r="E100" s="302">
        <f t="shared" si="16"/>
        <v>1002959.4199999999</v>
      </c>
      <c r="F100" s="472">
        <v>1</v>
      </c>
      <c r="G100" s="467">
        <f t="shared" si="18"/>
        <v>1002959.4199999999</v>
      </c>
      <c r="H100" s="467">
        <f t="shared" si="19"/>
        <v>0</v>
      </c>
      <c r="I100" s="467">
        <f t="shared" si="20"/>
        <v>1002959.4199999999</v>
      </c>
      <c r="J100" s="623" t="s">
        <v>1531</v>
      </c>
    </row>
    <row r="101" spans="1:11">
      <c r="A101" s="2">
        <f t="shared" si="17"/>
        <v>75</v>
      </c>
      <c r="B101" s="245" t="s">
        <v>1500</v>
      </c>
      <c r="C101" s="302">
        <f t="shared" si="14"/>
        <v>872108.83000000066</v>
      </c>
      <c r="D101" s="302">
        <f t="shared" si="15"/>
        <v>442800.02000000037</v>
      </c>
      <c r="E101" s="302">
        <f t="shared" si="16"/>
        <v>429308.81000000029</v>
      </c>
      <c r="F101" s="472">
        <f>'27-Allocators'!$D$42</f>
        <v>1.9589296066884313E-2</v>
      </c>
      <c r="G101" s="467">
        <f t="shared" si="18"/>
        <v>17083.998073414092</v>
      </c>
      <c r="H101" s="467">
        <f t="shared" si="19"/>
        <v>8674.1406902023027</v>
      </c>
      <c r="I101" s="467">
        <f t="shared" si="20"/>
        <v>8409.8573832117909</v>
      </c>
      <c r="J101" s="305" t="s">
        <v>1534</v>
      </c>
    </row>
    <row r="102" spans="1:11">
      <c r="A102" s="2">
        <f t="shared" si="17"/>
        <v>76</v>
      </c>
      <c r="B102" s="245" t="s">
        <v>1501</v>
      </c>
      <c r="C102" s="302">
        <f t="shared" si="14"/>
        <v>37.909999999999997</v>
      </c>
      <c r="D102" s="302">
        <f t="shared" si="15"/>
        <v>0</v>
      </c>
      <c r="E102" s="302">
        <f t="shared" si="16"/>
        <v>37.909999999999997</v>
      </c>
      <c r="F102" s="472">
        <v>1</v>
      </c>
      <c r="G102" s="467">
        <f t="shared" si="18"/>
        <v>37.909999999999997</v>
      </c>
      <c r="H102" s="467">
        <f t="shared" si="19"/>
        <v>0</v>
      </c>
      <c r="I102" s="467">
        <f t="shared" si="20"/>
        <v>37.909999999999997</v>
      </c>
      <c r="J102" s="623" t="s">
        <v>1531</v>
      </c>
    </row>
    <row r="103" spans="1:11">
      <c r="A103" s="2">
        <f t="shared" si="17"/>
        <v>77</v>
      </c>
      <c r="B103" s="245" t="s">
        <v>1502</v>
      </c>
      <c r="C103" s="302">
        <f t="shared" si="14"/>
        <v>3909380.8625784172</v>
      </c>
      <c r="D103" s="302">
        <f t="shared" si="15"/>
        <v>1625726.1100000003</v>
      </c>
      <c r="E103" s="302">
        <f t="shared" si="16"/>
        <v>2283654.7525784168</v>
      </c>
      <c r="F103" s="472">
        <f>'27-Allocators'!$D$48</f>
        <v>0.4035703833772315</v>
      </c>
      <c r="G103" s="467">
        <f t="shared" si="18"/>
        <v>1577710.3334783837</v>
      </c>
      <c r="H103" s="467">
        <f t="shared" si="19"/>
        <v>656094.90947907534</v>
      </c>
      <c r="I103" s="467">
        <f t="shared" si="20"/>
        <v>921615.42399930838</v>
      </c>
      <c r="J103" s="305" t="s">
        <v>1530</v>
      </c>
    </row>
    <row r="104" spans="1:11">
      <c r="A104" s="2">
        <f t="shared" si="17"/>
        <v>78</v>
      </c>
      <c r="B104" s="245" t="s">
        <v>815</v>
      </c>
      <c r="C104" s="633" t="s">
        <v>373</v>
      </c>
      <c r="D104" s="633" t="s">
        <v>373</v>
      </c>
      <c r="E104" s="633" t="s">
        <v>373</v>
      </c>
      <c r="F104" s="633" t="s">
        <v>373</v>
      </c>
      <c r="G104" s="633" t="s">
        <v>373</v>
      </c>
      <c r="H104" s="633" t="s">
        <v>373</v>
      </c>
      <c r="I104" s="633" t="s">
        <v>373</v>
      </c>
    </row>
    <row r="105" spans="1:11">
      <c r="A105" s="2">
        <f t="shared" si="17"/>
        <v>79</v>
      </c>
      <c r="B105" s="245" t="s">
        <v>1535</v>
      </c>
      <c r="C105" s="464">
        <f>K42</f>
        <v>-2179237.8051492469</v>
      </c>
      <c r="D105" s="464">
        <f>L42</f>
        <v>-2179237.8051492469</v>
      </c>
      <c r="E105" s="464">
        <f>M42</f>
        <v>0</v>
      </c>
      <c r="F105" s="469"/>
      <c r="G105" s="470">
        <f>SUM(H105:I105)</f>
        <v>-935848.59009126655</v>
      </c>
      <c r="H105" s="470">
        <f>D105*C149</f>
        <v>-935848.59009126655</v>
      </c>
      <c r="I105" s="470">
        <v>0</v>
      </c>
    </row>
    <row r="106" spans="1:11">
      <c r="A106" s="2">
        <f t="shared" si="17"/>
        <v>80</v>
      </c>
      <c r="B106" s="128" t="s">
        <v>1536</v>
      </c>
      <c r="C106" s="461">
        <f>SUM(C74:C105)</f>
        <v>225538543.35730016</v>
      </c>
      <c r="D106" s="461">
        <f>SUM(D74:D105)</f>
        <v>93142704.044850707</v>
      </c>
      <c r="E106" s="461">
        <f>SUM(E74:E105)</f>
        <v>132395839.31244956</v>
      </c>
      <c r="F106" s="471"/>
      <c r="G106" s="461">
        <f>SUM(G74:G105)</f>
        <v>105996728.55320503</v>
      </c>
      <c r="H106" s="461">
        <f>SUM(H74:H105)</f>
        <v>39999062.081107713</v>
      </c>
      <c r="I106" s="461">
        <f>SUM(I74:I105)</f>
        <v>65997666.472097285</v>
      </c>
      <c r="K106" s="302"/>
    </row>
    <row r="107" spans="1:11">
      <c r="A107" s="2">
        <f t="shared" si="17"/>
        <v>81</v>
      </c>
      <c r="C107" s="302"/>
      <c r="D107" s="302"/>
      <c r="E107" s="302"/>
      <c r="F107" s="471"/>
      <c r="G107" s="472"/>
      <c r="H107" s="467"/>
      <c r="I107" s="467"/>
      <c r="J107" s="467"/>
      <c r="K107" s="302"/>
    </row>
    <row r="108" spans="1:11">
      <c r="A108" s="2"/>
      <c r="B108" s="128"/>
      <c r="C108" s="224"/>
      <c r="D108" s="224"/>
      <c r="E108" s="224"/>
      <c r="F108" s="225"/>
      <c r="G108" s="226"/>
      <c r="H108" s="224"/>
      <c r="I108" s="224"/>
      <c r="J108" s="224"/>
    </row>
    <row r="109" spans="1:11">
      <c r="A109" s="2"/>
      <c r="B109" s="48" t="s">
        <v>329</v>
      </c>
      <c r="C109" s="216" t="s">
        <v>330</v>
      </c>
      <c r="D109" s="216" t="s">
        <v>331</v>
      </c>
      <c r="E109" s="216" t="s">
        <v>332</v>
      </c>
      <c r="F109" s="216" t="s">
        <v>333</v>
      </c>
      <c r="G109" s="216" t="s">
        <v>334</v>
      </c>
      <c r="H109" s="216" t="s">
        <v>335</v>
      </c>
      <c r="I109" s="216" t="s">
        <v>336</v>
      </c>
      <c r="J109" s="216" t="s">
        <v>337</v>
      </c>
    </row>
    <row r="110" spans="1:11">
      <c r="A110" s="2"/>
      <c r="C110" s="243" t="s">
        <v>1521</v>
      </c>
      <c r="D110" s="243" t="s">
        <v>1522</v>
      </c>
      <c r="E110" s="243" t="s">
        <v>1523</v>
      </c>
      <c r="F110" s="446" t="s">
        <v>126</v>
      </c>
      <c r="G110" s="632" t="s">
        <v>1454</v>
      </c>
      <c r="H110" s="632" t="s">
        <v>1524</v>
      </c>
      <c r="I110" s="632" t="s">
        <v>1525</v>
      </c>
    </row>
    <row r="111" spans="1:11">
      <c r="A111" s="2"/>
      <c r="H111" s="243"/>
      <c r="I111" s="243"/>
    </row>
    <row r="112" spans="1:11">
      <c r="A112" s="2"/>
      <c r="B112" s="1115" t="s">
        <v>1459</v>
      </c>
      <c r="C112" s="1116" t="s">
        <v>1462</v>
      </c>
      <c r="D112" s="1114"/>
      <c r="E112" s="1117"/>
      <c r="F112" s="222" t="s">
        <v>1526</v>
      </c>
      <c r="G112" s="1116" t="s">
        <v>1527</v>
      </c>
      <c r="H112" s="1114"/>
      <c r="I112" s="1117"/>
      <c r="J112" s="493" t="s">
        <v>1528</v>
      </c>
    </row>
    <row r="113" spans="1:10">
      <c r="A113" s="2"/>
      <c r="B113" s="1115"/>
      <c r="C113" s="218" t="s">
        <v>244</v>
      </c>
      <c r="D113" s="218" t="s">
        <v>797</v>
      </c>
      <c r="E113" s="218" t="s">
        <v>1463</v>
      </c>
      <c r="F113" s="222" t="s">
        <v>1529</v>
      </c>
      <c r="G113" s="218" t="s">
        <v>244</v>
      </c>
      <c r="H113" s="218" t="s">
        <v>797</v>
      </c>
      <c r="I113" s="218" t="s">
        <v>1463</v>
      </c>
      <c r="J113" s="218" t="s">
        <v>246</v>
      </c>
    </row>
    <row r="114" spans="1:10" ht="12.75" customHeight="1">
      <c r="A114" s="2"/>
      <c r="B114" s="148" t="s">
        <v>1506</v>
      </c>
      <c r="C114" s="302"/>
      <c r="D114" s="302"/>
      <c r="E114" s="302"/>
      <c r="F114" s="471"/>
      <c r="G114" s="472"/>
      <c r="H114" s="467"/>
      <c r="I114" s="467"/>
      <c r="J114" s="467"/>
    </row>
    <row r="115" spans="1:10" ht="12.75" customHeight="1">
      <c r="A115" s="2">
        <f>A107+1</f>
        <v>82</v>
      </c>
      <c r="B115" s="245" t="s">
        <v>1507</v>
      </c>
      <c r="C115" s="302">
        <f t="shared" ref="C115:E118" si="24">J52</f>
        <v>41268200.579999916</v>
      </c>
      <c r="D115" s="302">
        <f t="shared" si="24"/>
        <v>30190942.439999927</v>
      </c>
      <c r="E115" s="302">
        <f t="shared" si="24"/>
        <v>11077258.139999991</v>
      </c>
      <c r="F115" s="472">
        <f>'27-Allocators'!$D$54</f>
        <v>0</v>
      </c>
      <c r="G115" s="467">
        <f>SUM(H115:I115)</f>
        <v>0</v>
      </c>
      <c r="H115" s="467">
        <f>D115*F115</f>
        <v>0</v>
      </c>
      <c r="I115" s="467">
        <f>E115*F115</f>
        <v>0</v>
      </c>
      <c r="J115" s="305" t="s">
        <v>1537</v>
      </c>
    </row>
    <row r="116" spans="1:10" ht="12.75" customHeight="1">
      <c r="A116" s="2">
        <f t="shared" ref="A116:A124" si="25">A115+1</f>
        <v>83</v>
      </c>
      <c r="B116" s="245" t="s">
        <v>1508</v>
      </c>
      <c r="C116" s="302">
        <f t="shared" si="24"/>
        <v>1133009.6499999999</v>
      </c>
      <c r="D116" s="302">
        <f t="shared" si="24"/>
        <v>898106.14</v>
      </c>
      <c r="E116" s="302">
        <f t="shared" si="24"/>
        <v>234903.50999999992</v>
      </c>
      <c r="F116" s="472">
        <f>'27-Allocators'!$D$54</f>
        <v>0</v>
      </c>
      <c r="G116" s="467">
        <f>SUM(H116:I116)</f>
        <v>0</v>
      </c>
      <c r="H116" s="467">
        <f t="shared" ref="H116:H119" si="26">D116*F116</f>
        <v>0</v>
      </c>
      <c r="I116" s="467">
        <f t="shared" ref="I116:I119" si="27">E116*F116</f>
        <v>0</v>
      </c>
      <c r="J116" s="305" t="s">
        <v>1537</v>
      </c>
    </row>
    <row r="117" spans="1:10" ht="12.75" customHeight="1">
      <c r="A117" s="2">
        <f t="shared" si="25"/>
        <v>84</v>
      </c>
      <c r="B117" s="245" t="s">
        <v>1509</v>
      </c>
      <c r="C117" s="302">
        <f t="shared" si="24"/>
        <v>36905.409999999996</v>
      </c>
      <c r="D117" s="302">
        <f t="shared" si="24"/>
        <v>8729.279999999997</v>
      </c>
      <c r="E117" s="302">
        <f t="shared" si="24"/>
        <v>28176.129999999997</v>
      </c>
      <c r="F117" s="472">
        <f>'27-Allocators'!$D$54</f>
        <v>0</v>
      </c>
      <c r="G117" s="467">
        <f t="shared" ref="G117:G119" si="28">SUM(H117:I117)</f>
        <v>0</v>
      </c>
      <c r="H117" s="467">
        <f t="shared" si="26"/>
        <v>0</v>
      </c>
      <c r="I117" s="467">
        <f t="shared" si="27"/>
        <v>0</v>
      </c>
      <c r="J117" s="305" t="s">
        <v>1537</v>
      </c>
    </row>
    <row r="118" spans="1:10" ht="12.75" customHeight="1">
      <c r="A118" s="2">
        <f t="shared" si="25"/>
        <v>85</v>
      </c>
      <c r="B118" s="245" t="s">
        <v>1510</v>
      </c>
      <c r="C118" s="302">
        <f t="shared" si="24"/>
        <v>6761108.9400000069</v>
      </c>
      <c r="D118" s="302">
        <f t="shared" si="24"/>
        <v>3895654.1000000015</v>
      </c>
      <c r="E118" s="302">
        <f t="shared" si="24"/>
        <v>2865454.8400000054</v>
      </c>
      <c r="F118" s="472">
        <f>'27-Allocators'!$D$54</f>
        <v>0</v>
      </c>
      <c r="G118" s="467">
        <f t="shared" si="28"/>
        <v>0</v>
      </c>
      <c r="H118" s="467">
        <f t="shared" si="26"/>
        <v>0</v>
      </c>
      <c r="I118" s="467">
        <f t="shared" si="27"/>
        <v>0</v>
      </c>
      <c r="J118" s="305" t="s">
        <v>1537</v>
      </c>
    </row>
    <row r="119" spans="1:10" ht="12.75" customHeight="1">
      <c r="A119" s="620">
        <f t="shared" si="25"/>
        <v>86</v>
      </c>
      <c r="B119" s="473" t="s">
        <v>1511</v>
      </c>
      <c r="C119" s="474">
        <f t="shared" ref="C119:E120" si="29">J56</f>
        <v>959517335.80000043</v>
      </c>
      <c r="D119" s="619">
        <f t="shared" si="29"/>
        <v>294559040.42999995</v>
      </c>
      <c r="E119" s="619">
        <f t="shared" si="29"/>
        <v>664958295.37000048</v>
      </c>
      <c r="F119" s="621">
        <v>0</v>
      </c>
      <c r="G119" s="467">
        <f t="shared" si="28"/>
        <v>0</v>
      </c>
      <c r="H119" s="467">
        <f t="shared" si="26"/>
        <v>0</v>
      </c>
      <c r="I119" s="467">
        <f t="shared" si="27"/>
        <v>0</v>
      </c>
      <c r="J119" s="634" t="s">
        <v>1532</v>
      </c>
    </row>
    <row r="120" spans="1:10" ht="12.75" customHeight="1">
      <c r="A120" s="2">
        <f t="shared" si="25"/>
        <v>87</v>
      </c>
      <c r="B120" s="245" t="s">
        <v>1538</v>
      </c>
      <c r="C120" s="464">
        <f t="shared" si="29"/>
        <v>-7517949.1619003443</v>
      </c>
      <c r="D120" s="464">
        <f t="shared" si="29"/>
        <v>-7517949.1619003443</v>
      </c>
      <c r="E120" s="464">
        <f t="shared" si="29"/>
        <v>0</v>
      </c>
      <c r="F120" s="622">
        <v>0</v>
      </c>
      <c r="G120" s="470">
        <f>SUM(H120:I120)</f>
        <v>0</v>
      </c>
      <c r="H120" s="470">
        <f>D120*F120</f>
        <v>0</v>
      </c>
      <c r="I120" s="470">
        <f>E120*F120</f>
        <v>0</v>
      </c>
      <c r="J120" s="494" t="s">
        <v>1532</v>
      </c>
    </row>
    <row r="121" spans="1:10">
      <c r="A121" s="2">
        <f t="shared" si="25"/>
        <v>88</v>
      </c>
      <c r="B121" s="128" t="s">
        <v>1539</v>
      </c>
      <c r="C121" s="302">
        <f>SUM(C115:C120)</f>
        <v>1001198611.2181</v>
      </c>
      <c r="D121" s="302">
        <f>SUM(D115:D120)</f>
        <v>322034523.22809952</v>
      </c>
      <c r="E121" s="302">
        <f>SUM(E115:E120)</f>
        <v>679164087.99000049</v>
      </c>
      <c r="F121" s="225"/>
      <c r="G121" s="461">
        <f>SUM(G115:G120)</f>
        <v>0</v>
      </c>
      <c r="H121" s="461">
        <f>SUM(H115:H120)</f>
        <v>0</v>
      </c>
      <c r="I121" s="461">
        <f>SUM(I115:I120)</f>
        <v>0</v>
      </c>
    </row>
    <row r="122" spans="1:10">
      <c r="A122" s="2">
        <f t="shared" si="25"/>
        <v>89</v>
      </c>
      <c r="B122" s="828"/>
      <c r="C122" s="829"/>
      <c r="D122" s="829"/>
      <c r="E122" s="829"/>
      <c r="F122" s="830"/>
      <c r="G122" s="831"/>
      <c r="H122" s="832"/>
      <c r="I122" s="831"/>
      <c r="J122" s="833"/>
    </row>
    <row r="123" spans="1:10">
      <c r="A123" s="2">
        <f t="shared" si="25"/>
        <v>90</v>
      </c>
      <c r="C123" s="302"/>
      <c r="D123" s="302"/>
      <c r="E123" s="302"/>
      <c r="F123" s="471"/>
      <c r="G123" s="467"/>
      <c r="H123" s="467"/>
      <c r="I123" s="467"/>
    </row>
    <row r="124" spans="1:10">
      <c r="A124" s="2">
        <f t="shared" si="25"/>
        <v>91</v>
      </c>
      <c r="B124" s="128" t="s">
        <v>1540</v>
      </c>
      <c r="C124" s="302">
        <f>+C106+C121</f>
        <v>1226737154.5754001</v>
      </c>
      <c r="D124" s="302">
        <f>+D106+D121</f>
        <v>415177227.27295023</v>
      </c>
      <c r="E124" s="302">
        <f>+E106+E121</f>
        <v>811559927.30245006</v>
      </c>
      <c r="F124" s="19"/>
      <c r="G124" s="467">
        <f>+G106+G121</f>
        <v>105996728.55320503</v>
      </c>
      <c r="H124" s="302">
        <f>+H106+H121</f>
        <v>39999062.081107713</v>
      </c>
      <c r="I124" s="302">
        <f>+I106+I121</f>
        <v>65997666.472097285</v>
      </c>
    </row>
    <row r="125" spans="1:10">
      <c r="A125" s="2">
        <f>A124+1</f>
        <v>92</v>
      </c>
      <c r="B125" s="243" t="str">
        <f>"Line "&amp;A106&amp;" + Line "&amp;A121&amp;""</f>
        <v>Line 80 + Line 88</v>
      </c>
      <c r="C125" s="829"/>
      <c r="D125" s="829"/>
      <c r="E125" s="829"/>
      <c r="F125" s="829"/>
      <c r="G125" s="829"/>
      <c r="H125" s="829"/>
      <c r="I125" s="829"/>
    </row>
    <row r="127" spans="1:10">
      <c r="B127" s="227" t="s">
        <v>226</v>
      </c>
    </row>
    <row r="128" spans="1:10">
      <c r="B128" s="475" t="s">
        <v>1541</v>
      </c>
      <c r="H128" s="476"/>
      <c r="I128" s="476"/>
    </row>
    <row r="129" spans="2:10">
      <c r="B129" s="477" t="s">
        <v>1542</v>
      </c>
      <c r="H129" s="476"/>
      <c r="I129" s="476"/>
    </row>
    <row r="130" spans="2:10">
      <c r="B130" s="478" t="s">
        <v>1543</v>
      </c>
      <c r="H130" s="476"/>
      <c r="I130" s="476"/>
    </row>
    <row r="131" spans="2:10">
      <c r="B131" s="304" t="s">
        <v>1544</v>
      </c>
      <c r="H131" s="476"/>
      <c r="I131" s="476"/>
    </row>
    <row r="132" spans="2:10">
      <c r="B132" s="304" t="s">
        <v>1545</v>
      </c>
      <c r="H132" s="476"/>
      <c r="I132" s="476"/>
    </row>
    <row r="133" spans="2:10">
      <c r="B133" s="304" t="s">
        <v>1546</v>
      </c>
      <c r="H133" s="476"/>
      <c r="I133" s="476"/>
    </row>
    <row r="134" spans="2:10">
      <c r="B134" s="495" t="s">
        <v>1547</v>
      </c>
      <c r="H134" s="476"/>
      <c r="I134" s="476"/>
    </row>
    <row r="135" spans="2:10">
      <c r="B135" s="304" t="s">
        <v>2900</v>
      </c>
      <c r="H135" s="476"/>
      <c r="I135" s="476"/>
    </row>
    <row r="136" spans="2:10">
      <c r="B136" s="304" t="s">
        <v>1548</v>
      </c>
      <c r="H136" s="476"/>
      <c r="I136" s="476"/>
    </row>
    <row r="137" spans="2:10">
      <c r="B137" s="789"/>
      <c r="C137" s="316"/>
      <c r="D137" s="316"/>
      <c r="E137" s="450"/>
      <c r="F137" s="450"/>
      <c r="G137" s="790"/>
      <c r="H137" s="791"/>
      <c r="I137" s="791"/>
      <c r="J137" s="450"/>
    </row>
    <row r="138" spans="2:10">
      <c r="B138" s="243" t="s">
        <v>1549</v>
      </c>
      <c r="H138" s="476"/>
      <c r="I138" s="476"/>
    </row>
    <row r="139" spans="2:10">
      <c r="B139" s="243" t="s">
        <v>1550</v>
      </c>
      <c r="H139" s="476"/>
      <c r="I139" s="476"/>
    </row>
    <row r="140" spans="2:10">
      <c r="H140" s="476"/>
      <c r="I140" s="476"/>
    </row>
    <row r="141" spans="2:10">
      <c r="B141" s="256" t="s">
        <v>1551</v>
      </c>
      <c r="C141" s="819">
        <v>47</v>
      </c>
      <c r="H141" s="476"/>
      <c r="I141" s="476"/>
    </row>
    <row r="142" spans="2:10">
      <c r="H142" s="476"/>
      <c r="I142" s="476"/>
    </row>
    <row r="143" spans="2:10">
      <c r="B143" s="479"/>
      <c r="C143" s="18" t="s">
        <v>504</v>
      </c>
      <c r="D143" s="18" t="s">
        <v>463</v>
      </c>
      <c r="H143" s="476"/>
      <c r="I143" s="476"/>
    </row>
    <row r="144" spans="2:10">
      <c r="B144" s="479" t="s">
        <v>1552</v>
      </c>
      <c r="C144" s="480">
        <f>D43/D60</f>
        <v>0.22472886338627426</v>
      </c>
      <c r="D144" s="479" t="str">
        <f>"Line "&amp;A43&amp;", Col 3 / Line "&amp;A60&amp;", Col 3"</f>
        <v>Line 33, Col 3 / Line 43, Col 3</v>
      </c>
      <c r="H144" s="476"/>
      <c r="I144" s="476"/>
    </row>
    <row r="145" spans="2:11">
      <c r="B145" s="479" t="s">
        <v>1553</v>
      </c>
      <c r="C145" s="480">
        <f>D58/D60</f>
        <v>0.77527113661372571</v>
      </c>
      <c r="D145" s="479" t="str">
        <f>"Line "&amp;A58&amp;", Col 3 / Line "&amp;A60&amp;", Col 3"</f>
        <v>Line 41, Col 3 / Line 43, Col 3</v>
      </c>
      <c r="H145" s="476"/>
      <c r="I145" s="476"/>
    </row>
    <row r="146" spans="2:11">
      <c r="H146" s="476"/>
      <c r="I146" s="476"/>
    </row>
    <row r="147" spans="2:11">
      <c r="B147" s="243" t="s">
        <v>1554</v>
      </c>
      <c r="H147" s="476"/>
      <c r="I147" s="476"/>
    </row>
    <row r="148" spans="2:11">
      <c r="B148" s="243" t="s">
        <v>1555</v>
      </c>
      <c r="H148" s="476"/>
      <c r="I148" s="476"/>
    </row>
    <row r="149" spans="2:11">
      <c r="B149" s="243" t="s">
        <v>1556</v>
      </c>
      <c r="C149" s="496">
        <f>(SUM(H74:H103)/SUM(D74:D103))</f>
        <v>0.42943848894323589</v>
      </c>
      <c r="H149" s="476"/>
      <c r="I149" s="476"/>
    </row>
    <row r="150" spans="2:11">
      <c r="B150" s="243" t="s">
        <v>1557</v>
      </c>
      <c r="H150" s="476"/>
      <c r="I150" s="476"/>
    </row>
    <row r="151" spans="2:11">
      <c r="B151" s="243" t="s">
        <v>1558</v>
      </c>
      <c r="H151" s="476"/>
      <c r="I151" s="476"/>
    </row>
    <row r="152" spans="2:11">
      <c r="B152" s="243" t="s">
        <v>1559</v>
      </c>
      <c r="H152" s="476"/>
      <c r="I152" s="476"/>
    </row>
    <row r="153" spans="2:11">
      <c r="B153" s="305" t="s">
        <v>1560</v>
      </c>
      <c r="C153" s="305"/>
      <c r="D153" s="305"/>
      <c r="E153" s="305"/>
      <c r="F153" s="305"/>
      <c r="G153" s="339"/>
      <c r="H153" s="822"/>
      <c r="I153" s="822"/>
      <c r="J153" s="305"/>
      <c r="K153" s="305"/>
    </row>
    <row r="154" spans="2:11">
      <c r="B154" s="243" t="s">
        <v>1561</v>
      </c>
    </row>
    <row r="155" spans="2:11">
      <c r="B155" s="243" t="s">
        <v>1562</v>
      </c>
    </row>
  </sheetData>
  <mergeCells count="13">
    <mergeCell ref="J49:L49"/>
    <mergeCell ref="G112:I112"/>
    <mergeCell ref="G71:I71"/>
    <mergeCell ref="B112:B113"/>
    <mergeCell ref="C112:E112"/>
    <mergeCell ref="B8:B9"/>
    <mergeCell ref="C8:E8"/>
    <mergeCell ref="G8:I8"/>
    <mergeCell ref="B71:B72"/>
    <mergeCell ref="C71:E71"/>
    <mergeCell ref="B49:B50"/>
    <mergeCell ref="C49:E49"/>
    <mergeCell ref="G49:I49"/>
  </mergeCells>
  <pageMargins left="0.7" right="0.7" top="0.75" bottom="0.75" header="0.3" footer="0.3"/>
  <pageSetup scale="58" orientation="landscape" cellComments="asDisplayed" r:id="rId1"/>
  <headerFooter>
    <oddHeader>&amp;CSchedule 19
Operations and Maintenance
&amp;RTO2025 Annual Update 
Attachment 1</oddHeader>
    <oddFooter>&amp;R&amp;A</oddFooter>
  </headerFooter>
  <rowBreaks count="2" manualBreakCount="2">
    <brk id="65" max="12" man="1"/>
    <brk id="12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4"/>
  <sheetViews>
    <sheetView zoomScaleNormal="100" workbookViewId="0"/>
  </sheetViews>
  <sheetFormatPr defaultRowHeight="12.75"/>
  <cols>
    <col min="1" max="1" width="4.5703125" customWidth="1"/>
    <col min="2" max="2" width="2.5703125" customWidth="1"/>
    <col min="3" max="3" width="8.5703125" customWidth="1"/>
    <col min="4" max="4" width="32.5703125" customWidth="1"/>
    <col min="5" max="5" width="14.5703125" customWidth="1"/>
    <col min="6" max="6" width="15.5703125" customWidth="1"/>
    <col min="7" max="8" width="14.5703125" customWidth="1"/>
    <col min="9" max="9" width="20" customWidth="1"/>
    <col min="10" max="10" width="15.5703125" customWidth="1"/>
    <col min="11" max="11" width="11.85546875" bestFit="1" customWidth="1"/>
  </cols>
  <sheetData>
    <row r="1" spans="1:24">
      <c r="A1" s="1" t="s">
        <v>45</v>
      </c>
      <c r="F1" s="27" t="s">
        <v>628</v>
      </c>
      <c r="G1" s="54"/>
      <c r="H1" s="37"/>
      <c r="I1" s="37"/>
    </row>
    <row r="2" spans="1:24">
      <c r="A2" s="1"/>
      <c r="G2" s="233" t="s">
        <v>193</v>
      </c>
      <c r="H2" s="1075" t="s">
        <v>2944</v>
      </c>
      <c r="I2" s="84"/>
    </row>
    <row r="3" spans="1:24">
      <c r="E3" s="48" t="s">
        <v>329</v>
      </c>
      <c r="F3" s="48" t="s">
        <v>330</v>
      </c>
      <c r="G3" s="48" t="s">
        <v>331</v>
      </c>
      <c r="H3" s="48" t="s">
        <v>1563</v>
      </c>
      <c r="I3" s="48" t="s">
        <v>332</v>
      </c>
      <c r="J3" s="37"/>
    </row>
    <row r="4" spans="1:24">
      <c r="E4" s="848"/>
      <c r="G4" s="37" t="s">
        <v>569</v>
      </c>
      <c r="H4" s="236" t="s">
        <v>343</v>
      </c>
      <c r="I4" s="241" t="s">
        <v>1564</v>
      </c>
    </row>
    <row r="5" spans="1:24">
      <c r="E5" s="2" t="s">
        <v>1565</v>
      </c>
      <c r="F5" s="19" t="s">
        <v>651</v>
      </c>
      <c r="G5" s="2" t="s">
        <v>1566</v>
      </c>
      <c r="H5" s="2" t="s">
        <v>1567</v>
      </c>
      <c r="J5" s="2"/>
    </row>
    <row r="6" spans="1:24">
      <c r="A6" s="32" t="s">
        <v>99</v>
      </c>
      <c r="B6" s="3"/>
      <c r="C6" s="3" t="s">
        <v>1568</v>
      </c>
      <c r="D6" s="3" t="s">
        <v>806</v>
      </c>
      <c r="E6" s="3" t="s">
        <v>79</v>
      </c>
      <c r="F6" s="18" t="s">
        <v>644</v>
      </c>
      <c r="G6" s="3" t="s">
        <v>1569</v>
      </c>
      <c r="H6" s="3" t="s">
        <v>243</v>
      </c>
      <c r="I6" s="3" t="s">
        <v>198</v>
      </c>
      <c r="J6" s="3" t="s">
        <v>100</v>
      </c>
      <c r="K6" s="3"/>
      <c r="L6" s="3"/>
      <c r="M6" s="3"/>
      <c r="N6" s="3"/>
      <c r="O6" s="3"/>
      <c r="P6" s="3"/>
      <c r="Q6" s="3"/>
      <c r="R6" s="3"/>
      <c r="S6" s="3"/>
      <c r="T6" s="3"/>
      <c r="U6" s="3"/>
      <c r="V6" s="3"/>
      <c r="W6" s="3"/>
      <c r="X6" s="3"/>
    </row>
    <row r="7" spans="1:24">
      <c r="A7" s="2">
        <v>1</v>
      </c>
      <c r="C7" s="37">
        <v>920</v>
      </c>
      <c r="D7" t="s">
        <v>1570</v>
      </c>
      <c r="E7" s="5">
        <v>543531580</v>
      </c>
      <c r="F7" s="37" t="s">
        <v>1571</v>
      </c>
      <c r="G7" s="6">
        <f>D38</f>
        <v>211997580.59113199</v>
      </c>
      <c r="H7" s="237">
        <f>'35-Other Formula Revenue'!D55</f>
        <v>175078.07266057105</v>
      </c>
      <c r="I7" s="237">
        <f>(E7-G7)+H7</f>
        <v>331709077.48152858</v>
      </c>
      <c r="J7" s="848"/>
    </row>
    <row r="8" spans="1:24">
      <c r="A8" s="2">
        <f>A7+1</f>
        <v>2</v>
      </c>
      <c r="C8" s="37">
        <v>921</v>
      </c>
      <c r="D8" t="s">
        <v>1572</v>
      </c>
      <c r="E8" s="5">
        <v>281278591</v>
      </c>
      <c r="F8" s="37" t="s">
        <v>1573</v>
      </c>
      <c r="G8" s="6">
        <f t="shared" ref="G8:G20" si="0">D39</f>
        <v>2321766.7299999995</v>
      </c>
      <c r="H8" s="237">
        <f>'35-Other Formula Revenue'!D56</f>
        <v>177575.32548941011</v>
      </c>
      <c r="I8" s="237">
        <f t="shared" ref="I8:I20" si="1">(E8-G8)+H8</f>
        <v>279134399.59548938</v>
      </c>
    </row>
    <row r="9" spans="1:24">
      <c r="A9" s="2">
        <f>A8+1</f>
        <v>3</v>
      </c>
      <c r="C9" s="37">
        <v>922</v>
      </c>
      <c r="D9" t="s">
        <v>1574</v>
      </c>
      <c r="E9" s="5">
        <f>-277757127</f>
        <v>-277757127</v>
      </c>
      <c r="F9" s="37" t="s">
        <v>1575</v>
      </c>
      <c r="G9" s="6">
        <f t="shared" si="0"/>
        <v>-110520965.04000001</v>
      </c>
      <c r="H9" s="237">
        <f>'35-Other Formula Revenue'!D57</f>
        <v>-94130.850699584757</v>
      </c>
      <c r="I9" s="237">
        <f t="shared" si="1"/>
        <v>-167330292.81069955</v>
      </c>
      <c r="J9" s="37" t="s">
        <v>1576</v>
      </c>
    </row>
    <row r="10" spans="1:24">
      <c r="A10" s="2">
        <f t="shared" ref="A10:A21" si="2">A9+1</f>
        <v>4</v>
      </c>
      <c r="B10" s="2"/>
      <c r="C10" s="37">
        <v>923</v>
      </c>
      <c r="D10" t="s">
        <v>1577</v>
      </c>
      <c r="E10" s="5">
        <v>40773117</v>
      </c>
      <c r="F10" s="37" t="s">
        <v>1578</v>
      </c>
      <c r="G10" s="6">
        <f t="shared" si="0"/>
        <v>859474.95000000007</v>
      </c>
      <c r="H10" s="237">
        <f>'35-Other Formula Revenue'!D58</f>
        <v>25807.351428883489</v>
      </c>
      <c r="I10" s="237">
        <f t="shared" si="1"/>
        <v>39939449.401428878</v>
      </c>
    </row>
    <row r="11" spans="1:24">
      <c r="A11" s="2">
        <f t="shared" si="2"/>
        <v>5</v>
      </c>
      <c r="B11" s="2"/>
      <c r="C11" s="37">
        <v>924</v>
      </c>
      <c r="D11" t="s">
        <v>1579</v>
      </c>
      <c r="E11" s="5">
        <v>15108429</v>
      </c>
      <c r="F11" s="37" t="s">
        <v>1580</v>
      </c>
      <c r="G11" s="6">
        <f t="shared" si="0"/>
        <v>0</v>
      </c>
      <c r="H11" s="237">
        <f>'35-Other Formula Revenue'!D59</f>
        <v>0</v>
      </c>
      <c r="I11" s="237">
        <f t="shared" si="1"/>
        <v>15108429</v>
      </c>
    </row>
    <row r="12" spans="1:24">
      <c r="A12" s="2">
        <f t="shared" si="2"/>
        <v>6</v>
      </c>
      <c r="B12" s="2"/>
      <c r="C12" s="37">
        <v>925</v>
      </c>
      <c r="D12" t="s">
        <v>1581</v>
      </c>
      <c r="E12" s="5">
        <v>1252305783</v>
      </c>
      <c r="F12" s="37" t="s">
        <v>1582</v>
      </c>
      <c r="G12" s="6">
        <f t="shared" si="0"/>
        <v>210325190.79999998</v>
      </c>
      <c r="H12" s="237">
        <f>'35-Other Formula Revenue'!D60</f>
        <v>357873.12973398634</v>
      </c>
      <c r="I12" s="237">
        <f t="shared" si="1"/>
        <v>1042338465.3297341</v>
      </c>
    </row>
    <row r="13" spans="1:24">
      <c r="A13" s="2">
        <f t="shared" si="2"/>
        <v>7</v>
      </c>
      <c r="B13" s="2"/>
      <c r="C13" s="37">
        <v>926</v>
      </c>
      <c r="D13" t="s">
        <v>1583</v>
      </c>
      <c r="E13" s="5">
        <v>57140362</v>
      </c>
      <c r="F13" s="37" t="s">
        <v>1584</v>
      </c>
      <c r="G13" s="6">
        <f t="shared" si="0"/>
        <v>5255582.9399999995</v>
      </c>
      <c r="H13" s="237">
        <f>'35-Other Formula Revenue'!D61</f>
        <v>30376.58562086922</v>
      </c>
      <c r="I13" s="237">
        <f t="shared" si="1"/>
        <v>51915155.645620875</v>
      </c>
    </row>
    <row r="14" spans="1:24">
      <c r="A14" s="2">
        <f t="shared" si="2"/>
        <v>8</v>
      </c>
      <c r="B14" s="2"/>
      <c r="C14" s="37">
        <v>927</v>
      </c>
      <c r="D14" t="s">
        <v>1585</v>
      </c>
      <c r="E14" s="5">
        <v>144054709</v>
      </c>
      <c r="F14" s="37" t="s">
        <v>1586</v>
      </c>
      <c r="G14" s="6">
        <f t="shared" si="0"/>
        <v>144054709</v>
      </c>
      <c r="H14" s="237">
        <f>'35-Other Formula Revenue'!D62</f>
        <v>32387.361087323825</v>
      </c>
      <c r="I14" s="237">
        <f>(E14-G14)+H14-H14</f>
        <v>0</v>
      </c>
      <c r="J14" s="281" t="s">
        <v>1587</v>
      </c>
      <c r="L14" s="848"/>
    </row>
    <row r="15" spans="1:24">
      <c r="A15" s="2">
        <f t="shared" si="2"/>
        <v>9</v>
      </c>
      <c r="B15" s="2"/>
      <c r="C15" s="37">
        <v>928</v>
      </c>
      <c r="D15" s="235" t="s">
        <v>1588</v>
      </c>
      <c r="E15" s="5">
        <v>13597746</v>
      </c>
      <c r="F15" s="37" t="s">
        <v>1589</v>
      </c>
      <c r="G15" s="6">
        <f t="shared" si="0"/>
        <v>8695833.0599999987</v>
      </c>
      <c r="H15" s="237">
        <f>'35-Other Formula Revenue'!D63</f>
        <v>456.00444789714527</v>
      </c>
      <c r="I15" s="237">
        <f t="shared" si="1"/>
        <v>4902368.9444478983</v>
      </c>
    </row>
    <row r="16" spans="1:24">
      <c r="A16" s="2">
        <f t="shared" si="2"/>
        <v>10</v>
      </c>
      <c r="B16" s="2"/>
      <c r="C16" s="37">
        <v>929</v>
      </c>
      <c r="D16" t="s">
        <v>1590</v>
      </c>
      <c r="E16" s="5">
        <v>0</v>
      </c>
      <c r="F16" s="37" t="s">
        <v>1591</v>
      </c>
      <c r="G16" s="6">
        <f t="shared" si="0"/>
        <v>0</v>
      </c>
      <c r="H16" s="237">
        <f>'35-Other Formula Revenue'!D64</f>
        <v>0</v>
      </c>
      <c r="I16" s="237">
        <f t="shared" si="1"/>
        <v>0</v>
      </c>
    </row>
    <row r="17" spans="1:9">
      <c r="A17" s="2">
        <f t="shared" si="2"/>
        <v>11</v>
      </c>
      <c r="B17" s="2"/>
      <c r="C17" s="37">
        <v>930.1</v>
      </c>
      <c r="D17" t="s">
        <v>1592</v>
      </c>
      <c r="E17" s="5">
        <v>13418246</v>
      </c>
      <c r="F17" s="37" t="s">
        <v>1593</v>
      </c>
      <c r="G17" s="6">
        <f t="shared" si="0"/>
        <v>0</v>
      </c>
      <c r="H17" s="237">
        <f>'35-Other Formula Revenue'!D65</f>
        <v>8754.4721743002847</v>
      </c>
      <c r="I17" s="237">
        <f t="shared" si="1"/>
        <v>13427000.4721743</v>
      </c>
    </row>
    <row r="18" spans="1:9">
      <c r="A18" s="2">
        <f t="shared" si="2"/>
        <v>12</v>
      </c>
      <c r="B18" s="2"/>
      <c r="C18" s="37">
        <v>930.2</v>
      </c>
      <c r="D18" t="s">
        <v>1594</v>
      </c>
      <c r="E18" s="5">
        <v>28868554</v>
      </c>
      <c r="F18" s="37" t="s">
        <v>1595</v>
      </c>
      <c r="G18" s="6">
        <f t="shared" si="0"/>
        <v>10946773.950000001</v>
      </c>
      <c r="H18" s="237">
        <f>'35-Other Formula Revenue'!D66</f>
        <v>9875.2261004573793</v>
      </c>
      <c r="I18" s="237">
        <f t="shared" si="1"/>
        <v>17931655.276100453</v>
      </c>
    </row>
    <row r="19" spans="1:9">
      <c r="A19" s="2">
        <f t="shared" si="2"/>
        <v>13</v>
      </c>
      <c r="B19" s="2"/>
      <c r="C19" s="37">
        <v>931</v>
      </c>
      <c r="D19" t="s">
        <v>1596</v>
      </c>
      <c r="E19" s="5">
        <v>8862269</v>
      </c>
      <c r="F19" s="37" t="s">
        <v>1597</v>
      </c>
      <c r="G19" s="6">
        <f t="shared" si="0"/>
        <v>0</v>
      </c>
      <c r="H19" s="237">
        <f>'35-Other Formula Revenue'!D67</f>
        <v>5845.3445302409</v>
      </c>
      <c r="I19" s="237">
        <f t="shared" si="1"/>
        <v>8868114.3445302416</v>
      </c>
    </row>
    <row r="20" spans="1:9">
      <c r="A20" s="2">
        <f t="shared" si="2"/>
        <v>14</v>
      </c>
      <c r="B20" s="2"/>
      <c r="C20" s="37">
        <v>935</v>
      </c>
      <c r="D20" t="s">
        <v>1598</v>
      </c>
      <c r="E20" s="60">
        <v>28179990</v>
      </c>
      <c r="F20" s="37" t="s">
        <v>1599</v>
      </c>
      <c r="G20" s="6">
        <f t="shared" si="0"/>
        <v>775245.39</v>
      </c>
      <c r="H20" s="237">
        <f>'35-Other Formula Revenue'!D68</f>
        <v>14265.869754854435</v>
      </c>
      <c r="I20" s="53">
        <f t="shared" si="1"/>
        <v>27419010.479754854</v>
      </c>
    </row>
    <row r="21" spans="1:9">
      <c r="A21" s="2">
        <f t="shared" si="2"/>
        <v>15</v>
      </c>
      <c r="E21" s="6">
        <f>SUM(E7:E20)</f>
        <v>2149362249</v>
      </c>
      <c r="H21" s="233" t="s">
        <v>1600</v>
      </c>
      <c r="I21" s="237">
        <f>SUM(I7:I20)</f>
        <v>1665362833.1601102</v>
      </c>
    </row>
    <row r="23" spans="1:9">
      <c r="F23" s="3" t="s">
        <v>79</v>
      </c>
      <c r="G23" s="3" t="s">
        <v>644</v>
      </c>
      <c r="H23" s="849"/>
      <c r="I23" s="850"/>
    </row>
    <row r="24" spans="1:9">
      <c r="A24" s="2">
        <f>A21+1</f>
        <v>16</v>
      </c>
      <c r="E24" s="233" t="s">
        <v>1601</v>
      </c>
      <c r="F24" s="6">
        <f>I21</f>
        <v>1665362833.1601102</v>
      </c>
      <c r="G24" s="234" t="str">
        <f>"Line "&amp;A21&amp;""</f>
        <v>Line 15</v>
      </c>
    </row>
    <row r="25" spans="1:9">
      <c r="A25" s="2">
        <f t="shared" ref="A25:A31" si="3">A24+1</f>
        <v>17</v>
      </c>
      <c r="E25" s="233" t="s">
        <v>1602</v>
      </c>
      <c r="F25" s="53">
        <f>E11</f>
        <v>15108429</v>
      </c>
      <c r="G25" s="234" t="str">
        <f>"Line "&amp;A11&amp;""</f>
        <v>Line 5</v>
      </c>
    </row>
    <row r="26" spans="1:9">
      <c r="A26" s="2">
        <f t="shared" si="3"/>
        <v>18</v>
      </c>
      <c r="E26" s="233" t="s">
        <v>1603</v>
      </c>
      <c r="F26" s="6">
        <f>F24-F25</f>
        <v>1650254404.1601102</v>
      </c>
      <c r="G26" s="234" t="str">
        <f>"Line "&amp;A24&amp;" - Line "&amp;A25&amp;""</f>
        <v>Line 16 - Line 17</v>
      </c>
    </row>
    <row r="27" spans="1:9">
      <c r="A27" s="2">
        <f t="shared" si="3"/>
        <v>19</v>
      </c>
      <c r="E27" s="25" t="s">
        <v>1604</v>
      </c>
      <c r="F27" s="29">
        <f>'27-Allocators'!G15</f>
        <v>5.8811663225218191E-2</v>
      </c>
      <c r="G27" s="234" t="str">
        <f>"27-Allocators, Line "&amp;'27-Allocators'!A15&amp;""</f>
        <v>27-Allocators, Line 9</v>
      </c>
    </row>
    <row r="28" spans="1:9">
      <c r="A28" s="2">
        <f t="shared" si="3"/>
        <v>20</v>
      </c>
      <c r="E28" s="233" t="s">
        <v>1605</v>
      </c>
      <c r="F28" s="6">
        <f>F26*F27</f>
        <v>97054206.253397509</v>
      </c>
      <c r="G28" s="234" t="str">
        <f>"Line "&amp;A26&amp;" * Line "&amp;A27&amp;""</f>
        <v>Line 18 * Line 19</v>
      </c>
    </row>
    <row r="29" spans="1:9">
      <c r="A29" s="2">
        <f t="shared" si="3"/>
        <v>21</v>
      </c>
      <c r="E29" s="233" t="s">
        <v>1606</v>
      </c>
      <c r="F29" s="7">
        <f>'27-Allocators'!G28</f>
        <v>0.17820337068056696</v>
      </c>
      <c r="G29" s="12" t="str">
        <f>"27-Allocators, Line "&amp;'27-Allocators'!A28&amp;""</f>
        <v>27-Allocators, Line 22</v>
      </c>
    </row>
    <row r="30" spans="1:9">
      <c r="A30" s="2">
        <f t="shared" si="3"/>
        <v>22</v>
      </c>
      <c r="E30" s="233" t="s">
        <v>1607</v>
      </c>
      <c r="F30" s="53">
        <f>I11*F29</f>
        <v>2692372.9734880277</v>
      </c>
      <c r="G30" s="234" t="str">
        <f>"Line "&amp;A11&amp;" Col 4 * Line "&amp;A29&amp;""</f>
        <v>Line 5 Col 4 * Line 21</v>
      </c>
    </row>
    <row r="31" spans="1:9">
      <c r="A31" s="2">
        <f t="shared" si="3"/>
        <v>23</v>
      </c>
      <c r="E31" s="233" t="s">
        <v>1608</v>
      </c>
      <c r="F31" s="237">
        <f>F28+F30</f>
        <v>99746579.226885542</v>
      </c>
      <c r="G31" s="234" t="str">
        <f>"Line "&amp;A28&amp;" + Line "&amp;A30&amp;""</f>
        <v>Line 20 + Line 22</v>
      </c>
    </row>
    <row r="33" spans="1:11">
      <c r="B33" s="1" t="s">
        <v>1609</v>
      </c>
      <c r="E33" s="48" t="s">
        <v>329</v>
      </c>
      <c r="F33" s="48" t="s">
        <v>330</v>
      </c>
      <c r="G33" s="48" t="s">
        <v>331</v>
      </c>
      <c r="H33" s="48" t="s">
        <v>332</v>
      </c>
    </row>
    <row r="34" spans="1:11">
      <c r="B34" s="1"/>
      <c r="C34" s="39" t="s">
        <v>193</v>
      </c>
      <c r="D34" s="1075" t="s">
        <v>2944</v>
      </c>
      <c r="E34" s="2" t="s">
        <v>1610</v>
      </c>
      <c r="F34" s="48"/>
      <c r="G34" s="48"/>
      <c r="H34" s="48"/>
    </row>
    <row r="35" spans="1:11">
      <c r="E35" s="2" t="s">
        <v>1611</v>
      </c>
    </row>
    <row r="36" spans="1:11">
      <c r="D36" s="2" t="s">
        <v>1612</v>
      </c>
      <c r="E36" s="2" t="s">
        <v>1613</v>
      </c>
      <c r="F36" s="2" t="s">
        <v>1614</v>
      </c>
      <c r="G36" s="2"/>
      <c r="H36" s="2"/>
    </row>
    <row r="37" spans="1:11">
      <c r="C37" s="3" t="s">
        <v>1568</v>
      </c>
      <c r="D37" s="48" t="s">
        <v>1615</v>
      </c>
      <c r="E37" s="3" t="s">
        <v>1461</v>
      </c>
      <c r="F37" s="3" t="s">
        <v>1616</v>
      </c>
      <c r="G37" s="3" t="s">
        <v>1617</v>
      </c>
      <c r="H37" s="3" t="s">
        <v>1618</v>
      </c>
      <c r="I37" s="3" t="s">
        <v>100</v>
      </c>
    </row>
    <row r="38" spans="1:11">
      <c r="A38" s="2">
        <f>A31+1</f>
        <v>24</v>
      </c>
      <c r="C38" s="37">
        <v>920</v>
      </c>
      <c r="D38" s="79">
        <f>SUM(E38:H38)</f>
        <v>211997580.59113199</v>
      </c>
      <c r="E38" s="255">
        <v>-8592445.1099999957</v>
      </c>
      <c r="F38" s="59"/>
      <c r="G38" s="6">
        <f>G59</f>
        <v>220590025.70113197</v>
      </c>
      <c r="H38" s="59"/>
      <c r="I38" s="234" t="s">
        <v>1619</v>
      </c>
    </row>
    <row r="39" spans="1:11">
      <c r="A39" s="2">
        <f>A38+1</f>
        <v>25</v>
      </c>
      <c r="C39" s="37">
        <v>921</v>
      </c>
      <c r="D39" s="79">
        <f t="shared" ref="D39:D51" si="4">SUM(E39:H39)</f>
        <v>2321766.7299999995</v>
      </c>
      <c r="E39" s="255">
        <v>2321766.7299999995</v>
      </c>
      <c r="F39" s="59"/>
      <c r="G39" s="59">
        <v>0</v>
      </c>
      <c r="H39" s="59"/>
      <c r="I39" s="12"/>
      <c r="K39" s="237"/>
    </row>
    <row r="40" spans="1:11">
      <c r="A40" s="2">
        <f t="shared" ref="A40:A51" si="5">A39+1</f>
        <v>26</v>
      </c>
      <c r="C40" s="37">
        <v>922</v>
      </c>
      <c r="D40" s="79">
        <f t="shared" si="4"/>
        <v>-110520965.04000001</v>
      </c>
      <c r="E40" s="255">
        <v>-3374778.04</v>
      </c>
      <c r="F40" s="255"/>
      <c r="G40" s="255">
        <v>-107146187</v>
      </c>
      <c r="H40" s="59"/>
      <c r="I40" s="12"/>
      <c r="K40" s="237"/>
    </row>
    <row r="41" spans="1:11">
      <c r="A41" s="2">
        <f t="shared" si="5"/>
        <v>27</v>
      </c>
      <c r="C41" s="37">
        <v>923</v>
      </c>
      <c r="D41" s="79">
        <f t="shared" si="4"/>
        <v>859474.95000000007</v>
      </c>
      <c r="E41" s="255">
        <v>859474.95000000007</v>
      </c>
      <c r="F41" s="59"/>
      <c r="G41" s="59">
        <v>0</v>
      </c>
      <c r="H41" s="59"/>
      <c r="I41" s="12"/>
      <c r="J41" s="3"/>
      <c r="K41" s="237"/>
    </row>
    <row r="42" spans="1:11">
      <c r="A42" s="2">
        <f t="shared" si="5"/>
        <v>28</v>
      </c>
      <c r="C42" s="37">
        <v>924</v>
      </c>
      <c r="D42" s="79">
        <f t="shared" si="4"/>
        <v>0</v>
      </c>
      <c r="E42" s="255">
        <v>0</v>
      </c>
      <c r="F42" s="59"/>
      <c r="G42" s="59">
        <v>0</v>
      </c>
      <c r="H42" s="59"/>
      <c r="I42" s="12"/>
      <c r="K42" s="237"/>
    </row>
    <row r="43" spans="1:11">
      <c r="A43" s="2">
        <f t="shared" si="5"/>
        <v>29</v>
      </c>
      <c r="C43" s="37">
        <v>925</v>
      </c>
      <c r="D43" s="79">
        <f t="shared" si="4"/>
        <v>210325190.79999998</v>
      </c>
      <c r="E43" s="255">
        <v>210325190.79999998</v>
      </c>
      <c r="F43" s="59"/>
      <c r="G43" s="59">
        <v>0</v>
      </c>
      <c r="H43" s="59"/>
      <c r="I43" s="234" t="s">
        <v>1620</v>
      </c>
      <c r="K43" s="237"/>
    </row>
    <row r="44" spans="1:11">
      <c r="A44" s="2">
        <f t="shared" si="5"/>
        <v>30</v>
      </c>
      <c r="C44" s="37">
        <v>926</v>
      </c>
      <c r="D44" s="79">
        <f>SUM(E44:H44)</f>
        <v>5255582.9399999995</v>
      </c>
      <c r="E44" s="255">
        <v>5255582.9399999995</v>
      </c>
      <c r="F44" s="59"/>
      <c r="G44" s="59">
        <v>0</v>
      </c>
      <c r="H44" s="6">
        <f>E72</f>
        <v>0</v>
      </c>
      <c r="I44" s="234" t="s">
        <v>340</v>
      </c>
      <c r="K44" s="237"/>
    </row>
    <row r="45" spans="1:11">
      <c r="A45" s="2">
        <f t="shared" si="5"/>
        <v>31</v>
      </c>
      <c r="C45" s="37">
        <v>927</v>
      </c>
      <c r="D45" s="79">
        <f>SUM(E45:H45)</f>
        <v>144054709</v>
      </c>
      <c r="E45" s="6">
        <v>0</v>
      </c>
      <c r="F45" s="6">
        <f>E14</f>
        <v>144054709</v>
      </c>
      <c r="G45" s="6">
        <v>0</v>
      </c>
      <c r="H45" s="6">
        <v>0</v>
      </c>
      <c r="I45" s="12" t="s">
        <v>341</v>
      </c>
      <c r="K45" s="237"/>
    </row>
    <row r="46" spans="1:11">
      <c r="A46" s="2">
        <f t="shared" si="5"/>
        <v>32</v>
      </c>
      <c r="C46" s="37">
        <v>928</v>
      </c>
      <c r="D46" s="79">
        <f t="shared" si="4"/>
        <v>8695833.0599999987</v>
      </c>
      <c r="E46" s="255">
        <v>8695833.0599999987</v>
      </c>
      <c r="F46" s="117"/>
      <c r="G46" s="317">
        <v>0</v>
      </c>
      <c r="H46" s="59"/>
      <c r="I46" s="12"/>
      <c r="K46" s="6"/>
    </row>
    <row r="47" spans="1:11">
      <c r="A47" s="2">
        <f t="shared" si="5"/>
        <v>33</v>
      </c>
      <c r="C47" s="37">
        <v>929</v>
      </c>
      <c r="D47" s="79">
        <f t="shared" si="4"/>
        <v>0</v>
      </c>
      <c r="E47" s="255">
        <v>0</v>
      </c>
      <c r="F47" s="117"/>
      <c r="G47" s="317">
        <v>0</v>
      </c>
      <c r="H47" s="59"/>
      <c r="I47" s="12"/>
      <c r="K47" s="6"/>
    </row>
    <row r="48" spans="1:11">
      <c r="A48" s="2">
        <f t="shared" si="5"/>
        <v>34</v>
      </c>
      <c r="C48" s="37">
        <v>930.1</v>
      </c>
      <c r="D48" s="79">
        <f t="shared" si="4"/>
        <v>0</v>
      </c>
      <c r="E48" s="255">
        <v>0</v>
      </c>
      <c r="F48" s="255"/>
      <c r="G48" s="317">
        <v>0</v>
      </c>
      <c r="H48" s="59"/>
      <c r="I48" s="12"/>
      <c r="K48" s="6"/>
    </row>
    <row r="49" spans="1:10">
      <c r="A49" s="2">
        <f t="shared" si="5"/>
        <v>35</v>
      </c>
      <c r="C49" s="37">
        <v>930.2</v>
      </c>
      <c r="D49" s="79">
        <f t="shared" si="4"/>
        <v>10946773.950000001</v>
      </c>
      <c r="E49" s="255">
        <v>10946773.950000001</v>
      </c>
      <c r="F49" s="117"/>
      <c r="G49" s="317">
        <v>0</v>
      </c>
      <c r="H49" s="59"/>
      <c r="I49" s="12"/>
      <c r="J49" s="237"/>
    </row>
    <row r="50" spans="1:10">
      <c r="A50" s="2">
        <f t="shared" si="5"/>
        <v>36</v>
      </c>
      <c r="C50" s="37">
        <v>931</v>
      </c>
      <c r="D50" s="79">
        <f t="shared" si="4"/>
        <v>0</v>
      </c>
      <c r="E50" s="255">
        <v>0</v>
      </c>
      <c r="F50" s="117"/>
      <c r="G50" s="317">
        <v>0</v>
      </c>
      <c r="H50" s="59"/>
      <c r="I50" s="12"/>
      <c r="J50" s="6"/>
    </row>
    <row r="51" spans="1:10">
      <c r="A51" s="2">
        <f t="shared" si="5"/>
        <v>37</v>
      </c>
      <c r="C51" s="37">
        <v>935</v>
      </c>
      <c r="D51" s="79">
        <f t="shared" si="4"/>
        <v>775245.39</v>
      </c>
      <c r="E51" s="255">
        <v>775245.39</v>
      </c>
      <c r="F51" s="117"/>
      <c r="G51" s="317">
        <v>0</v>
      </c>
      <c r="H51" s="59"/>
      <c r="I51" s="12"/>
    </row>
    <row r="52" spans="1:10">
      <c r="A52" s="2"/>
      <c r="C52" s="37"/>
      <c r="D52" s="79"/>
      <c r="E52" s="79"/>
      <c r="F52" s="79"/>
      <c r="G52" s="79"/>
      <c r="H52" s="6"/>
      <c r="I52" s="12"/>
    </row>
    <row r="53" spans="1:10">
      <c r="B53" s="1" t="s">
        <v>1621</v>
      </c>
    </row>
    <row r="54" spans="1:10">
      <c r="B54" s="1"/>
      <c r="C54" s="235" t="s">
        <v>1622</v>
      </c>
      <c r="G54" s="2"/>
      <c r="H54" s="2"/>
    </row>
    <row r="55" spans="1:10">
      <c r="B55" s="1"/>
      <c r="C55" s="305" t="s">
        <v>1623</v>
      </c>
      <c r="D55" s="305"/>
      <c r="E55" s="305"/>
      <c r="G55" s="2"/>
      <c r="H55" s="2"/>
    </row>
    <row r="56" spans="1:10">
      <c r="B56" s="1"/>
      <c r="C56" s="39"/>
      <c r="D56" s="39"/>
      <c r="G56" s="3" t="s">
        <v>79</v>
      </c>
      <c r="H56" s="3" t="s">
        <v>644</v>
      </c>
    </row>
    <row r="57" spans="1:10">
      <c r="A57" s="2"/>
      <c r="B57" s="2" t="s">
        <v>508</v>
      </c>
      <c r="C57" s="665"/>
      <c r="F57" s="233" t="s">
        <v>1624</v>
      </c>
      <c r="G57" s="255">
        <v>214292373.43000001</v>
      </c>
      <c r="H57" s="234" t="s">
        <v>887</v>
      </c>
    </row>
    <row r="58" spans="1:10">
      <c r="A58" s="2"/>
      <c r="B58" s="2" t="s">
        <v>511</v>
      </c>
      <c r="C58" s="235"/>
      <c r="F58" s="233" t="s">
        <v>1625</v>
      </c>
      <c r="G58" s="53">
        <f>E62</f>
        <v>-6297652.2711319514</v>
      </c>
      <c r="H58" s="234" t="str">
        <f>"Note 2, "&amp;B62&amp;""</f>
        <v>Note 2, d</v>
      </c>
    </row>
    <row r="59" spans="1:10">
      <c r="A59" s="2"/>
      <c r="B59" s="2" t="s">
        <v>514</v>
      </c>
      <c r="F59" s="233" t="s">
        <v>1626</v>
      </c>
      <c r="G59" s="6">
        <f>G57-G58</f>
        <v>220590025.70113197</v>
      </c>
    </row>
    <row r="60" spans="1:10">
      <c r="A60" s="2"/>
      <c r="C60" s="305" t="s">
        <v>1627</v>
      </c>
      <c r="D60" s="305"/>
      <c r="E60" s="305"/>
      <c r="G60" s="6"/>
    </row>
    <row r="61" spans="1:10">
      <c r="A61" s="2"/>
      <c r="D61" s="30" t="s">
        <v>1628</v>
      </c>
      <c r="E61" s="3" t="s">
        <v>79</v>
      </c>
      <c r="F61" s="3" t="s">
        <v>644</v>
      </c>
      <c r="G61" s="6"/>
    </row>
    <row r="62" spans="1:10">
      <c r="A62" s="2"/>
      <c r="B62" s="2" t="s">
        <v>516</v>
      </c>
      <c r="D62" t="s">
        <v>1629</v>
      </c>
      <c r="E62" s="317">
        <v>-6297652.2711319514</v>
      </c>
      <c r="F62" s="234" t="s">
        <v>1630</v>
      </c>
      <c r="G62" s="6"/>
    </row>
    <row r="63" spans="1:10">
      <c r="A63" s="2"/>
      <c r="B63" s="2" t="s">
        <v>520</v>
      </c>
      <c r="D63" s="235" t="s">
        <v>408</v>
      </c>
      <c r="E63" s="317">
        <v>-2466881.0778684709</v>
      </c>
      <c r="F63" s="234" t="s">
        <v>1630</v>
      </c>
      <c r="G63" s="6"/>
      <c r="I63" s="308"/>
    </row>
    <row r="64" spans="1:10">
      <c r="A64" s="2"/>
      <c r="B64" s="2" t="s">
        <v>523</v>
      </c>
      <c r="D64" s="235" t="s">
        <v>1631</v>
      </c>
      <c r="E64" s="1098">
        <v>-9697186.9670495912</v>
      </c>
      <c r="F64" s="234" t="s">
        <v>1630</v>
      </c>
      <c r="G64" s="6"/>
      <c r="I64" s="6"/>
    </row>
    <row r="65" spans="1:8">
      <c r="A65" s="2"/>
      <c r="B65" s="2" t="s">
        <v>526</v>
      </c>
      <c r="D65" s="233" t="s">
        <v>402</v>
      </c>
      <c r="E65" s="6">
        <f>SUM(E62:E64)</f>
        <v>-18461720.316050015</v>
      </c>
      <c r="F65" s="234" t="str">
        <f>"Sum of "&amp;B62&amp;" to "&amp;B64&amp;""</f>
        <v>Sum of d to f</v>
      </c>
      <c r="G65" s="6"/>
    </row>
    <row r="67" spans="1:8">
      <c r="B67" s="1" t="s">
        <v>1632</v>
      </c>
    </row>
    <row r="68" spans="1:8">
      <c r="E68" s="3" t="s">
        <v>79</v>
      </c>
      <c r="F68" s="30" t="s">
        <v>400</v>
      </c>
    </row>
    <row r="69" spans="1:8">
      <c r="A69" s="2"/>
      <c r="B69" s="2" t="s">
        <v>508</v>
      </c>
      <c r="D69" s="233" t="s">
        <v>1633</v>
      </c>
      <c r="E69" s="263">
        <v>0</v>
      </c>
      <c r="F69" s="234" t="s">
        <v>1634</v>
      </c>
    </row>
    <row r="70" spans="1:8">
      <c r="A70" s="2"/>
      <c r="B70" s="2" t="s">
        <v>511</v>
      </c>
      <c r="D70" s="233" t="s">
        <v>1635</v>
      </c>
      <c r="E70" s="265">
        <v>0</v>
      </c>
      <c r="F70" s="234" t="s">
        <v>1636</v>
      </c>
    </row>
    <row r="71" spans="1:8">
      <c r="A71" s="2"/>
      <c r="B71" s="2" t="s">
        <v>514</v>
      </c>
      <c r="D71" s="233" t="s">
        <v>1637</v>
      </c>
      <c r="E71" s="61">
        <v>0</v>
      </c>
      <c r="F71" s="234" t="s">
        <v>887</v>
      </c>
    </row>
    <row r="72" spans="1:8">
      <c r="A72" s="2"/>
      <c r="B72" s="2" t="s">
        <v>516</v>
      </c>
      <c r="D72" s="233" t="s">
        <v>1638</v>
      </c>
      <c r="E72" s="6">
        <f>E71-E70</f>
        <v>0</v>
      </c>
      <c r="F72" s="234" t="str">
        <f>""&amp;B71&amp;" - "&amp;B70&amp;""</f>
        <v>c - b</v>
      </c>
    </row>
    <row r="73" spans="1:8">
      <c r="A73" s="2"/>
      <c r="B73" s="1" t="s">
        <v>1639</v>
      </c>
      <c r="D73" s="233"/>
      <c r="E73" s="6"/>
      <c r="F73" s="234"/>
    </row>
    <row r="74" spans="1:8">
      <c r="A74" s="2"/>
      <c r="B74" s="1"/>
      <c r="C74" t="str">
        <f>"Amount in Line "&amp;A45&amp;", column 2 equals amount in Line "&amp;A14&amp;", column 1 because all Franchise Requirements Expenses are excluded"</f>
        <v>Amount in Line 31, column 2 equals amount in Line 8, column 1 because all Franchise Requirements Expenses are excluded</v>
      </c>
      <c r="D74" s="233"/>
      <c r="E74" s="6"/>
      <c r="F74" s="234"/>
    </row>
    <row r="75" spans="1:8">
      <c r="A75" s="2"/>
      <c r="B75" s="1"/>
      <c r="C75" s="235" t="s">
        <v>1640</v>
      </c>
      <c r="D75" s="233"/>
      <c r="E75" s="6"/>
      <c r="F75" s="234"/>
    </row>
    <row r="76" spans="1:8">
      <c r="A76" s="2"/>
      <c r="B76" s="1" t="s">
        <v>1641</v>
      </c>
      <c r="C76" s="235"/>
      <c r="D76" s="233"/>
      <c r="E76" s="237"/>
      <c r="F76" s="234"/>
      <c r="G76" s="235"/>
      <c r="H76" s="235"/>
    </row>
    <row r="77" spans="1:8">
      <c r="A77" s="2"/>
      <c r="B77" s="1"/>
      <c r="C77" s="235" t="s">
        <v>1642</v>
      </c>
      <c r="D77" s="233"/>
      <c r="E77" s="237"/>
      <c r="F77" s="234"/>
      <c r="G77" s="235"/>
      <c r="H77" s="235"/>
    </row>
    <row r="78" spans="1:8">
      <c r="A78" s="2"/>
      <c r="B78" s="1"/>
      <c r="C78" s="235" t="s">
        <v>1643</v>
      </c>
      <c r="D78" s="233"/>
      <c r="E78" s="237"/>
      <c r="F78" s="234"/>
      <c r="G78" s="235"/>
      <c r="H78" s="235"/>
    </row>
    <row r="79" spans="1:8">
      <c r="B79" s="235"/>
      <c r="C79" s="235" t="s">
        <v>1644</v>
      </c>
      <c r="D79" s="235"/>
      <c r="E79" s="235"/>
      <c r="F79" s="235"/>
      <c r="G79" s="235"/>
      <c r="H79" s="235"/>
    </row>
    <row r="80" spans="1:8">
      <c r="B80" s="1" t="s">
        <v>426</v>
      </c>
    </row>
    <row r="81" spans="3:7">
      <c r="C81" s="235" t="str">
        <f>"1) Enter amounts of A&amp;G expenses from FERC Form 1 in Lines "&amp;A7&amp;" to "&amp;A20&amp;"."</f>
        <v>1) Enter amounts of A&amp;G expenses from FERC Form 1 in Lines 1 to 14.</v>
      </c>
    </row>
    <row r="82" spans="3:7">
      <c r="C82" s="235" t="s">
        <v>1645</v>
      </c>
      <c r="G82" t="str">
        <f>"Column 3, Line "&amp;A38&amp;""</f>
        <v>Column 3, Line 24</v>
      </c>
    </row>
    <row r="83" spans="3:7">
      <c r="C83" s="234" t="str">
        <f>"is calculated in Note 2.  The PBOPs exclusion in Column 4, Line "&amp;A44&amp;" is calculated in Note 3."</f>
        <v>is calculated in Note 2.  The PBOPs exclusion in Column 4, Line 30 is calculated in Note 3.</v>
      </c>
      <c r="G83" s="235"/>
    </row>
    <row r="84" spans="3:7">
      <c r="C84" s="234" t="s">
        <v>1646</v>
      </c>
    </row>
    <row r="85" spans="3:7">
      <c r="C85" s="234" t="s">
        <v>1647</v>
      </c>
      <c r="D85" s="233"/>
      <c r="E85" s="6"/>
      <c r="F85" s="234"/>
    </row>
    <row r="86" spans="3:7">
      <c r="C86" s="234" t="s">
        <v>1648</v>
      </c>
      <c r="D86" s="233"/>
      <c r="E86" s="6"/>
      <c r="F86" s="234"/>
    </row>
    <row r="87" spans="3:7">
      <c r="C87" s="234" t="s">
        <v>1649</v>
      </c>
    </row>
    <row r="88" spans="3:7">
      <c r="C88" s="234" t="s">
        <v>1650</v>
      </c>
    </row>
    <row r="89" spans="3:7">
      <c r="C89" s="234" t="s">
        <v>1651</v>
      </c>
    </row>
    <row r="90" spans="3:7">
      <c r="C90" s="234" t="s">
        <v>1652</v>
      </c>
    </row>
    <row r="91" spans="3:7">
      <c r="C91" s="234" t="s">
        <v>1653</v>
      </c>
    </row>
    <row r="92" spans="3:7">
      <c r="C92" s="234" t="s">
        <v>1654</v>
      </c>
      <c r="D92" s="235"/>
      <c r="E92" s="497"/>
      <c r="F92" s="497"/>
      <c r="G92" s="497"/>
    </row>
    <row r="93" spans="3:7">
      <c r="C93" s="249" t="s">
        <v>1655</v>
      </c>
      <c r="D93" s="235"/>
      <c r="E93" s="497"/>
      <c r="F93" s="497"/>
      <c r="G93" s="497"/>
    </row>
    <row r="94" spans="3:7">
      <c r="C94" s="249" t="s">
        <v>1656</v>
      </c>
      <c r="D94" s="235"/>
      <c r="E94" s="497"/>
      <c r="F94" s="497"/>
      <c r="G94" s="497"/>
    </row>
    <row r="95" spans="3:7">
      <c r="C95" s="249" t="s">
        <v>1657</v>
      </c>
      <c r="D95" s="235"/>
      <c r="E95" s="497"/>
      <c r="F95" s="497"/>
      <c r="G95" s="497"/>
    </row>
    <row r="96" spans="3:7">
      <c r="C96" s="234" t="s">
        <v>1658</v>
      </c>
      <c r="D96" s="235"/>
      <c r="E96" s="497"/>
      <c r="F96" s="497"/>
      <c r="G96" s="497"/>
    </row>
    <row r="97" spans="3:10">
      <c r="C97" s="249" t="s">
        <v>1659</v>
      </c>
      <c r="D97" s="235"/>
      <c r="E97" s="497"/>
      <c r="F97" s="497"/>
      <c r="G97" s="497"/>
    </row>
    <row r="98" spans="3:10">
      <c r="C98" s="249" t="s">
        <v>1660</v>
      </c>
      <c r="D98" s="235"/>
      <c r="E98" s="497"/>
      <c r="F98" s="497"/>
      <c r="G98" s="497"/>
    </row>
    <row r="99" spans="3:10">
      <c r="C99" s="249" t="s">
        <v>1661</v>
      </c>
      <c r="D99" s="235"/>
      <c r="E99" s="497"/>
      <c r="F99" s="497"/>
      <c r="G99" s="497"/>
    </row>
    <row r="100" spans="3:10">
      <c r="C100" s="249" t="s">
        <v>1662</v>
      </c>
      <c r="D100" s="235"/>
      <c r="E100" s="497"/>
      <c r="F100" s="497"/>
      <c r="G100" s="497"/>
    </row>
    <row r="101" spans="3:10">
      <c r="C101" s="331" t="s">
        <v>1663</v>
      </c>
      <c r="D101" s="305"/>
      <c r="E101" s="305"/>
      <c r="F101" s="305"/>
      <c r="G101" s="305"/>
      <c r="H101" s="305"/>
      <c r="I101" s="305"/>
      <c r="J101" s="305"/>
    </row>
    <row r="102" spans="3:10">
      <c r="C102" s="235" t="s">
        <v>1664</v>
      </c>
    </row>
    <row r="103" spans="3:10">
      <c r="C103" s="331" t="s">
        <v>1665</v>
      </c>
      <c r="D103" s="305"/>
      <c r="E103" s="305"/>
      <c r="F103" s="305"/>
      <c r="G103" s="305"/>
      <c r="H103" s="305"/>
      <c r="I103" s="305"/>
    </row>
    <row r="104" spans="3:10">
      <c r="C104" s="235" t="str">
        <f>"4) Determine the PBOPs exclusion.  The authorized amount of PBOPs expense (line "&amp;B69&amp;") may only be revised"</f>
        <v>4) Determine the PBOPs exclusion.  The authorized amount of PBOPs expense (line a) may only be revised</v>
      </c>
    </row>
    <row r="105" spans="3:10">
      <c r="C105" s="235" t="s">
        <v>1666</v>
      </c>
    </row>
    <row r="106" spans="3:10">
      <c r="C106" s="235" t="s">
        <v>1667</v>
      </c>
    </row>
    <row r="107" spans="3:10">
      <c r="C107" s="235" t="s">
        <v>1668</v>
      </c>
      <c r="I107" s="242" t="s">
        <v>2934</v>
      </c>
      <c r="J107" s="242"/>
    </row>
    <row r="108" spans="3:10">
      <c r="C108" s="235" t="s">
        <v>1669</v>
      </c>
    </row>
    <row r="109" spans="3:10">
      <c r="C109" t="s">
        <v>1670</v>
      </c>
    </row>
    <row r="110" spans="3:10">
      <c r="C110" t="s">
        <v>1671</v>
      </c>
    </row>
    <row r="111" spans="3:10">
      <c r="C111" t="s">
        <v>1672</v>
      </c>
    </row>
    <row r="112" spans="3:10">
      <c r="C112" t="s">
        <v>1673</v>
      </c>
    </row>
    <row r="113" spans="3:3">
      <c r="C113" t="s">
        <v>1674</v>
      </c>
    </row>
    <row r="114" spans="3:3">
      <c r="C114" s="671"/>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&amp;RTO2025 Annual Update 
Attachment 1</oddHeader>
    <oddFooter>&amp;R&amp;A</oddFooter>
  </headerFooter>
  <rowBreaks count="2" manualBreakCount="2">
    <brk id="52" max="10" man="1"/>
    <brk id="7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301"/>
  <sheetViews>
    <sheetView zoomScaleNormal="100" workbookViewId="0">
      <selection activeCell="A3" sqref="A3"/>
    </sheetView>
  </sheetViews>
  <sheetFormatPr defaultRowHeight="12.75"/>
  <cols>
    <col min="1" max="1" width="7" style="11" customWidth="1"/>
    <col min="2" max="2" width="8.5703125" style="11" customWidth="1"/>
    <col min="3" max="3" width="9.5703125" style="11" customWidth="1"/>
    <col min="4" max="4" width="51.5703125" style="11" customWidth="1"/>
    <col min="5" max="6" width="16.42578125" style="182" customWidth="1"/>
    <col min="7" max="7" width="18.42578125" style="182" bestFit="1" customWidth="1"/>
    <col min="8" max="8" width="15.5703125" style="50" bestFit="1" customWidth="1"/>
    <col min="9" max="9" width="16.5703125" style="50" bestFit="1" customWidth="1"/>
    <col min="10" max="10" width="15.5703125" style="182" customWidth="1"/>
    <col min="11" max="11" width="6.5703125" style="162" customWidth="1"/>
    <col min="12" max="12" width="16.42578125" style="156" customWidth="1"/>
    <col min="13" max="13" width="17.42578125" style="50" bestFit="1" customWidth="1"/>
    <col min="14" max="14" width="18.42578125" style="182" bestFit="1" customWidth="1"/>
    <col min="15" max="15" width="8.5703125" style="50" customWidth="1"/>
  </cols>
  <sheetData>
    <row r="1" spans="1:17">
      <c r="A1" s="173"/>
      <c r="B1" s="107" t="s">
        <v>1471</v>
      </c>
      <c r="C1" s="107" t="s">
        <v>1475</v>
      </c>
      <c r="D1" s="107" t="s">
        <v>1481</v>
      </c>
      <c r="E1" s="107" t="s">
        <v>1486</v>
      </c>
      <c r="F1" s="107" t="s">
        <v>1494</v>
      </c>
      <c r="G1" s="107" t="s">
        <v>1484</v>
      </c>
      <c r="H1" s="107" t="s">
        <v>1675</v>
      </c>
      <c r="I1" s="107" t="s">
        <v>1676</v>
      </c>
      <c r="J1" s="107" t="s">
        <v>1677</v>
      </c>
      <c r="K1" s="107" t="s">
        <v>1678</v>
      </c>
      <c r="L1" s="107" t="s">
        <v>1679</v>
      </c>
      <c r="M1" s="107" t="s">
        <v>1680</v>
      </c>
      <c r="N1" s="107" t="s">
        <v>1681</v>
      </c>
      <c r="O1" s="107" t="s">
        <v>1682</v>
      </c>
      <c r="Q1" s="2"/>
    </row>
    <row r="2" spans="1:17">
      <c r="A2" s="891"/>
      <c r="B2" s="892"/>
      <c r="C2" s="892"/>
      <c r="D2" s="892"/>
      <c r="E2" s="893"/>
      <c r="F2" s="893"/>
      <c r="G2" s="1122" t="s">
        <v>1683</v>
      </c>
      <c r="H2" s="1123"/>
      <c r="I2" s="1124"/>
      <c r="J2" s="1122" t="s">
        <v>1684</v>
      </c>
      <c r="K2" s="1123"/>
      <c r="L2" s="1123"/>
      <c r="M2" s="1124"/>
      <c r="N2" s="894" t="s">
        <v>1685</v>
      </c>
      <c r="O2" s="891"/>
    </row>
    <row r="3" spans="1:17" ht="26.25" customHeight="1">
      <c r="A3" s="108" t="s">
        <v>266</v>
      </c>
      <c r="B3" s="109" t="s">
        <v>1686</v>
      </c>
      <c r="C3" s="109" t="s">
        <v>1687</v>
      </c>
      <c r="D3" s="109" t="s">
        <v>1688</v>
      </c>
      <c r="E3" s="1050" t="s">
        <v>1689</v>
      </c>
      <c r="F3" s="151" t="s">
        <v>1690</v>
      </c>
      <c r="G3" s="151" t="s">
        <v>244</v>
      </c>
      <c r="H3" s="108" t="s">
        <v>1529</v>
      </c>
      <c r="I3" s="108" t="s">
        <v>1691</v>
      </c>
      <c r="J3" s="150" t="s">
        <v>244</v>
      </c>
      <c r="K3" s="161" t="s">
        <v>1692</v>
      </c>
      <c r="L3" s="152" t="s">
        <v>1693</v>
      </c>
      <c r="M3" s="108" t="s">
        <v>1148</v>
      </c>
      <c r="N3" s="150" t="s">
        <v>244</v>
      </c>
      <c r="O3" s="108" t="s">
        <v>100</v>
      </c>
    </row>
    <row r="4" spans="1:17">
      <c r="A4" s="501" t="s">
        <v>1694</v>
      </c>
      <c r="B4" s="614">
        <v>450</v>
      </c>
      <c r="C4" s="1047">
        <v>4191110</v>
      </c>
      <c r="D4" s="500" t="s">
        <v>1695</v>
      </c>
      <c r="E4" s="897">
        <v>6392306.3499999996</v>
      </c>
      <c r="F4" s="1052" t="s">
        <v>1683</v>
      </c>
      <c r="G4" s="895">
        <f>IF(F4=$G$2,E4,0)</f>
        <v>6392306.3499999996</v>
      </c>
      <c r="H4" s="282">
        <v>0</v>
      </c>
      <c r="I4" s="498">
        <f>G4-H4</f>
        <v>6392306.3499999996</v>
      </c>
      <c r="J4" s="895">
        <f>IF(F4=$J$2,E4,0)</f>
        <v>0</v>
      </c>
      <c r="K4" s="896"/>
      <c r="L4" s="556"/>
      <c r="M4" s="498">
        <f>J4-L4</f>
        <v>0</v>
      </c>
      <c r="N4" s="895">
        <f>IF(F4=$N$2,E4,0)</f>
        <v>0</v>
      </c>
      <c r="O4" s="282">
        <v>1</v>
      </c>
    </row>
    <row r="5" spans="1:17">
      <c r="A5" s="501" t="s">
        <v>1696</v>
      </c>
      <c r="B5" s="614">
        <v>450</v>
      </c>
      <c r="C5" s="1047">
        <v>4191115</v>
      </c>
      <c r="D5" s="500" t="s">
        <v>1697</v>
      </c>
      <c r="E5" s="897">
        <v>30144057.960000001</v>
      </c>
      <c r="F5" s="1052" t="s">
        <v>1683</v>
      </c>
      <c r="G5" s="895">
        <f>IF(F5=$G$2,E5,0)</f>
        <v>30144057.960000001</v>
      </c>
      <c r="H5" s="282">
        <v>0</v>
      </c>
      <c r="I5" s="498">
        <f>G5-H5</f>
        <v>30144057.960000001</v>
      </c>
      <c r="J5" s="895">
        <f>IF(F5=$J$2,E5,0)</f>
        <v>0</v>
      </c>
      <c r="K5" s="896"/>
      <c r="L5" s="556"/>
      <c r="M5" s="498">
        <f>J5-L5</f>
        <v>0</v>
      </c>
      <c r="N5" s="895">
        <f>IF(F5=$N$2,E5,0)</f>
        <v>0</v>
      </c>
      <c r="O5" s="282">
        <v>1</v>
      </c>
    </row>
    <row r="6" spans="1:17">
      <c r="A6" s="584"/>
      <c r="B6" s="802"/>
      <c r="C6" s="804"/>
      <c r="D6" s="585"/>
      <c r="E6" s="1051"/>
      <c r="F6" s="897"/>
      <c r="G6" s="556"/>
      <c r="H6" s="586"/>
      <c r="I6" s="393"/>
      <c r="J6" s="556"/>
      <c r="K6" s="898"/>
      <c r="L6" s="556"/>
      <c r="M6" s="393"/>
      <c r="N6" s="556"/>
      <c r="O6" s="586"/>
    </row>
    <row r="7" spans="1:17">
      <c r="A7" s="584"/>
      <c r="B7" s="802"/>
      <c r="C7" s="804"/>
      <c r="D7" s="585"/>
      <c r="E7" s="897"/>
      <c r="F7" s="897"/>
      <c r="G7" s="556"/>
      <c r="H7" s="586"/>
      <c r="I7" s="393"/>
      <c r="J7" s="556"/>
      <c r="K7" s="898"/>
      <c r="L7" s="556"/>
      <c r="M7" s="393"/>
      <c r="N7" s="556"/>
      <c r="O7" s="586"/>
    </row>
    <row r="8" spans="1:17">
      <c r="A8" s="501">
        <v>2</v>
      </c>
      <c r="B8" s="1130" t="s">
        <v>1698</v>
      </c>
      <c r="C8" s="1123"/>
      <c r="D8" s="1124"/>
      <c r="E8" s="159">
        <f>SUM(E4:E7)</f>
        <v>36536364.310000002</v>
      </c>
      <c r="F8" s="166"/>
      <c r="G8" s="159">
        <f>SUM(G4:G7)</f>
        <v>36536364.310000002</v>
      </c>
      <c r="H8" s="107">
        <f>SUM(H4:H7)</f>
        <v>0</v>
      </c>
      <c r="I8" s="159">
        <f>SUM(I4:I7)</f>
        <v>36536364.310000002</v>
      </c>
      <c r="J8" s="159">
        <f>SUM(J4:J7)</f>
        <v>0</v>
      </c>
      <c r="K8" s="166"/>
      <c r="L8" s="159">
        <f>SUM(L4:L7)</f>
        <v>0</v>
      </c>
      <c r="M8" s="159">
        <f>SUM(M4:M7)</f>
        <v>0</v>
      </c>
      <c r="N8" s="159">
        <f>SUM(N4:N7)</f>
        <v>0</v>
      </c>
      <c r="O8" s="282"/>
    </row>
    <row r="9" spans="1:17" ht="12.75" customHeight="1">
      <c r="A9" s="501">
        <v>3</v>
      </c>
      <c r="B9" s="1125" t="s">
        <v>1699</v>
      </c>
      <c r="C9" s="1126"/>
      <c r="D9" s="1127"/>
      <c r="E9" s="583">
        <v>36536364</v>
      </c>
      <c r="F9" s="158"/>
      <c r="G9" s="155"/>
      <c r="H9" s="158"/>
      <c r="I9" s="158"/>
      <c r="J9" s="155"/>
      <c r="K9" s="158"/>
      <c r="L9" s="155"/>
      <c r="M9" s="155"/>
      <c r="N9" s="155"/>
      <c r="O9" s="2"/>
    </row>
    <row r="10" spans="1:17">
      <c r="A10" s="4"/>
      <c r="B10" s="1"/>
      <c r="C10" s="110"/>
      <c r="D10" s="110"/>
      <c r="E10" s="155"/>
      <c r="F10" s="155"/>
      <c r="G10" s="155"/>
      <c r="H10" s="158"/>
      <c r="I10" s="158"/>
      <c r="J10" s="155"/>
      <c r="K10" s="158"/>
      <c r="L10" s="155"/>
      <c r="M10" s="155"/>
      <c r="N10" s="155"/>
      <c r="O10" s="2"/>
    </row>
    <row r="11" spans="1:17">
      <c r="A11" s="501" t="s">
        <v>1042</v>
      </c>
      <c r="B11" s="614">
        <v>451</v>
      </c>
      <c r="C11" s="1047">
        <v>4182110</v>
      </c>
      <c r="D11" s="1048" t="s">
        <v>1700</v>
      </c>
      <c r="E11" s="897">
        <v>62840.160000000003</v>
      </c>
      <c r="F11" s="556" t="s">
        <v>1683</v>
      </c>
      <c r="G11" s="779">
        <f t="shared" ref="G11:G20" si="0">IF(F11=$G$2,E11,0)</f>
        <v>62840.160000000003</v>
      </c>
      <c r="H11" s="780">
        <v>0</v>
      </c>
      <c r="I11" s="780">
        <f>G11-H11</f>
        <v>62840.160000000003</v>
      </c>
      <c r="J11" s="779">
        <f t="shared" ref="J11:J20" si="1">IF(F11=$J$2,E11,0)</f>
        <v>0</v>
      </c>
      <c r="K11" s="779"/>
      <c r="L11" s="556"/>
      <c r="M11" s="780">
        <f t="shared" ref="M11:M17" si="2">J11-L11</f>
        <v>0</v>
      </c>
      <c r="N11" s="779">
        <f t="shared" ref="N11:N18" si="3">IF(F11=$N$2,E11,0)</f>
        <v>0</v>
      </c>
      <c r="O11" s="780">
        <v>1</v>
      </c>
    </row>
    <row r="12" spans="1:17">
      <c r="A12" s="501" t="s">
        <v>1701</v>
      </c>
      <c r="B12" s="614">
        <v>451</v>
      </c>
      <c r="C12" s="1047">
        <v>4182115</v>
      </c>
      <c r="D12" s="1048" t="s">
        <v>1702</v>
      </c>
      <c r="E12" s="897">
        <v>292799.45</v>
      </c>
      <c r="F12" s="556" t="s">
        <v>1683</v>
      </c>
      <c r="G12" s="779">
        <f>IF(F12=$G$2,E12,0)</f>
        <v>292799.45</v>
      </c>
      <c r="H12" s="780">
        <v>0</v>
      </c>
      <c r="I12" s="780">
        <f t="shared" ref="I12:I20" si="4">G12-H12</f>
        <v>292799.45</v>
      </c>
      <c r="J12" s="779">
        <f t="shared" si="1"/>
        <v>0</v>
      </c>
      <c r="K12" s="779"/>
      <c r="L12" s="556"/>
      <c r="M12" s="780">
        <f t="shared" si="2"/>
        <v>0</v>
      </c>
      <c r="N12" s="779">
        <f t="shared" si="3"/>
        <v>0</v>
      </c>
      <c r="O12" s="780">
        <v>1</v>
      </c>
    </row>
    <row r="13" spans="1:17">
      <c r="A13" s="501" t="s">
        <v>1703</v>
      </c>
      <c r="B13" s="614">
        <v>451</v>
      </c>
      <c r="C13" s="1047">
        <v>4192110</v>
      </c>
      <c r="D13" s="1048" t="s">
        <v>1704</v>
      </c>
      <c r="E13" s="897"/>
      <c r="F13" s="556" t="s">
        <v>1683</v>
      </c>
      <c r="G13" s="779">
        <f t="shared" si="0"/>
        <v>0</v>
      </c>
      <c r="H13" s="780">
        <v>0</v>
      </c>
      <c r="I13" s="780">
        <f t="shared" si="4"/>
        <v>0</v>
      </c>
      <c r="J13" s="779">
        <f t="shared" si="1"/>
        <v>0</v>
      </c>
      <c r="K13" s="779"/>
      <c r="L13" s="556"/>
      <c r="M13" s="780">
        <f t="shared" si="2"/>
        <v>0</v>
      </c>
      <c r="N13" s="779">
        <f t="shared" si="3"/>
        <v>0</v>
      </c>
      <c r="O13" s="780">
        <v>1</v>
      </c>
    </row>
    <row r="14" spans="1:17">
      <c r="A14" s="501" t="s">
        <v>1705</v>
      </c>
      <c r="B14" s="614">
        <v>451</v>
      </c>
      <c r="C14" s="1047">
        <v>4192115</v>
      </c>
      <c r="D14" s="1048" t="s">
        <v>1706</v>
      </c>
      <c r="E14" s="897">
        <v>1124146.03</v>
      </c>
      <c r="F14" s="556" t="s">
        <v>1683</v>
      </c>
      <c r="G14" s="779">
        <f t="shared" si="0"/>
        <v>1124146.03</v>
      </c>
      <c r="H14" s="780">
        <v>0</v>
      </c>
      <c r="I14" s="780">
        <f t="shared" si="4"/>
        <v>1124146.03</v>
      </c>
      <c r="J14" s="779">
        <f t="shared" si="1"/>
        <v>0</v>
      </c>
      <c r="K14" s="779"/>
      <c r="L14" s="556"/>
      <c r="M14" s="780">
        <f t="shared" si="2"/>
        <v>0</v>
      </c>
      <c r="N14" s="779">
        <f t="shared" si="3"/>
        <v>0</v>
      </c>
      <c r="O14" s="780">
        <v>1</v>
      </c>
    </row>
    <row r="15" spans="1:17">
      <c r="A15" s="501" t="s">
        <v>1707</v>
      </c>
      <c r="B15" s="614">
        <v>451</v>
      </c>
      <c r="C15" s="1047">
        <v>4192125</v>
      </c>
      <c r="D15" s="1048" t="s">
        <v>1708</v>
      </c>
      <c r="E15" s="897"/>
      <c r="F15" s="556" t="s">
        <v>1683</v>
      </c>
      <c r="G15" s="779">
        <f t="shared" si="0"/>
        <v>0</v>
      </c>
      <c r="H15" s="780">
        <v>0</v>
      </c>
      <c r="I15" s="780">
        <f t="shared" si="4"/>
        <v>0</v>
      </c>
      <c r="J15" s="779">
        <f t="shared" si="1"/>
        <v>0</v>
      </c>
      <c r="K15" s="779"/>
      <c r="L15" s="556"/>
      <c r="M15" s="780">
        <f t="shared" si="2"/>
        <v>0</v>
      </c>
      <c r="N15" s="779">
        <f t="shared" si="3"/>
        <v>0</v>
      </c>
      <c r="O15" s="780">
        <v>1</v>
      </c>
    </row>
    <row r="16" spans="1:17">
      <c r="A16" s="501" t="s">
        <v>1709</v>
      </c>
      <c r="B16" s="614">
        <v>451</v>
      </c>
      <c r="C16" s="1047">
        <v>4192130</v>
      </c>
      <c r="D16" s="1048" t="s">
        <v>1710</v>
      </c>
      <c r="E16" s="897"/>
      <c r="F16" s="556" t="s">
        <v>1683</v>
      </c>
      <c r="G16" s="779">
        <f t="shared" si="0"/>
        <v>0</v>
      </c>
      <c r="H16" s="780">
        <v>0</v>
      </c>
      <c r="I16" s="780">
        <f t="shared" si="4"/>
        <v>0</v>
      </c>
      <c r="J16" s="779">
        <f t="shared" si="1"/>
        <v>0</v>
      </c>
      <c r="K16" s="779"/>
      <c r="L16" s="556"/>
      <c r="M16" s="780">
        <f t="shared" si="2"/>
        <v>0</v>
      </c>
      <c r="N16" s="779">
        <f t="shared" si="3"/>
        <v>0</v>
      </c>
      <c r="O16" s="780">
        <v>1</v>
      </c>
    </row>
    <row r="17" spans="1:17">
      <c r="A17" s="501" t="s">
        <v>1711</v>
      </c>
      <c r="B17" s="614">
        <v>451</v>
      </c>
      <c r="C17" s="1047">
        <v>4192140</v>
      </c>
      <c r="D17" s="1048" t="s">
        <v>1712</v>
      </c>
      <c r="E17" s="897"/>
      <c r="F17" s="556" t="s">
        <v>1683</v>
      </c>
      <c r="G17" s="779">
        <f t="shared" si="0"/>
        <v>0</v>
      </c>
      <c r="H17" s="780">
        <v>0</v>
      </c>
      <c r="I17" s="780">
        <f t="shared" si="4"/>
        <v>0</v>
      </c>
      <c r="J17" s="779">
        <f t="shared" si="1"/>
        <v>0</v>
      </c>
      <c r="K17" s="779"/>
      <c r="L17" s="556"/>
      <c r="M17" s="780">
        <f t="shared" si="2"/>
        <v>0</v>
      </c>
      <c r="N17" s="779">
        <f t="shared" si="3"/>
        <v>0</v>
      </c>
      <c r="O17" s="780">
        <v>1</v>
      </c>
    </row>
    <row r="18" spans="1:17">
      <c r="A18" s="501" t="s">
        <v>1713</v>
      </c>
      <c r="B18" s="614">
        <v>451</v>
      </c>
      <c r="C18" s="1047">
        <v>4192510</v>
      </c>
      <c r="D18" s="1048" t="s">
        <v>1714</v>
      </c>
      <c r="E18" s="897"/>
      <c r="F18" s="556" t="s">
        <v>1684</v>
      </c>
      <c r="G18" s="779">
        <f t="shared" si="0"/>
        <v>0</v>
      </c>
      <c r="H18" s="780">
        <v>0</v>
      </c>
      <c r="I18" s="780">
        <f t="shared" si="4"/>
        <v>0</v>
      </c>
      <c r="J18" s="779">
        <f>IF(F18=$J$2,E18,0)</f>
        <v>0</v>
      </c>
      <c r="K18" s="899" t="s">
        <v>1715</v>
      </c>
      <c r="L18" s="556"/>
      <c r="M18" s="780">
        <f t="shared" ref="M18:M26" si="5">J18-L18</f>
        <v>0</v>
      </c>
      <c r="N18" s="779">
        <f t="shared" si="3"/>
        <v>0</v>
      </c>
      <c r="O18" s="780">
        <v>2</v>
      </c>
    </row>
    <row r="19" spans="1:17">
      <c r="A19" s="501" t="s">
        <v>1716</v>
      </c>
      <c r="B19" s="614">
        <v>451</v>
      </c>
      <c r="C19" s="1047">
        <v>4192910</v>
      </c>
      <c r="D19" s="1048" t="s">
        <v>1717</v>
      </c>
      <c r="E19" s="897">
        <v>1114166.3400000001</v>
      </c>
      <c r="F19" s="556" t="s">
        <v>1685</v>
      </c>
      <c r="G19" s="779">
        <f>IF(F19=$G$2,E19,0)</f>
        <v>0</v>
      </c>
      <c r="H19" s="780">
        <v>0</v>
      </c>
      <c r="I19" s="780">
        <f t="shared" si="4"/>
        <v>0</v>
      </c>
      <c r="J19" s="779">
        <f>IF(F19=$J$2,E19,0)</f>
        <v>0</v>
      </c>
      <c r="K19" s="779"/>
      <c r="L19" s="556"/>
      <c r="M19" s="780">
        <f t="shared" si="5"/>
        <v>0</v>
      </c>
      <c r="N19" s="779">
        <f t="shared" ref="N19:N27" si="6">IF(F19=$N$2,E19,0)</f>
        <v>1114166.3400000001</v>
      </c>
      <c r="O19" s="780">
        <v>6</v>
      </c>
    </row>
    <row r="20" spans="1:17">
      <c r="A20" s="501" t="s">
        <v>1718</v>
      </c>
      <c r="B20" s="614">
        <v>451</v>
      </c>
      <c r="C20" s="1047">
        <v>4182120</v>
      </c>
      <c r="D20" s="677" t="s">
        <v>1719</v>
      </c>
      <c r="E20" s="897"/>
      <c r="F20" s="556" t="s">
        <v>1683</v>
      </c>
      <c r="G20" s="779">
        <f t="shared" si="0"/>
        <v>0</v>
      </c>
      <c r="H20" s="780">
        <v>0</v>
      </c>
      <c r="I20" s="780">
        <f t="shared" si="4"/>
        <v>0</v>
      </c>
      <c r="J20" s="779">
        <f t="shared" si="1"/>
        <v>0</v>
      </c>
      <c r="K20" s="779"/>
      <c r="L20" s="556"/>
      <c r="M20" s="780">
        <f t="shared" si="5"/>
        <v>0</v>
      </c>
      <c r="N20" s="779">
        <f t="shared" si="6"/>
        <v>0</v>
      </c>
      <c r="O20" s="780">
        <v>1</v>
      </c>
    </row>
    <row r="21" spans="1:17">
      <c r="A21" s="501" t="s">
        <v>1720</v>
      </c>
      <c r="B21" s="614">
        <v>451</v>
      </c>
      <c r="C21" s="1047">
        <v>4192152</v>
      </c>
      <c r="D21" s="677" t="s">
        <v>1721</v>
      </c>
      <c r="E21" s="897">
        <v>445</v>
      </c>
      <c r="F21" s="556" t="s">
        <v>1685</v>
      </c>
      <c r="G21" s="779">
        <f t="shared" ref="G21:G26" si="7">IF(F21=$G$2,E21,0)</f>
        <v>0</v>
      </c>
      <c r="H21" s="780">
        <v>0</v>
      </c>
      <c r="I21" s="780">
        <f t="shared" ref="I21:I27" si="8">G21-H21</f>
        <v>0</v>
      </c>
      <c r="J21" s="779">
        <f t="shared" ref="J21:J27" si="9">IF(F21=$J$2,E21,0)</f>
        <v>0</v>
      </c>
      <c r="K21" s="779"/>
      <c r="L21" s="556"/>
      <c r="M21" s="780">
        <f t="shared" si="5"/>
        <v>0</v>
      </c>
      <c r="N21" s="779">
        <f t="shared" si="6"/>
        <v>445</v>
      </c>
      <c r="O21" s="780">
        <v>1</v>
      </c>
    </row>
    <row r="22" spans="1:17">
      <c r="A22" s="501" t="s">
        <v>1722</v>
      </c>
      <c r="B22" s="614">
        <v>451</v>
      </c>
      <c r="C22" s="1047">
        <v>4192155</v>
      </c>
      <c r="D22" s="677" t="s">
        <v>1723</v>
      </c>
      <c r="E22" s="897">
        <v>9745</v>
      </c>
      <c r="F22" s="556" t="s">
        <v>1685</v>
      </c>
      <c r="G22" s="779">
        <f t="shared" si="7"/>
        <v>0</v>
      </c>
      <c r="H22" s="780">
        <v>0</v>
      </c>
      <c r="I22" s="780">
        <f t="shared" si="8"/>
        <v>0</v>
      </c>
      <c r="J22" s="779">
        <f t="shared" si="9"/>
        <v>0</v>
      </c>
      <c r="K22" s="779"/>
      <c r="L22" s="556"/>
      <c r="M22" s="780">
        <f t="shared" si="5"/>
        <v>0</v>
      </c>
      <c r="N22" s="779">
        <f t="shared" si="6"/>
        <v>9745</v>
      </c>
      <c r="O22" s="780">
        <v>1</v>
      </c>
    </row>
    <row r="23" spans="1:17">
      <c r="A23" s="501" t="s">
        <v>1724</v>
      </c>
      <c r="B23" s="614">
        <v>451</v>
      </c>
      <c r="C23" s="1047">
        <v>4192158</v>
      </c>
      <c r="D23" s="677" t="s">
        <v>1725</v>
      </c>
      <c r="E23" s="897">
        <v>1905</v>
      </c>
      <c r="F23" s="556" t="s">
        <v>1685</v>
      </c>
      <c r="G23" s="779">
        <f t="shared" si="7"/>
        <v>0</v>
      </c>
      <c r="H23" s="780">
        <v>0</v>
      </c>
      <c r="I23" s="780">
        <f t="shared" si="8"/>
        <v>0</v>
      </c>
      <c r="J23" s="779">
        <f t="shared" si="9"/>
        <v>0</v>
      </c>
      <c r="K23" s="779"/>
      <c r="L23" s="556"/>
      <c r="M23" s="780">
        <f t="shared" si="5"/>
        <v>0</v>
      </c>
      <c r="N23" s="779">
        <f t="shared" si="6"/>
        <v>1905</v>
      </c>
      <c r="O23" s="780">
        <v>1</v>
      </c>
    </row>
    <row r="24" spans="1:17">
      <c r="A24" s="501" t="s">
        <v>1726</v>
      </c>
      <c r="B24" s="614">
        <v>451</v>
      </c>
      <c r="C24" s="1047">
        <v>4192160</v>
      </c>
      <c r="D24" s="677" t="s">
        <v>1727</v>
      </c>
      <c r="E24" s="897">
        <v>73300</v>
      </c>
      <c r="F24" s="556" t="s">
        <v>1685</v>
      </c>
      <c r="G24" s="779">
        <f t="shared" si="7"/>
        <v>0</v>
      </c>
      <c r="H24" s="780">
        <v>0</v>
      </c>
      <c r="I24" s="780">
        <f t="shared" si="8"/>
        <v>0</v>
      </c>
      <c r="J24" s="779">
        <f t="shared" si="9"/>
        <v>0</v>
      </c>
      <c r="K24" s="779"/>
      <c r="L24" s="556"/>
      <c r="M24" s="780">
        <f t="shared" si="5"/>
        <v>0</v>
      </c>
      <c r="N24" s="779">
        <f t="shared" si="6"/>
        <v>73300</v>
      </c>
      <c r="O24" s="780">
        <v>1</v>
      </c>
    </row>
    <row r="25" spans="1:17">
      <c r="A25" s="501" t="s">
        <v>1728</v>
      </c>
      <c r="B25" s="614">
        <v>451</v>
      </c>
      <c r="C25" s="1047">
        <v>4192135</v>
      </c>
      <c r="D25" s="677" t="s">
        <v>1729</v>
      </c>
      <c r="E25" s="897">
        <v>2645902.73</v>
      </c>
      <c r="F25" s="556" t="s">
        <v>1683</v>
      </c>
      <c r="G25" s="779">
        <f t="shared" si="7"/>
        <v>2645902.73</v>
      </c>
      <c r="H25" s="780">
        <v>0</v>
      </c>
      <c r="I25" s="780">
        <f t="shared" si="8"/>
        <v>2645902.73</v>
      </c>
      <c r="J25" s="779">
        <f t="shared" si="9"/>
        <v>0</v>
      </c>
      <c r="K25" s="779"/>
      <c r="L25" s="556"/>
      <c r="M25" s="780">
        <f t="shared" si="5"/>
        <v>0</v>
      </c>
      <c r="N25" s="779">
        <f t="shared" si="6"/>
        <v>0</v>
      </c>
      <c r="O25" s="780">
        <v>1</v>
      </c>
    </row>
    <row r="26" spans="1:17">
      <c r="A26" s="501" t="s">
        <v>1730</v>
      </c>
      <c r="B26" s="614">
        <v>451</v>
      </c>
      <c r="C26" s="1047">
        <v>4192145</v>
      </c>
      <c r="D26" s="677" t="s">
        <v>1731</v>
      </c>
      <c r="E26" s="897">
        <v>2131705.33</v>
      </c>
      <c r="F26" s="556" t="s">
        <v>1683</v>
      </c>
      <c r="G26" s="779">
        <f t="shared" si="7"/>
        <v>2131705.33</v>
      </c>
      <c r="H26" s="780">
        <v>0</v>
      </c>
      <c r="I26" s="780">
        <f t="shared" si="8"/>
        <v>2131705.33</v>
      </c>
      <c r="J26" s="779">
        <f t="shared" si="9"/>
        <v>0</v>
      </c>
      <c r="K26" s="779"/>
      <c r="L26" s="556"/>
      <c r="M26" s="780">
        <f t="shared" si="5"/>
        <v>0</v>
      </c>
      <c r="N26" s="779">
        <f t="shared" si="6"/>
        <v>0</v>
      </c>
      <c r="O26" s="780">
        <v>1</v>
      </c>
    </row>
    <row r="27" spans="1:17">
      <c r="A27" s="501" t="s">
        <v>1732</v>
      </c>
      <c r="B27" s="614">
        <v>451</v>
      </c>
      <c r="C27" s="1047">
        <v>4192150</v>
      </c>
      <c r="D27" s="677" t="s">
        <v>1733</v>
      </c>
      <c r="E27" s="897">
        <v>67298.009999999995</v>
      </c>
      <c r="F27" s="556" t="s">
        <v>1683</v>
      </c>
      <c r="G27" s="779">
        <f>IF(F27=$G$2,E27,0)</f>
        <v>67298.009999999995</v>
      </c>
      <c r="H27" s="780">
        <v>0</v>
      </c>
      <c r="I27" s="780">
        <f t="shared" si="8"/>
        <v>67298.009999999995</v>
      </c>
      <c r="J27" s="779">
        <f t="shared" si="9"/>
        <v>0</v>
      </c>
      <c r="K27" s="779"/>
      <c r="L27" s="556"/>
      <c r="M27" s="780">
        <f>J27-L27</f>
        <v>0</v>
      </c>
      <c r="N27" s="779">
        <f t="shared" si="6"/>
        <v>0</v>
      </c>
      <c r="O27" s="780">
        <v>1</v>
      </c>
    </row>
    <row r="28" spans="1:17">
      <c r="A28" s="501" t="s">
        <v>1734</v>
      </c>
      <c r="B28" s="614">
        <v>451</v>
      </c>
      <c r="C28" s="1047">
        <v>4184515</v>
      </c>
      <c r="D28" s="677" t="s">
        <v>1735</v>
      </c>
      <c r="E28" s="897">
        <v>15225238</v>
      </c>
      <c r="F28" s="556" t="s">
        <v>1683</v>
      </c>
      <c r="G28" s="779">
        <f t="shared" ref="G28:G29" si="10">IF(F28=$G$2,E28,0)</f>
        <v>15225238</v>
      </c>
      <c r="H28" s="780">
        <v>0</v>
      </c>
      <c r="I28" s="780">
        <f t="shared" ref="I28:I29" si="11">G28-H28</f>
        <v>15225238</v>
      </c>
      <c r="J28" s="779">
        <f t="shared" ref="J28:J29" si="12">IF(F28=$J$2,E28,0)</f>
        <v>0</v>
      </c>
      <c r="K28" s="779"/>
      <c r="L28" s="556"/>
      <c r="M28" s="780">
        <f t="shared" ref="M28:M29" si="13">J28-L28</f>
        <v>0</v>
      </c>
      <c r="N28" s="779">
        <f t="shared" ref="N28:N29" si="14">IF(F28=$N$2,E28,0)</f>
        <v>0</v>
      </c>
      <c r="O28" s="780">
        <v>1</v>
      </c>
    </row>
    <row r="29" spans="1:17">
      <c r="A29" s="501" t="s">
        <v>1736</v>
      </c>
      <c r="B29" s="614">
        <v>451</v>
      </c>
      <c r="C29" s="1047">
        <v>4186927</v>
      </c>
      <c r="D29" s="677" t="s">
        <v>1737</v>
      </c>
      <c r="E29" s="897">
        <v>-1235010</v>
      </c>
      <c r="F29" s="556" t="s">
        <v>1683</v>
      </c>
      <c r="G29" s="779">
        <f t="shared" si="10"/>
        <v>-1235010</v>
      </c>
      <c r="H29" s="780">
        <v>0</v>
      </c>
      <c r="I29" s="780">
        <f t="shared" si="11"/>
        <v>-1235010</v>
      </c>
      <c r="J29" s="779">
        <f t="shared" si="12"/>
        <v>0</v>
      </c>
      <c r="K29" s="779"/>
      <c r="L29" s="556"/>
      <c r="M29" s="780">
        <f t="shared" si="13"/>
        <v>0</v>
      </c>
      <c r="N29" s="779">
        <f t="shared" si="14"/>
        <v>0</v>
      </c>
      <c r="O29" s="780">
        <v>1</v>
      </c>
    </row>
    <row r="30" spans="1:17" s="235" customFormat="1">
      <c r="A30" s="501" t="s">
        <v>1738</v>
      </c>
      <c r="B30" s="614">
        <v>451</v>
      </c>
      <c r="C30" s="1047">
        <v>4184533</v>
      </c>
      <c r="D30" s="677" t="s">
        <v>1739</v>
      </c>
      <c r="E30" s="897">
        <v>330700</v>
      </c>
      <c r="F30" s="556" t="s">
        <v>1683</v>
      </c>
      <c r="G30" s="779">
        <f t="shared" ref="G30:G38" si="15">IF(F30=$G$2,E30,0)</f>
        <v>330700</v>
      </c>
      <c r="H30" s="780">
        <v>0</v>
      </c>
      <c r="I30" s="780">
        <f t="shared" ref="I30:I34" si="16">G30-H30</f>
        <v>330700</v>
      </c>
      <c r="J30" s="779">
        <f t="shared" ref="J30:J34" si="17">IF(F30=$J$2,E30,0)</f>
        <v>0</v>
      </c>
      <c r="K30" s="779"/>
      <c r="L30" s="556"/>
      <c r="M30" s="780">
        <f t="shared" ref="M30:M34" si="18">J30-L30</f>
        <v>0</v>
      </c>
      <c r="N30" s="779">
        <f t="shared" ref="N30:N34" si="19">IF(F30=$N$2,E30,0)</f>
        <v>0</v>
      </c>
      <c r="O30" s="780">
        <v>1</v>
      </c>
      <c r="Q30"/>
    </row>
    <row r="31" spans="1:17" s="235" customFormat="1">
      <c r="A31" s="501" t="s">
        <v>1740</v>
      </c>
      <c r="B31" s="614">
        <v>451</v>
      </c>
      <c r="C31" s="1047">
        <v>4184531</v>
      </c>
      <c r="D31" s="677" t="s">
        <v>1741</v>
      </c>
      <c r="E31" s="897">
        <v>32700</v>
      </c>
      <c r="F31" s="531" t="s">
        <v>1683</v>
      </c>
      <c r="G31" s="783">
        <f t="shared" si="15"/>
        <v>32700</v>
      </c>
      <c r="H31" s="780">
        <v>0</v>
      </c>
      <c r="I31" s="780">
        <f t="shared" si="16"/>
        <v>32700</v>
      </c>
      <c r="J31" s="783">
        <f t="shared" si="17"/>
        <v>0</v>
      </c>
      <c r="K31" s="783"/>
      <c r="L31" s="556"/>
      <c r="M31" s="780">
        <f t="shared" si="18"/>
        <v>0</v>
      </c>
      <c r="N31" s="783">
        <f t="shared" si="19"/>
        <v>0</v>
      </c>
      <c r="O31" s="780">
        <v>1</v>
      </c>
      <c r="Q31"/>
    </row>
    <row r="32" spans="1:17" s="235" customFormat="1">
      <c r="A32" s="501" t="s">
        <v>1742</v>
      </c>
      <c r="B32" s="614">
        <v>451</v>
      </c>
      <c r="C32" s="1047">
        <v>4184532</v>
      </c>
      <c r="D32" s="677" t="s">
        <v>1743</v>
      </c>
      <c r="E32" s="897">
        <v>194750</v>
      </c>
      <c r="F32" s="531" t="s">
        <v>1683</v>
      </c>
      <c r="G32" s="783">
        <f t="shared" si="15"/>
        <v>194750</v>
      </c>
      <c r="H32" s="780">
        <v>0</v>
      </c>
      <c r="I32" s="780">
        <f t="shared" si="16"/>
        <v>194750</v>
      </c>
      <c r="J32" s="783">
        <f t="shared" si="17"/>
        <v>0</v>
      </c>
      <c r="K32" s="783"/>
      <c r="L32" s="556"/>
      <c r="M32" s="780">
        <f t="shared" si="18"/>
        <v>0</v>
      </c>
      <c r="N32" s="783">
        <f t="shared" si="19"/>
        <v>0</v>
      </c>
      <c r="O32" s="780">
        <v>1</v>
      </c>
      <c r="Q32"/>
    </row>
    <row r="33" spans="1:17" s="235" customFormat="1">
      <c r="A33" s="501" t="s">
        <v>1744</v>
      </c>
      <c r="B33" s="614">
        <v>451</v>
      </c>
      <c r="C33" s="1047">
        <v>4184534</v>
      </c>
      <c r="D33" s="677" t="s">
        <v>1745</v>
      </c>
      <c r="E33" s="897">
        <v>51000</v>
      </c>
      <c r="F33" s="531" t="s">
        <v>1683</v>
      </c>
      <c r="G33" s="783">
        <f t="shared" si="15"/>
        <v>51000</v>
      </c>
      <c r="H33" s="780">
        <v>0</v>
      </c>
      <c r="I33" s="780">
        <f t="shared" si="16"/>
        <v>51000</v>
      </c>
      <c r="J33" s="783">
        <f t="shared" si="17"/>
        <v>0</v>
      </c>
      <c r="K33" s="783"/>
      <c r="L33" s="556"/>
      <c r="M33" s="780">
        <f t="shared" si="18"/>
        <v>0</v>
      </c>
      <c r="N33" s="783">
        <f t="shared" si="19"/>
        <v>0</v>
      </c>
      <c r="O33" s="780">
        <v>1</v>
      </c>
      <c r="Q33"/>
    </row>
    <row r="34" spans="1:17" s="235" customFormat="1">
      <c r="A34" s="501" t="s">
        <v>1746</v>
      </c>
      <c r="B34" s="614">
        <v>451</v>
      </c>
      <c r="C34" s="1047">
        <v>4184535</v>
      </c>
      <c r="D34" s="677" t="s">
        <v>2761</v>
      </c>
      <c r="E34" s="897">
        <v>439300</v>
      </c>
      <c r="F34" s="531" t="s">
        <v>1683</v>
      </c>
      <c r="G34" s="783">
        <f t="shared" si="15"/>
        <v>439300</v>
      </c>
      <c r="H34" s="780">
        <v>0</v>
      </c>
      <c r="I34" s="780">
        <f t="shared" si="16"/>
        <v>439300</v>
      </c>
      <c r="J34" s="783">
        <f t="shared" si="17"/>
        <v>0</v>
      </c>
      <c r="K34" s="783"/>
      <c r="L34" s="556"/>
      <c r="M34" s="780">
        <f t="shared" si="18"/>
        <v>0</v>
      </c>
      <c r="N34" s="783">
        <f t="shared" si="19"/>
        <v>0</v>
      </c>
      <c r="O34" s="780">
        <v>1</v>
      </c>
      <c r="Q34"/>
    </row>
    <row r="35" spans="1:17" s="235" customFormat="1">
      <c r="A35" s="501" t="s">
        <v>2858</v>
      </c>
      <c r="B35" s="614">
        <v>451</v>
      </c>
      <c r="C35" s="1047">
        <v>4184520</v>
      </c>
      <c r="D35" s="677" t="s">
        <v>2859</v>
      </c>
      <c r="E35" s="897">
        <v>114800</v>
      </c>
      <c r="F35" s="556" t="s">
        <v>1684</v>
      </c>
      <c r="G35" s="779">
        <f t="shared" si="15"/>
        <v>0</v>
      </c>
      <c r="H35" s="780">
        <v>0</v>
      </c>
      <c r="I35" s="780">
        <f>G35-H35</f>
        <v>0</v>
      </c>
      <c r="J35" s="779">
        <f>IF(F35=$J$2,E35,0)</f>
        <v>114800</v>
      </c>
      <c r="K35" s="779" t="s">
        <v>1471</v>
      </c>
      <c r="L35" s="556">
        <v>23698.836827713698</v>
      </c>
      <c r="M35" s="780">
        <f>J35-L35</f>
        <v>91101.163172286295</v>
      </c>
      <c r="N35" s="779">
        <f>IF(F35=$N$2,E35,0)</f>
        <v>0</v>
      </c>
      <c r="O35" s="780">
        <v>2</v>
      </c>
      <c r="Q35"/>
    </row>
    <row r="36" spans="1:17" s="235" customFormat="1">
      <c r="A36" s="501" t="s">
        <v>2860</v>
      </c>
      <c r="B36" s="614">
        <v>451</v>
      </c>
      <c r="C36" s="1047">
        <v>4184521</v>
      </c>
      <c r="D36" s="677" t="s">
        <v>2861</v>
      </c>
      <c r="E36" s="897">
        <v>326000</v>
      </c>
      <c r="F36" s="556" t="s">
        <v>1684</v>
      </c>
      <c r="G36" s="779">
        <f t="shared" si="15"/>
        <v>0</v>
      </c>
      <c r="H36" s="780">
        <v>0</v>
      </c>
      <c r="I36" s="780">
        <f>G36-H36</f>
        <v>0</v>
      </c>
      <c r="J36" s="779">
        <f>IF(F36=$J$2,E36,0)</f>
        <v>326000</v>
      </c>
      <c r="K36" s="779" t="s">
        <v>1471</v>
      </c>
      <c r="L36" s="556">
        <v>70934.479048004781</v>
      </c>
      <c r="M36" s="780">
        <f>J36-L36</f>
        <v>255065.52095199522</v>
      </c>
      <c r="N36" s="779">
        <f>IF(F36=$N$2,E36,0)</f>
        <v>0</v>
      </c>
      <c r="O36" s="780">
        <v>2</v>
      </c>
      <c r="Q36"/>
    </row>
    <row r="37" spans="1:17" s="235" customFormat="1">
      <c r="A37" s="501" t="s">
        <v>2862</v>
      </c>
      <c r="B37" s="614">
        <v>451</v>
      </c>
      <c r="C37" s="1047">
        <v>4192161</v>
      </c>
      <c r="D37" s="677" t="s">
        <v>2863</v>
      </c>
      <c r="E37" s="897">
        <v>263.16000000000003</v>
      </c>
      <c r="F37" s="556" t="s">
        <v>1685</v>
      </c>
      <c r="G37" s="779">
        <f t="shared" si="15"/>
        <v>0</v>
      </c>
      <c r="H37" s="780">
        <v>0</v>
      </c>
      <c r="I37" s="780">
        <f>G37-H37</f>
        <v>0</v>
      </c>
      <c r="J37" s="779">
        <f t="shared" ref="J37:J39" si="20">IF(F37=$J$2,E37,0)</f>
        <v>0</v>
      </c>
      <c r="K37" s="779"/>
      <c r="L37" s="556"/>
      <c r="M37" s="780">
        <f>J37-L37</f>
        <v>0</v>
      </c>
      <c r="N37" s="779">
        <f>IF(F37=$N$2,E37,0)</f>
        <v>263.16000000000003</v>
      </c>
      <c r="O37" s="780">
        <v>1</v>
      </c>
      <c r="Q37"/>
    </row>
    <row r="38" spans="1:17" s="235" customFormat="1">
      <c r="A38" s="501" t="s">
        <v>2864</v>
      </c>
      <c r="B38" s="614">
        <v>451</v>
      </c>
      <c r="C38" s="1047">
        <v>4192165</v>
      </c>
      <c r="D38" s="677" t="s">
        <v>2865</v>
      </c>
      <c r="E38" s="897"/>
      <c r="F38" s="556" t="s">
        <v>1685</v>
      </c>
      <c r="G38" s="779">
        <f t="shared" si="15"/>
        <v>0</v>
      </c>
      <c r="H38" s="780">
        <v>0</v>
      </c>
      <c r="I38" s="780">
        <f>G38-H38</f>
        <v>0</v>
      </c>
      <c r="J38" s="779">
        <f t="shared" si="20"/>
        <v>0</v>
      </c>
      <c r="K38" s="779"/>
      <c r="L38" s="556"/>
      <c r="M38" s="780">
        <f>J38-L38</f>
        <v>0</v>
      </c>
      <c r="N38" s="779">
        <f>IF(F38=$N$2,E38,0)</f>
        <v>0</v>
      </c>
      <c r="O38" s="780">
        <v>1</v>
      </c>
      <c r="Q38"/>
    </row>
    <row r="39" spans="1:17" s="235" customFormat="1">
      <c r="A39" s="584" t="s">
        <v>2931</v>
      </c>
      <c r="B39" s="802">
        <v>451</v>
      </c>
      <c r="C39" s="802">
        <v>4192166</v>
      </c>
      <c r="D39" s="803" t="s">
        <v>2925</v>
      </c>
      <c r="E39" s="897">
        <v>211040.1</v>
      </c>
      <c r="F39" s="531" t="s">
        <v>1683</v>
      </c>
      <c r="G39" s="773">
        <f t="shared" ref="G39" si="21">IF(F39=$G$2,E39,0)</f>
        <v>211040.1</v>
      </c>
      <c r="H39" s="774">
        <v>0</v>
      </c>
      <c r="I39" s="774">
        <f t="shared" ref="I39" si="22">G39-H39</f>
        <v>211040.1</v>
      </c>
      <c r="J39" s="773">
        <f t="shared" si="20"/>
        <v>0</v>
      </c>
      <c r="K39" s="773"/>
      <c r="L39" s="556"/>
      <c r="M39" s="774">
        <f t="shared" ref="M39" si="23">J39-L39</f>
        <v>0</v>
      </c>
      <c r="N39" s="773">
        <f t="shared" ref="N39" si="24">IF(F39=$N$2,E39,0)</f>
        <v>0</v>
      </c>
      <c r="O39" s="774">
        <v>1</v>
      </c>
      <c r="Q39"/>
    </row>
    <row r="40" spans="1:17" s="235" customFormat="1">
      <c r="A40" s="584" t="s">
        <v>2932</v>
      </c>
      <c r="B40" s="802">
        <v>451</v>
      </c>
      <c r="C40" s="802">
        <v>4184517</v>
      </c>
      <c r="D40" s="803" t="s">
        <v>2926</v>
      </c>
      <c r="E40" s="897">
        <v>3750</v>
      </c>
      <c r="F40" s="531" t="s">
        <v>1683</v>
      </c>
      <c r="G40" s="773">
        <f t="shared" ref="G40" si="25">IF(F40=$G$2,E40,0)</f>
        <v>3750</v>
      </c>
      <c r="H40" s="774">
        <v>0</v>
      </c>
      <c r="I40" s="774">
        <f t="shared" ref="I40" si="26">G40-H40</f>
        <v>3750</v>
      </c>
      <c r="J40" s="773">
        <f t="shared" ref="J40" si="27">IF(F40=$J$2,E40,0)</f>
        <v>0</v>
      </c>
      <c r="K40" s="773"/>
      <c r="L40" s="556"/>
      <c r="M40" s="774">
        <f t="shared" ref="M40" si="28">J40-L40</f>
        <v>0</v>
      </c>
      <c r="N40" s="773">
        <f t="shared" ref="N40" si="29">IF(F40=$N$2,E40,0)</f>
        <v>0</v>
      </c>
      <c r="O40" s="774">
        <v>3</v>
      </c>
      <c r="Q40"/>
    </row>
    <row r="41" spans="1:17">
      <c r="A41" s="584" t="s">
        <v>2933</v>
      </c>
      <c r="B41" s="802">
        <v>451</v>
      </c>
      <c r="C41" s="802">
        <v>4192164</v>
      </c>
      <c r="D41" s="803" t="s">
        <v>2927</v>
      </c>
      <c r="E41" s="897">
        <v>4903</v>
      </c>
      <c r="F41" s="556" t="s">
        <v>1685</v>
      </c>
      <c r="G41" s="773">
        <f t="shared" ref="G41" si="30">IF(F41=$G$2,E41,0)</f>
        <v>0</v>
      </c>
      <c r="H41" s="774">
        <v>0</v>
      </c>
      <c r="I41" s="774">
        <f t="shared" ref="I41" si="31">G41-H41</f>
        <v>0</v>
      </c>
      <c r="J41" s="773">
        <f t="shared" ref="J41" si="32">IF(F41=$J$2,E41,0)</f>
        <v>0</v>
      </c>
      <c r="K41" s="773"/>
      <c r="L41" s="556"/>
      <c r="M41" s="774">
        <f t="shared" ref="M41" si="33">J41-L41</f>
        <v>0</v>
      </c>
      <c r="N41" s="773">
        <f t="shared" ref="N41" si="34">IF(F41=$N$2,E41,0)</f>
        <v>4903</v>
      </c>
      <c r="O41" s="774">
        <v>6</v>
      </c>
    </row>
    <row r="42" spans="1:17">
      <c r="A42" s="501">
        <v>5</v>
      </c>
      <c r="B42" s="1130" t="s">
        <v>1747</v>
      </c>
      <c r="C42" s="1123"/>
      <c r="D42" s="1124"/>
      <c r="E42" s="159">
        <f>SUM(E11:E41)</f>
        <v>23223687.310000002</v>
      </c>
      <c r="F42" s="166"/>
      <c r="G42" s="775">
        <f>SUM(G11:G41)</f>
        <v>21578159.810000002</v>
      </c>
      <c r="H42" s="776">
        <f>SUM(H11:H41)</f>
        <v>0</v>
      </c>
      <c r="I42" s="775">
        <f>SUM(I11:I41)</f>
        <v>21578159.810000002</v>
      </c>
      <c r="J42" s="775">
        <f>SUM(J11:J41)</f>
        <v>440800</v>
      </c>
      <c r="K42" s="777"/>
      <c r="L42" s="775">
        <f>SUM(L11:L41)</f>
        <v>94633.315875718486</v>
      </c>
      <c r="M42" s="775">
        <f>SUM(M11:M41)</f>
        <v>346166.68412428151</v>
      </c>
      <c r="N42" s="775">
        <f>SUM(N11:N41)</f>
        <v>1204727.5</v>
      </c>
      <c r="O42" s="780"/>
    </row>
    <row r="43" spans="1:17" ht="25.5" customHeight="1">
      <c r="A43" s="501">
        <v>6</v>
      </c>
      <c r="B43" s="1125" t="s">
        <v>1748</v>
      </c>
      <c r="C43" s="1126"/>
      <c r="D43" s="1127"/>
      <c r="E43" s="583">
        <v>23223687</v>
      </c>
      <c r="F43" s="158"/>
      <c r="G43" s="155"/>
      <c r="H43" s="900"/>
      <c r="I43" s="900"/>
      <c r="J43" s="155"/>
      <c r="K43" s="158"/>
      <c r="L43" s="155"/>
      <c r="M43" s="155"/>
      <c r="N43" s="158"/>
      <c r="O43" s="236"/>
    </row>
    <row r="44" spans="1:17">
      <c r="A44" s="241"/>
      <c r="B44" s="1"/>
      <c r="C44" s="110"/>
      <c r="D44" s="110"/>
      <c r="E44" s="155"/>
      <c r="F44" s="155"/>
      <c r="G44" s="155"/>
      <c r="H44" s="900"/>
      <c r="I44" s="900"/>
      <c r="J44" s="155"/>
      <c r="K44" s="158"/>
      <c r="L44" s="155"/>
      <c r="M44" s="155"/>
      <c r="N44" s="155"/>
      <c r="O44" s="236"/>
    </row>
    <row r="45" spans="1:17">
      <c r="A45" s="501" t="s">
        <v>1749</v>
      </c>
      <c r="B45" s="614">
        <v>453</v>
      </c>
      <c r="C45" s="614">
        <v>4183120</v>
      </c>
      <c r="D45" s="283" t="s">
        <v>1750</v>
      </c>
      <c r="E45" s="531">
        <v>551649.87</v>
      </c>
      <c r="F45" s="556" t="s">
        <v>1684</v>
      </c>
      <c r="G45" s="499">
        <f t="shared" ref="G45:G47" si="35">IF(F45=$G$2,E45,0)</f>
        <v>0</v>
      </c>
      <c r="H45" s="498">
        <v>0</v>
      </c>
      <c r="I45" s="498">
        <f>G45-H45</f>
        <v>0</v>
      </c>
      <c r="J45" s="499">
        <f t="shared" ref="J45:J46" si="36">IF(F45=$J$2,E45,0)</f>
        <v>551649.87</v>
      </c>
      <c r="K45" s="982" t="s">
        <v>1715</v>
      </c>
      <c r="L45" s="556">
        <v>83273.720046709699</v>
      </c>
      <c r="M45" s="498">
        <f>J45-L45</f>
        <v>468376.1499532903</v>
      </c>
      <c r="N45" s="499">
        <f>IF(F45=$N$2,E45,0)</f>
        <v>0</v>
      </c>
      <c r="O45" s="282">
        <v>2</v>
      </c>
    </row>
    <row r="46" spans="1:17">
      <c r="A46" s="501" t="s">
        <v>1751</v>
      </c>
      <c r="B46" s="614">
        <v>453</v>
      </c>
      <c r="C46" s="614">
        <v>4183110</v>
      </c>
      <c r="D46" s="283" t="s">
        <v>1752</v>
      </c>
      <c r="E46" s="531">
        <v>239435</v>
      </c>
      <c r="F46" s="556" t="s">
        <v>1683</v>
      </c>
      <c r="G46" s="783">
        <f t="shared" si="35"/>
        <v>239435</v>
      </c>
      <c r="H46" s="498">
        <v>0</v>
      </c>
      <c r="I46" s="780">
        <f t="shared" ref="I46" si="37">G46-H46</f>
        <v>239435</v>
      </c>
      <c r="J46" s="783">
        <f t="shared" si="36"/>
        <v>0</v>
      </c>
      <c r="K46" s="499"/>
      <c r="L46" s="556"/>
      <c r="M46" s="780">
        <f t="shared" ref="M46:M47" si="38">J46-L46</f>
        <v>0</v>
      </c>
      <c r="N46" s="499">
        <f>IF(F46=$N$2,E46,0)</f>
        <v>0</v>
      </c>
      <c r="O46" s="282">
        <v>1</v>
      </c>
    </row>
    <row r="47" spans="1:17">
      <c r="A47" s="501" t="s">
        <v>2866</v>
      </c>
      <c r="B47" s="614">
        <v>453</v>
      </c>
      <c r="C47" s="614">
        <v>4183115</v>
      </c>
      <c r="D47" s="283" t="s">
        <v>2867</v>
      </c>
      <c r="E47" s="531">
        <v>977450.76</v>
      </c>
      <c r="F47" s="556" t="s">
        <v>1683</v>
      </c>
      <c r="G47" s="783">
        <f t="shared" si="35"/>
        <v>977450.76</v>
      </c>
      <c r="H47" s="780">
        <v>0</v>
      </c>
      <c r="I47" s="780">
        <f>G47-H47</f>
        <v>977450.76</v>
      </c>
      <c r="J47" s="783">
        <f>IF(F47=$J$2,E47,0)</f>
        <v>0</v>
      </c>
      <c r="K47" s="499"/>
      <c r="L47" s="556"/>
      <c r="M47" s="780">
        <f t="shared" si="38"/>
        <v>0</v>
      </c>
      <c r="N47" s="783">
        <f>IF(F47=$N$2,E47,0)</f>
        <v>0</v>
      </c>
      <c r="O47" s="282">
        <v>1</v>
      </c>
    </row>
    <row r="48" spans="1:17">
      <c r="A48" s="584"/>
      <c r="B48" s="802"/>
      <c r="C48" s="804"/>
      <c r="D48" s="585"/>
      <c r="E48" s="556"/>
      <c r="F48" s="556"/>
      <c r="G48" s="773"/>
      <c r="H48" s="774"/>
      <c r="I48" s="774"/>
      <c r="J48" s="773"/>
      <c r="K48" s="531"/>
      <c r="L48" s="393"/>
      <c r="M48" s="774"/>
      <c r="N48" s="773"/>
      <c r="O48" s="586"/>
    </row>
    <row r="49" spans="1:15">
      <c r="A49" s="584"/>
      <c r="B49" s="802"/>
      <c r="C49" s="804"/>
      <c r="D49" s="585"/>
      <c r="E49" s="556"/>
      <c r="F49" s="556"/>
      <c r="G49" s="898"/>
      <c r="H49" s="586"/>
      <c r="I49" s="393"/>
      <c r="J49" s="556"/>
      <c r="K49" s="556"/>
      <c r="L49" s="393"/>
      <c r="M49" s="393"/>
      <c r="N49" s="556"/>
      <c r="O49" s="586"/>
    </row>
    <row r="50" spans="1:15">
      <c r="A50" s="501">
        <v>8</v>
      </c>
      <c r="B50" s="1130" t="s">
        <v>1753</v>
      </c>
      <c r="C50" s="1123"/>
      <c r="D50" s="1124"/>
      <c r="E50" s="159">
        <f>SUM(E45:E49)</f>
        <v>1768535.63</v>
      </c>
      <c r="F50" s="166"/>
      <c r="G50" s="159">
        <f>SUM(G45:G49)</f>
        <v>1216885.76</v>
      </c>
      <c r="H50" s="107">
        <f>SUM(H45:H49)</f>
        <v>0</v>
      </c>
      <c r="I50" s="159">
        <f>SUM(I45:I49)</f>
        <v>1216885.76</v>
      </c>
      <c r="J50" s="159">
        <f>SUM(J45:J49)</f>
        <v>551649.87</v>
      </c>
      <c r="K50" s="166"/>
      <c r="L50" s="159">
        <f>SUM(L45:L49)</f>
        <v>83273.720046709699</v>
      </c>
      <c r="M50" s="159">
        <f>SUM(M45:M49)</f>
        <v>468376.1499532903</v>
      </c>
      <c r="N50" s="159">
        <f>SUM(N45:N49)</f>
        <v>0</v>
      </c>
      <c r="O50" s="107"/>
    </row>
    <row r="51" spans="1:15" ht="25.5" customHeight="1">
      <c r="A51" s="501">
        <v>9</v>
      </c>
      <c r="B51" s="1128" t="s">
        <v>1754</v>
      </c>
      <c r="C51" s="1129"/>
      <c r="D51" s="1129"/>
      <c r="E51" s="169">
        <v>1768536</v>
      </c>
      <c r="F51" s="158"/>
      <c r="G51" s="155"/>
      <c r="H51" s="900"/>
      <c r="I51" s="111"/>
      <c r="J51" s="155"/>
      <c r="K51" s="158"/>
      <c r="L51" s="155"/>
      <c r="M51" s="155"/>
      <c r="N51" s="155"/>
      <c r="O51" s="2"/>
    </row>
    <row r="52" spans="1:15">
      <c r="A52" s="4"/>
      <c r="B52" s="1"/>
      <c r="C52" s="110"/>
      <c r="D52" s="110"/>
      <c r="E52" s="155"/>
      <c r="F52" s="155"/>
      <c r="G52" s="155"/>
      <c r="H52" s="900"/>
      <c r="I52" s="111"/>
      <c r="J52" s="155"/>
      <c r="K52" s="158"/>
      <c r="L52" s="155"/>
      <c r="M52" s="155"/>
      <c r="N52" s="155"/>
      <c r="O52" s="2"/>
    </row>
    <row r="53" spans="1:15">
      <c r="A53" s="501" t="s">
        <v>1755</v>
      </c>
      <c r="B53" s="980">
        <v>454</v>
      </c>
      <c r="C53" s="1047">
        <v>4184110</v>
      </c>
      <c r="D53" s="1048" t="s">
        <v>1756</v>
      </c>
      <c r="E53" s="531">
        <v>809231.04</v>
      </c>
      <c r="F53" s="531" t="s">
        <v>1683</v>
      </c>
      <c r="G53" s="895">
        <f>IF(F53=$G$2,E53,0)</f>
        <v>809231.04</v>
      </c>
      <c r="H53" s="498">
        <v>0</v>
      </c>
      <c r="I53" s="498">
        <f>G53-H53</f>
        <v>809231.04</v>
      </c>
      <c r="J53" s="895">
        <f>IF(F53=$J$2,E53,0)</f>
        <v>0</v>
      </c>
      <c r="K53" s="895"/>
      <c r="L53" s="556"/>
      <c r="M53" s="498">
        <f>J53-L53</f>
        <v>0</v>
      </c>
      <c r="N53" s="895">
        <f>IF(F53=$N$2,E53,0)</f>
        <v>0</v>
      </c>
      <c r="O53" s="282">
        <v>4</v>
      </c>
    </row>
    <row r="54" spans="1:15">
      <c r="A54" s="501" t="s">
        <v>1757</v>
      </c>
      <c r="B54" s="980">
        <v>454</v>
      </c>
      <c r="C54" s="1047">
        <v>4184112</v>
      </c>
      <c r="D54" s="1048" t="s">
        <v>1758</v>
      </c>
      <c r="E54" s="531">
        <v>6791825.2300000004</v>
      </c>
      <c r="F54" s="531" t="s">
        <v>1683</v>
      </c>
      <c r="G54" s="895">
        <f>IF(F54=$G$2,E54,0)</f>
        <v>6791825.2300000004</v>
      </c>
      <c r="H54" s="498">
        <v>0</v>
      </c>
      <c r="I54" s="498">
        <f>G54-H54</f>
        <v>6791825.2300000004</v>
      </c>
      <c r="J54" s="895">
        <f t="shared" ref="J54:J65" si="39">IF(F54=$J$2,E54,0)</f>
        <v>0</v>
      </c>
      <c r="K54" s="895"/>
      <c r="L54" s="556"/>
      <c r="M54" s="498">
        <f t="shared" ref="M54:M56" si="40">J54-L54</f>
        <v>0</v>
      </c>
      <c r="N54" s="895">
        <f>IF(F54=$N$2,E54,0)</f>
        <v>0</v>
      </c>
      <c r="O54" s="282">
        <v>4</v>
      </c>
    </row>
    <row r="55" spans="1:15">
      <c r="A55" s="501" t="s">
        <v>1759</v>
      </c>
      <c r="B55" s="980">
        <v>454</v>
      </c>
      <c r="C55" s="1047">
        <v>4184114</v>
      </c>
      <c r="D55" s="1048" t="s">
        <v>1760</v>
      </c>
      <c r="E55" s="531">
        <v>2615786.06</v>
      </c>
      <c r="F55" s="531" t="s">
        <v>1683</v>
      </c>
      <c r="G55" s="895">
        <f>IF(F55=$G$2,E55,0)</f>
        <v>2615786.06</v>
      </c>
      <c r="H55" s="498">
        <v>0</v>
      </c>
      <c r="I55" s="498">
        <f>G55-H55</f>
        <v>2615786.06</v>
      </c>
      <c r="J55" s="895">
        <f t="shared" si="39"/>
        <v>0</v>
      </c>
      <c r="K55" s="895"/>
      <c r="L55" s="556"/>
      <c r="M55" s="498">
        <f t="shared" si="40"/>
        <v>0</v>
      </c>
      <c r="N55" s="895">
        <f>IF(F55=$N$2,E55,0)</f>
        <v>0</v>
      </c>
      <c r="O55" s="282">
        <v>4</v>
      </c>
    </row>
    <row r="56" spans="1:15">
      <c r="A56" s="595" t="s">
        <v>1761</v>
      </c>
      <c r="B56" s="980">
        <v>454</v>
      </c>
      <c r="C56" s="1047">
        <v>4184120</v>
      </c>
      <c r="D56" s="1048" t="s">
        <v>1762</v>
      </c>
      <c r="E56" s="531">
        <v>-751000</v>
      </c>
      <c r="F56" s="531" t="s">
        <v>1683</v>
      </c>
      <c r="G56" s="895">
        <f>IF(F56=$G$2,E56,0)</f>
        <v>-751000</v>
      </c>
      <c r="H56" s="498">
        <v>0</v>
      </c>
      <c r="I56" s="498">
        <f>G56-H56</f>
        <v>-751000</v>
      </c>
      <c r="J56" s="895">
        <f t="shared" si="39"/>
        <v>0</v>
      </c>
      <c r="K56" s="895"/>
      <c r="L56" s="556"/>
      <c r="M56" s="498">
        <f t="shared" si="40"/>
        <v>0</v>
      </c>
      <c r="N56" s="895">
        <f>IF(F56=$N$2,E56,0)</f>
        <v>0</v>
      </c>
      <c r="O56" s="282">
        <v>4</v>
      </c>
    </row>
    <row r="57" spans="1:15">
      <c r="A57" s="594" t="s">
        <v>1763</v>
      </c>
      <c r="B57" s="980">
        <v>454</v>
      </c>
      <c r="C57" s="1047">
        <v>4184510</v>
      </c>
      <c r="D57" s="1048" t="s">
        <v>1764</v>
      </c>
      <c r="E57" s="531">
        <v>201099.54</v>
      </c>
      <c r="F57" s="531" t="s">
        <v>1684</v>
      </c>
      <c r="G57" s="895">
        <f t="shared" ref="G57:G63" si="41">IF(F57=$G$2,E57,0)</f>
        <v>0</v>
      </c>
      <c r="H57" s="498">
        <v>0</v>
      </c>
      <c r="I57" s="498">
        <f>G57-H57</f>
        <v>0</v>
      </c>
      <c r="J57" s="895">
        <f t="shared" si="39"/>
        <v>201099.54</v>
      </c>
      <c r="K57" s="901" t="s">
        <v>1715</v>
      </c>
      <c r="L57" s="556">
        <v>38688.523113288567</v>
      </c>
      <c r="M57" s="498">
        <f>J57-L57</f>
        <v>162411.01688671144</v>
      </c>
      <c r="N57" s="895">
        <f>IF(F57=$N$2,E57,0)</f>
        <v>0</v>
      </c>
      <c r="O57" s="282">
        <v>2</v>
      </c>
    </row>
    <row r="58" spans="1:15">
      <c r="A58" s="501" t="s">
        <v>1765</v>
      </c>
      <c r="B58" s="980">
        <v>454</v>
      </c>
      <c r="C58" s="1047">
        <v>4184512</v>
      </c>
      <c r="D58" s="1048" t="s">
        <v>1766</v>
      </c>
      <c r="E58" s="531">
        <v>868.1</v>
      </c>
      <c r="F58" s="531" t="s">
        <v>1684</v>
      </c>
      <c r="G58" s="895">
        <f t="shared" si="41"/>
        <v>0</v>
      </c>
      <c r="H58" s="498">
        <v>0</v>
      </c>
      <c r="I58" s="498">
        <f t="shared" ref="I58:I60" si="42">G58-H58</f>
        <v>0</v>
      </c>
      <c r="J58" s="895">
        <f t="shared" si="39"/>
        <v>868.1</v>
      </c>
      <c r="K58" s="901" t="s">
        <v>1715</v>
      </c>
      <c r="L58" s="556">
        <v>0</v>
      </c>
      <c r="M58" s="498">
        <f>J58-L58</f>
        <v>868.1</v>
      </c>
      <c r="N58" s="895">
        <f t="shared" ref="N58:N63" si="43">IF(F58=$N$2,E58,0)</f>
        <v>0</v>
      </c>
      <c r="O58" s="282">
        <v>2</v>
      </c>
    </row>
    <row r="59" spans="1:15">
      <c r="A59" s="501" t="s">
        <v>1767</v>
      </c>
      <c r="B59" s="980">
        <v>454</v>
      </c>
      <c r="C59" s="1047">
        <v>4184514</v>
      </c>
      <c r="D59" s="1048" t="s">
        <v>1768</v>
      </c>
      <c r="E59" s="531"/>
      <c r="F59" s="531" t="s">
        <v>1684</v>
      </c>
      <c r="G59" s="895">
        <f t="shared" si="41"/>
        <v>0</v>
      </c>
      <c r="H59" s="498">
        <v>0</v>
      </c>
      <c r="I59" s="498">
        <f t="shared" si="42"/>
        <v>0</v>
      </c>
      <c r="J59" s="895">
        <f t="shared" si="39"/>
        <v>0</v>
      </c>
      <c r="K59" s="901" t="s">
        <v>1715</v>
      </c>
      <c r="L59" s="556">
        <v>0</v>
      </c>
      <c r="M59" s="498">
        <f>J59-L59</f>
        <v>0</v>
      </c>
      <c r="N59" s="895">
        <f t="shared" si="43"/>
        <v>0</v>
      </c>
      <c r="O59" s="282">
        <v>2</v>
      </c>
    </row>
    <row r="60" spans="1:15">
      <c r="A60" s="501" t="s">
        <v>1769</v>
      </c>
      <c r="B60" s="980">
        <v>454</v>
      </c>
      <c r="C60" s="1047">
        <v>4184516</v>
      </c>
      <c r="D60" s="1048" t="s">
        <v>1770</v>
      </c>
      <c r="E60" s="531">
        <v>10833.23</v>
      </c>
      <c r="F60" s="531" t="s">
        <v>1684</v>
      </c>
      <c r="G60" s="895">
        <f t="shared" si="41"/>
        <v>0</v>
      </c>
      <c r="H60" s="498">
        <v>0</v>
      </c>
      <c r="I60" s="498">
        <f t="shared" si="42"/>
        <v>0</v>
      </c>
      <c r="J60" s="895">
        <f t="shared" si="39"/>
        <v>10833.23</v>
      </c>
      <c r="K60" s="901" t="s">
        <v>1715</v>
      </c>
      <c r="L60" s="556">
        <v>2576.6998877505998</v>
      </c>
      <c r="M60" s="498">
        <f t="shared" ref="M60:M78" si="44">J60-L60</f>
        <v>8256.5301122494002</v>
      </c>
      <c r="N60" s="895">
        <f t="shared" si="43"/>
        <v>0</v>
      </c>
      <c r="O60" s="282">
        <v>2</v>
      </c>
    </row>
    <row r="61" spans="1:15">
      <c r="A61" s="501" t="s">
        <v>1771</v>
      </c>
      <c r="B61" s="980">
        <v>454</v>
      </c>
      <c r="C61" s="1047">
        <v>4184518</v>
      </c>
      <c r="D61" s="1048" t="s">
        <v>1772</v>
      </c>
      <c r="E61" s="531">
        <v>-360920.16</v>
      </c>
      <c r="F61" s="531" t="s">
        <v>1683</v>
      </c>
      <c r="G61" s="895">
        <f>IF(F61=$G$2,E61,0)</f>
        <v>-360920.16</v>
      </c>
      <c r="H61" s="498">
        <v>0</v>
      </c>
      <c r="I61" s="498">
        <f>G61-H61</f>
        <v>-360920.16</v>
      </c>
      <c r="J61" s="895">
        <f>IF(F61=$J$2,E61,0)</f>
        <v>0</v>
      </c>
      <c r="K61" s="895"/>
      <c r="L61" s="556"/>
      <c r="M61" s="498">
        <f t="shared" si="44"/>
        <v>0</v>
      </c>
      <c r="N61" s="895">
        <f t="shared" si="43"/>
        <v>0</v>
      </c>
      <c r="O61" s="282">
        <v>4</v>
      </c>
    </row>
    <row r="62" spans="1:15">
      <c r="A62" s="501" t="s">
        <v>1773</v>
      </c>
      <c r="B62" s="980">
        <v>454</v>
      </c>
      <c r="C62" s="1047">
        <v>4184810</v>
      </c>
      <c r="D62" s="1048" t="s">
        <v>1774</v>
      </c>
      <c r="E62" s="531">
        <v>50946.47</v>
      </c>
      <c r="F62" s="531" t="s">
        <v>1685</v>
      </c>
      <c r="G62" s="895">
        <f>I62+H62</f>
        <v>3393.0349020000003</v>
      </c>
      <c r="H62" s="498">
        <f>E62*$D$290</f>
        <v>3393.0349020000003</v>
      </c>
      <c r="I62" s="498">
        <v>0</v>
      </c>
      <c r="J62" s="895">
        <f t="shared" si="39"/>
        <v>0</v>
      </c>
      <c r="K62" s="895"/>
      <c r="L62" s="556"/>
      <c r="M62" s="498">
        <f>J62-L62</f>
        <v>0</v>
      </c>
      <c r="N62" s="895">
        <f>IF(F62=$N$2,E62-H62,0)</f>
        <v>47553.435098000002</v>
      </c>
      <c r="O62" s="282" t="s">
        <v>1775</v>
      </c>
    </row>
    <row r="63" spans="1:15">
      <c r="A63" s="501" t="s">
        <v>1776</v>
      </c>
      <c r="B63" s="980">
        <v>454</v>
      </c>
      <c r="C63" s="1047">
        <v>4184815</v>
      </c>
      <c r="D63" s="1048" t="s">
        <v>1777</v>
      </c>
      <c r="E63" s="531"/>
      <c r="F63" s="531" t="s">
        <v>1683</v>
      </c>
      <c r="G63" s="895">
        <f t="shared" si="41"/>
        <v>0</v>
      </c>
      <c r="H63" s="498">
        <f>E63*$D$290</f>
        <v>0</v>
      </c>
      <c r="I63" s="498">
        <f>G63-H63</f>
        <v>0</v>
      </c>
      <c r="J63" s="895">
        <f t="shared" si="39"/>
        <v>0</v>
      </c>
      <c r="K63" s="895"/>
      <c r="L63" s="556"/>
      <c r="M63" s="498">
        <f t="shared" si="44"/>
        <v>0</v>
      </c>
      <c r="N63" s="895">
        <f t="shared" si="43"/>
        <v>0</v>
      </c>
      <c r="O63" s="282">
        <v>7</v>
      </c>
    </row>
    <row r="64" spans="1:15">
      <c r="A64" s="501" t="s">
        <v>1778</v>
      </c>
      <c r="B64" s="980">
        <v>454</v>
      </c>
      <c r="C64" s="1047">
        <v>4184820</v>
      </c>
      <c r="D64" s="1048" t="s">
        <v>1779</v>
      </c>
      <c r="E64" s="531">
        <v>1192827.05</v>
      </c>
      <c r="F64" s="531" t="s">
        <v>1685</v>
      </c>
      <c r="G64" s="895">
        <f>I64+H64</f>
        <v>79442.281530000007</v>
      </c>
      <c r="H64" s="498">
        <f>E64*$D$290</f>
        <v>79442.281530000007</v>
      </c>
      <c r="I64" s="498">
        <v>0</v>
      </c>
      <c r="J64" s="895">
        <f>IF(F64=$J$2,E64,0)</f>
        <v>0</v>
      </c>
      <c r="K64" s="895"/>
      <c r="L64" s="556"/>
      <c r="M64" s="498">
        <f>J64-L64</f>
        <v>0</v>
      </c>
      <c r="N64" s="895">
        <f>IF(F64=$N$2,E64-H64,0)</f>
        <v>1113384.76847</v>
      </c>
      <c r="O64" s="282" t="s">
        <v>1775</v>
      </c>
    </row>
    <row r="65" spans="1:15">
      <c r="A65" s="501" t="s">
        <v>1780</v>
      </c>
      <c r="B65" s="980">
        <v>454</v>
      </c>
      <c r="C65" s="1047">
        <v>4184825</v>
      </c>
      <c r="D65" s="1048" t="s">
        <v>1781</v>
      </c>
      <c r="E65" s="531"/>
      <c r="F65" s="531" t="s">
        <v>1683</v>
      </c>
      <c r="G65" s="895">
        <f>I65+H65</f>
        <v>0</v>
      </c>
      <c r="H65" s="498">
        <f>E65*$D$284</f>
        <v>0</v>
      </c>
      <c r="I65" s="498">
        <v>0</v>
      </c>
      <c r="J65" s="895">
        <f t="shared" si="39"/>
        <v>0</v>
      </c>
      <c r="K65" s="895"/>
      <c r="L65" s="556"/>
      <c r="M65" s="498">
        <f t="shared" si="44"/>
        <v>0</v>
      </c>
      <c r="N65" s="895">
        <f t="shared" ref="N65:N76" si="45">IF(F65=$N$2,E65,0)</f>
        <v>0</v>
      </c>
      <c r="O65" s="282">
        <v>7</v>
      </c>
    </row>
    <row r="66" spans="1:15">
      <c r="A66" s="501" t="s">
        <v>1782</v>
      </c>
      <c r="B66" s="980">
        <v>454</v>
      </c>
      <c r="C66" s="1047">
        <v>4194110</v>
      </c>
      <c r="D66" s="1048" t="s">
        <v>1783</v>
      </c>
      <c r="E66" s="531"/>
      <c r="F66" s="531" t="s">
        <v>1683</v>
      </c>
      <c r="G66" s="895">
        <f t="shared" ref="G66:G76" si="46">IF(F66=$G$2,E66,0)</f>
        <v>0</v>
      </c>
      <c r="H66" s="498">
        <v>0</v>
      </c>
      <c r="I66" s="498">
        <f t="shared" ref="I66:I71" si="47">G66-H66</f>
        <v>0</v>
      </c>
      <c r="J66" s="895">
        <f t="shared" ref="J66:J77" si="48">IF(F66=$J$2,E66,0)</f>
        <v>0</v>
      </c>
      <c r="K66" s="895"/>
      <c r="L66" s="556"/>
      <c r="M66" s="498">
        <f t="shared" si="44"/>
        <v>0</v>
      </c>
      <c r="N66" s="895">
        <f t="shared" si="45"/>
        <v>0</v>
      </c>
      <c r="O66" s="282">
        <v>1</v>
      </c>
    </row>
    <row r="67" spans="1:15">
      <c r="A67" s="501" t="s">
        <v>1784</v>
      </c>
      <c r="B67" s="980">
        <v>454</v>
      </c>
      <c r="C67" s="1047">
        <v>4194115</v>
      </c>
      <c r="D67" s="1048" t="s">
        <v>1785</v>
      </c>
      <c r="E67" s="531">
        <v>33869758.340000004</v>
      </c>
      <c r="F67" s="531" t="s">
        <v>1683</v>
      </c>
      <c r="G67" s="895">
        <f t="shared" si="46"/>
        <v>33869758.340000004</v>
      </c>
      <c r="H67" s="498">
        <v>0</v>
      </c>
      <c r="I67" s="498">
        <f>G67-H67</f>
        <v>33869758.340000004</v>
      </c>
      <c r="J67" s="895">
        <f t="shared" si="48"/>
        <v>0</v>
      </c>
      <c r="K67" s="895"/>
      <c r="L67" s="556"/>
      <c r="M67" s="498">
        <f t="shared" si="44"/>
        <v>0</v>
      </c>
      <c r="N67" s="895">
        <f t="shared" si="45"/>
        <v>0</v>
      </c>
      <c r="O67" s="282">
        <v>4</v>
      </c>
    </row>
    <row r="68" spans="1:15">
      <c r="A68" s="501" t="s">
        <v>1786</v>
      </c>
      <c r="B68" s="980">
        <v>454</v>
      </c>
      <c r="C68" s="1047">
        <v>4194120</v>
      </c>
      <c r="D68" s="1048" t="s">
        <v>1787</v>
      </c>
      <c r="E68" s="531">
        <v>3212896.71</v>
      </c>
      <c r="F68" s="531" t="s">
        <v>1683</v>
      </c>
      <c r="G68" s="895">
        <f t="shared" si="46"/>
        <v>3212896.71</v>
      </c>
      <c r="H68" s="498">
        <v>0</v>
      </c>
      <c r="I68" s="498">
        <f>G68-H68</f>
        <v>3212896.71</v>
      </c>
      <c r="J68" s="895">
        <f t="shared" si="48"/>
        <v>0</v>
      </c>
      <c r="K68" s="895"/>
      <c r="L68" s="556"/>
      <c r="M68" s="498">
        <f t="shared" si="44"/>
        <v>0</v>
      </c>
      <c r="N68" s="895">
        <f t="shared" si="45"/>
        <v>0</v>
      </c>
      <c r="O68" s="282">
        <v>4</v>
      </c>
    </row>
    <row r="69" spans="1:15">
      <c r="A69" s="501" t="s">
        <v>1788</v>
      </c>
      <c r="B69" s="980">
        <v>454</v>
      </c>
      <c r="C69" s="1047">
        <v>4194130</v>
      </c>
      <c r="D69" s="1048" t="s">
        <v>1789</v>
      </c>
      <c r="E69" s="531"/>
      <c r="F69" s="531" t="s">
        <v>1683</v>
      </c>
      <c r="G69" s="895">
        <f t="shared" si="46"/>
        <v>0</v>
      </c>
      <c r="H69" s="498">
        <v>0</v>
      </c>
      <c r="I69" s="498">
        <f>G69-H69</f>
        <v>0</v>
      </c>
      <c r="J69" s="895">
        <f t="shared" si="48"/>
        <v>0</v>
      </c>
      <c r="K69" s="895"/>
      <c r="L69" s="556"/>
      <c r="M69" s="498">
        <f t="shared" si="44"/>
        <v>0</v>
      </c>
      <c r="N69" s="895">
        <f t="shared" si="45"/>
        <v>0</v>
      </c>
      <c r="O69" s="282">
        <v>4</v>
      </c>
    </row>
    <row r="70" spans="1:15">
      <c r="A70" s="501" t="s">
        <v>1790</v>
      </c>
      <c r="B70" s="980">
        <v>454</v>
      </c>
      <c r="C70" s="1047">
        <v>4194135</v>
      </c>
      <c r="D70" s="1048" t="s">
        <v>1791</v>
      </c>
      <c r="E70" s="531"/>
      <c r="F70" s="531" t="s">
        <v>1683</v>
      </c>
      <c r="G70" s="895">
        <f t="shared" si="46"/>
        <v>0</v>
      </c>
      <c r="H70" s="393"/>
      <c r="I70" s="498">
        <f>G70-H70</f>
        <v>0</v>
      </c>
      <c r="J70" s="895">
        <f t="shared" si="48"/>
        <v>0</v>
      </c>
      <c r="K70" s="895"/>
      <c r="L70" s="556"/>
      <c r="M70" s="498">
        <f t="shared" si="44"/>
        <v>0</v>
      </c>
      <c r="N70" s="895">
        <f t="shared" si="45"/>
        <v>0</v>
      </c>
      <c r="O70" s="282">
        <v>8</v>
      </c>
    </row>
    <row r="71" spans="1:15">
      <c r="A71" s="501" t="s">
        <v>1792</v>
      </c>
      <c r="B71" s="980">
        <v>454</v>
      </c>
      <c r="C71" s="1047">
        <v>4204515</v>
      </c>
      <c r="D71" s="1048" t="s">
        <v>1793</v>
      </c>
      <c r="E71" s="531">
        <v>24516342.199999999</v>
      </c>
      <c r="F71" s="531" t="s">
        <v>1684</v>
      </c>
      <c r="G71" s="895">
        <f t="shared" si="46"/>
        <v>0</v>
      </c>
      <c r="H71" s="498">
        <v>0</v>
      </c>
      <c r="I71" s="498">
        <f t="shared" si="47"/>
        <v>0</v>
      </c>
      <c r="J71" s="895">
        <f t="shared" si="48"/>
        <v>24516342.199999999</v>
      </c>
      <c r="K71" s="901" t="s">
        <v>1715</v>
      </c>
      <c r="L71" s="556">
        <v>4169514.8247038573</v>
      </c>
      <c r="M71" s="498">
        <f t="shared" ref="M71:M76" si="49">J71-L71</f>
        <v>20346827.375296142</v>
      </c>
      <c r="N71" s="895">
        <f t="shared" si="45"/>
        <v>0</v>
      </c>
      <c r="O71" s="282">
        <v>2</v>
      </c>
    </row>
    <row r="72" spans="1:15">
      <c r="A72" s="501" t="s">
        <v>1794</v>
      </c>
      <c r="B72" s="980">
        <v>454</v>
      </c>
      <c r="C72" s="1047">
        <v>4867020</v>
      </c>
      <c r="D72" s="1048" t="s">
        <v>1795</v>
      </c>
      <c r="E72" s="531"/>
      <c r="F72" s="531" t="s">
        <v>1683</v>
      </c>
      <c r="G72" s="895">
        <f t="shared" si="46"/>
        <v>0</v>
      </c>
      <c r="H72" s="498">
        <v>0</v>
      </c>
      <c r="I72" s="498">
        <f>G72-H72</f>
        <v>0</v>
      </c>
      <c r="J72" s="895">
        <f t="shared" si="48"/>
        <v>0</v>
      </c>
      <c r="K72" s="895"/>
      <c r="L72" s="556"/>
      <c r="M72" s="498">
        <f t="shared" si="49"/>
        <v>0</v>
      </c>
      <c r="N72" s="895">
        <f t="shared" si="45"/>
        <v>0</v>
      </c>
      <c r="O72" s="282">
        <v>4</v>
      </c>
    </row>
    <row r="73" spans="1:15">
      <c r="A73" s="501" t="s">
        <v>1796</v>
      </c>
      <c r="B73" s="980">
        <v>454</v>
      </c>
      <c r="C73" s="1047" t="s">
        <v>1797</v>
      </c>
      <c r="D73" s="1048" t="s">
        <v>1798</v>
      </c>
      <c r="E73" s="531"/>
      <c r="F73" s="531" t="s">
        <v>1683</v>
      </c>
      <c r="G73" s="895">
        <f t="shared" si="46"/>
        <v>0</v>
      </c>
      <c r="H73" s="498">
        <v>0</v>
      </c>
      <c r="I73" s="498">
        <f>G73-H73</f>
        <v>0</v>
      </c>
      <c r="J73" s="895">
        <f t="shared" si="48"/>
        <v>0</v>
      </c>
      <c r="K73" s="895"/>
      <c r="L73" s="556"/>
      <c r="M73" s="498">
        <f t="shared" si="49"/>
        <v>0</v>
      </c>
      <c r="N73" s="895">
        <f t="shared" si="45"/>
        <v>0</v>
      </c>
      <c r="O73" s="282">
        <v>1</v>
      </c>
    </row>
    <row r="74" spans="1:15">
      <c r="A74" s="501" t="s">
        <v>1799</v>
      </c>
      <c r="B74" s="980">
        <v>454</v>
      </c>
      <c r="C74" s="1047">
        <v>4206515</v>
      </c>
      <c r="D74" s="677" t="s">
        <v>1800</v>
      </c>
      <c r="E74" s="531">
        <v>2240502.7599999998</v>
      </c>
      <c r="F74" s="531" t="s">
        <v>1684</v>
      </c>
      <c r="G74" s="895">
        <f t="shared" si="46"/>
        <v>0</v>
      </c>
      <c r="H74" s="498">
        <v>0</v>
      </c>
      <c r="I74" s="498">
        <f>G74-H74</f>
        <v>0</v>
      </c>
      <c r="J74" s="499">
        <f t="shared" si="48"/>
        <v>2240502.7599999998</v>
      </c>
      <c r="K74" s="499" t="s">
        <v>1715</v>
      </c>
      <c r="L74" s="556">
        <v>898644.09883165185</v>
      </c>
      <c r="M74" s="498">
        <f t="shared" si="49"/>
        <v>1341858.661168348</v>
      </c>
      <c r="N74" s="895">
        <f t="shared" si="45"/>
        <v>0</v>
      </c>
      <c r="O74" s="282">
        <v>2</v>
      </c>
    </row>
    <row r="75" spans="1:15">
      <c r="A75" s="501" t="s">
        <v>1801</v>
      </c>
      <c r="B75" s="980">
        <v>454</v>
      </c>
      <c r="C75" s="1047">
        <v>4184122</v>
      </c>
      <c r="D75" s="677" t="s">
        <v>1802</v>
      </c>
      <c r="E75" s="531"/>
      <c r="F75" s="531" t="s">
        <v>1683</v>
      </c>
      <c r="G75" s="895">
        <f t="shared" si="46"/>
        <v>0</v>
      </c>
      <c r="H75" s="498">
        <v>0</v>
      </c>
      <c r="I75" s="498">
        <f>G75-H75</f>
        <v>0</v>
      </c>
      <c r="J75" s="499">
        <f t="shared" si="48"/>
        <v>0</v>
      </c>
      <c r="K75" s="895"/>
      <c r="L75" s="556"/>
      <c r="M75" s="498">
        <f t="shared" si="49"/>
        <v>0</v>
      </c>
      <c r="N75" s="895">
        <f t="shared" si="45"/>
        <v>0</v>
      </c>
      <c r="O75" s="282">
        <v>4</v>
      </c>
    </row>
    <row r="76" spans="1:15">
      <c r="A76" s="501" t="s">
        <v>1803</v>
      </c>
      <c r="B76" s="980">
        <v>454</v>
      </c>
      <c r="C76" s="1047">
        <v>4184124</v>
      </c>
      <c r="D76" s="677" t="s">
        <v>1804</v>
      </c>
      <c r="E76" s="531">
        <v>7284.42</v>
      </c>
      <c r="F76" s="531" t="s">
        <v>1683</v>
      </c>
      <c r="G76" s="895">
        <f t="shared" si="46"/>
        <v>7284.42</v>
      </c>
      <c r="H76" s="498">
        <v>0</v>
      </c>
      <c r="I76" s="498">
        <f>G76-H76</f>
        <v>7284.42</v>
      </c>
      <c r="J76" s="499">
        <f t="shared" si="48"/>
        <v>0</v>
      </c>
      <c r="K76" s="895"/>
      <c r="L76" s="556"/>
      <c r="M76" s="498">
        <f t="shared" si="49"/>
        <v>0</v>
      </c>
      <c r="N76" s="895">
        <f t="shared" si="45"/>
        <v>0</v>
      </c>
      <c r="O76" s="282">
        <v>4</v>
      </c>
    </row>
    <row r="77" spans="1:15">
      <c r="A77" s="501" t="s">
        <v>1805</v>
      </c>
      <c r="B77" s="980">
        <v>454</v>
      </c>
      <c r="C77" s="1047">
        <v>4184821</v>
      </c>
      <c r="D77" s="677" t="s">
        <v>1806</v>
      </c>
      <c r="E77" s="531">
        <v>85086.01</v>
      </c>
      <c r="F77" s="531" t="s">
        <v>1685</v>
      </c>
      <c r="G77" s="895">
        <f>I77+H77</f>
        <v>5666.7282660000001</v>
      </c>
      <c r="H77" s="498">
        <f>E77*$D$290</f>
        <v>5666.7282660000001</v>
      </c>
      <c r="I77" s="498">
        <v>0</v>
      </c>
      <c r="J77" s="895">
        <f t="shared" si="48"/>
        <v>0</v>
      </c>
      <c r="K77" s="895"/>
      <c r="L77" s="556"/>
      <c r="M77" s="498">
        <f t="shared" si="44"/>
        <v>0</v>
      </c>
      <c r="N77" s="895">
        <f>IF(F77=$N$2,E77-H77,0)</f>
        <v>79419.281733999989</v>
      </c>
      <c r="O77" s="282" t="s">
        <v>1775</v>
      </c>
    </row>
    <row r="78" spans="1:15">
      <c r="A78" s="501" t="s">
        <v>1807</v>
      </c>
      <c r="B78" s="980">
        <v>454</v>
      </c>
      <c r="C78" s="1047">
        <v>4184811</v>
      </c>
      <c r="D78" s="677" t="s">
        <v>1808</v>
      </c>
      <c r="E78" s="531">
        <v>704336.02</v>
      </c>
      <c r="F78" s="531" t="s">
        <v>1685</v>
      </c>
      <c r="G78" s="895">
        <f>I78+H78</f>
        <v>46908.778932000008</v>
      </c>
      <c r="H78" s="498">
        <f>E78*$D$290</f>
        <v>46908.778932000008</v>
      </c>
      <c r="I78" s="498">
        <v>0</v>
      </c>
      <c r="J78" s="499">
        <f t="shared" ref="J78" si="50">IF(F78=$J$2,E78,0)</f>
        <v>0</v>
      </c>
      <c r="K78" s="895"/>
      <c r="L78" s="556"/>
      <c r="M78" s="498">
        <f t="shared" si="44"/>
        <v>0</v>
      </c>
      <c r="N78" s="895">
        <f t="shared" ref="N78" si="51">IF(F78=$N$2,E78-H78,0)</f>
        <v>657427.24106799997</v>
      </c>
      <c r="O78" s="282" t="s">
        <v>1775</v>
      </c>
    </row>
    <row r="79" spans="1:15">
      <c r="A79" s="501" t="s">
        <v>1809</v>
      </c>
      <c r="B79" s="980">
        <v>454</v>
      </c>
      <c r="C79" s="1047">
        <v>4184515</v>
      </c>
      <c r="D79" s="677" t="s">
        <v>1735</v>
      </c>
      <c r="E79" s="531"/>
      <c r="F79" s="531" t="s">
        <v>1685</v>
      </c>
      <c r="G79" s="895">
        <f>IF(F79=$G$2,E79,0)</f>
        <v>0</v>
      </c>
      <c r="H79" s="498">
        <v>0</v>
      </c>
      <c r="I79" s="498">
        <f>G79-H79</f>
        <v>0</v>
      </c>
      <c r="J79" s="499">
        <f>IF(F79=$J$2,E79,0)</f>
        <v>0</v>
      </c>
      <c r="K79" s="895"/>
      <c r="L79" s="556"/>
      <c r="M79" s="498">
        <f>J79-L79</f>
        <v>0</v>
      </c>
      <c r="N79" s="895">
        <f>IF(F79=$N$2,E79-H79,0)</f>
        <v>0</v>
      </c>
      <c r="O79" s="282">
        <v>6</v>
      </c>
    </row>
    <row r="80" spans="1:15">
      <c r="A80" s="501" t="s">
        <v>1810</v>
      </c>
      <c r="B80" s="980">
        <v>454</v>
      </c>
      <c r="C80" s="1047">
        <v>4184126</v>
      </c>
      <c r="D80" s="756" t="s">
        <v>1811</v>
      </c>
      <c r="E80" s="531">
        <v>981082.83</v>
      </c>
      <c r="F80" s="755" t="s">
        <v>1683</v>
      </c>
      <c r="G80" s="895">
        <f>IF(F80=$G$2,E80,0)</f>
        <v>981082.83</v>
      </c>
      <c r="H80" s="498">
        <v>0</v>
      </c>
      <c r="I80" s="498">
        <f>G80-H80</f>
        <v>981082.83</v>
      </c>
      <c r="J80" s="499">
        <f>IF(F80=$J$2,E80,0)</f>
        <v>0</v>
      </c>
      <c r="K80" s="895"/>
      <c r="L80" s="556"/>
      <c r="M80" s="498">
        <f t="shared" ref="M80:M84" si="52">J80-L80</f>
        <v>0</v>
      </c>
      <c r="N80" s="895">
        <f t="shared" ref="N80:N81" si="53">IF(F80=$N$2,E80-H80,0)</f>
        <v>0</v>
      </c>
      <c r="O80" s="282">
        <v>4</v>
      </c>
    </row>
    <row r="81" spans="1:15">
      <c r="A81" s="501" t="s">
        <v>1812</v>
      </c>
      <c r="B81" s="980">
        <v>454</v>
      </c>
      <c r="C81" s="1047">
        <v>4184526</v>
      </c>
      <c r="D81" s="756" t="s">
        <v>1813</v>
      </c>
      <c r="E81" s="531">
        <v>2803.71</v>
      </c>
      <c r="F81" s="531" t="s">
        <v>1684</v>
      </c>
      <c r="G81" s="895">
        <f>IF(F81=$G$2,E81,0)</f>
        <v>0</v>
      </c>
      <c r="H81" s="498">
        <v>0</v>
      </c>
      <c r="I81" s="498">
        <f>G81-H81</f>
        <v>0</v>
      </c>
      <c r="J81" s="499">
        <f>IF(F81=$J$2,E81,0)</f>
        <v>2803.71</v>
      </c>
      <c r="K81" s="895" t="s">
        <v>1715</v>
      </c>
      <c r="L81" s="556">
        <v>2803.71</v>
      </c>
      <c r="M81" s="498">
        <f t="shared" si="52"/>
        <v>0</v>
      </c>
      <c r="N81" s="895">
        <f t="shared" si="53"/>
        <v>0</v>
      </c>
      <c r="O81" s="282">
        <v>2</v>
      </c>
    </row>
    <row r="82" spans="1:15">
      <c r="A82" s="501" t="s">
        <v>1814</v>
      </c>
      <c r="B82" s="980">
        <v>454</v>
      </c>
      <c r="C82" s="1047">
        <v>4197020</v>
      </c>
      <c r="D82" s="677" t="s">
        <v>1815</v>
      </c>
      <c r="E82" s="531">
        <v>-64091</v>
      </c>
      <c r="F82" s="531" t="s">
        <v>1683</v>
      </c>
      <c r="G82" s="499">
        <f t="shared" ref="G82:G84" si="54">IF(F82=$G$2,E82,0)</f>
        <v>-64091</v>
      </c>
      <c r="H82" s="498">
        <v>0</v>
      </c>
      <c r="I82" s="498">
        <f>G82-H82</f>
        <v>-64091</v>
      </c>
      <c r="J82" s="499">
        <f t="shared" ref="J82:J84" si="55">IF(F82=$J$2,E82,0)</f>
        <v>0</v>
      </c>
      <c r="K82" s="499"/>
      <c r="L82" s="556"/>
      <c r="M82" s="498">
        <f t="shared" si="52"/>
        <v>0</v>
      </c>
      <c r="N82" s="499">
        <f t="shared" ref="N82:N84" si="56">IF(F82=$N$2,E82,0)</f>
        <v>0</v>
      </c>
      <c r="O82" s="282">
        <v>4</v>
      </c>
    </row>
    <row r="83" spans="1:15">
      <c r="A83" s="501" t="s">
        <v>1816</v>
      </c>
      <c r="B83" s="980">
        <v>454</v>
      </c>
      <c r="C83" s="1047">
        <v>6120090</v>
      </c>
      <c r="D83" s="677" t="s">
        <v>1817</v>
      </c>
      <c r="E83" s="531"/>
      <c r="F83" s="531" t="s">
        <v>1683</v>
      </c>
      <c r="G83" s="499">
        <f t="shared" si="54"/>
        <v>0</v>
      </c>
      <c r="H83" s="498">
        <v>0</v>
      </c>
      <c r="I83" s="498">
        <f>G83-H83</f>
        <v>0</v>
      </c>
      <c r="J83" s="499">
        <f t="shared" si="55"/>
        <v>0</v>
      </c>
      <c r="K83" s="499"/>
      <c r="L83" s="556"/>
      <c r="M83" s="498">
        <f t="shared" si="52"/>
        <v>0</v>
      </c>
      <c r="N83" s="499">
        <f t="shared" si="56"/>
        <v>0</v>
      </c>
      <c r="O83" s="282">
        <v>4</v>
      </c>
    </row>
    <row r="84" spans="1:15">
      <c r="A84" s="501" t="s">
        <v>2868</v>
      </c>
      <c r="B84" s="980">
        <v>454</v>
      </c>
      <c r="C84" s="1047">
        <v>6120085</v>
      </c>
      <c r="D84" s="677" t="s">
        <v>2869</v>
      </c>
      <c r="E84" s="531"/>
      <c r="F84" s="531" t="s">
        <v>1683</v>
      </c>
      <c r="G84" s="499">
        <f t="shared" si="54"/>
        <v>0</v>
      </c>
      <c r="H84" s="498">
        <v>0</v>
      </c>
      <c r="I84" s="498">
        <f t="shared" ref="I84" si="57">G84-H84</f>
        <v>0</v>
      </c>
      <c r="J84" s="499">
        <f t="shared" si="55"/>
        <v>0</v>
      </c>
      <c r="K84" s="499"/>
      <c r="L84" s="556"/>
      <c r="M84" s="498">
        <f t="shared" si="52"/>
        <v>0</v>
      </c>
      <c r="N84" s="499">
        <f t="shared" si="56"/>
        <v>0</v>
      </c>
      <c r="O84" s="282">
        <v>4</v>
      </c>
    </row>
    <row r="85" spans="1:15">
      <c r="A85" s="584"/>
      <c r="B85" s="802"/>
      <c r="C85" s="804"/>
      <c r="D85" s="803"/>
      <c r="E85" s="531"/>
      <c r="F85" s="531"/>
      <c r="G85" s="811"/>
      <c r="H85" s="812"/>
      <c r="I85" s="812"/>
      <c r="J85" s="811"/>
      <c r="K85" s="811"/>
      <c r="L85" s="812"/>
      <c r="M85" s="812"/>
      <c r="N85" s="811"/>
      <c r="O85" s="768"/>
    </row>
    <row r="86" spans="1:15">
      <c r="A86" s="584"/>
      <c r="B86" s="802"/>
      <c r="C86" s="804"/>
      <c r="D86" s="803"/>
      <c r="E86" s="531"/>
      <c r="F86" s="531"/>
      <c r="G86" s="811"/>
      <c r="H86" s="812"/>
      <c r="I86" s="812"/>
      <c r="J86" s="811"/>
      <c r="K86" s="811"/>
      <c r="L86" s="812"/>
      <c r="M86" s="812"/>
      <c r="N86" s="811"/>
      <c r="O86" s="768"/>
    </row>
    <row r="87" spans="1:15">
      <c r="A87" s="501">
        <v>11</v>
      </c>
      <c r="B87" s="1130" t="s">
        <v>1818</v>
      </c>
      <c r="C87" s="1123"/>
      <c r="D87" s="1124"/>
      <c r="E87" s="159">
        <f>SUM(E53:E84)</f>
        <v>76117498.560000002</v>
      </c>
      <c r="F87" s="166"/>
      <c r="G87" s="159">
        <f>SUM(G53:G84)</f>
        <v>47247264.293630004</v>
      </c>
      <c r="H87" s="159">
        <f t="shared" ref="H87:J87" si="58">SUM(H53:H84)</f>
        <v>135410.82363000003</v>
      </c>
      <c r="I87" s="159">
        <f t="shared" si="58"/>
        <v>47111853.470000006</v>
      </c>
      <c r="J87" s="159">
        <f t="shared" si="58"/>
        <v>26972449.539999999</v>
      </c>
      <c r="K87" s="166"/>
      <c r="L87" s="159">
        <f>SUM(L53:L84)</f>
        <v>5112227.8565365486</v>
      </c>
      <c r="M87" s="159">
        <f>SUM(M53:M84)</f>
        <v>21860221.683463451</v>
      </c>
      <c r="N87" s="159">
        <f>SUM(N53:N84)</f>
        <v>1897784.72637</v>
      </c>
      <c r="O87" s="107"/>
    </row>
    <row r="88" spans="1:15" ht="24.75" customHeight="1">
      <c r="A88" s="501">
        <v>12</v>
      </c>
      <c r="B88" s="1125" t="s">
        <v>1819</v>
      </c>
      <c r="C88" s="1126"/>
      <c r="D88" s="1127"/>
      <c r="E88" s="583">
        <v>76117499</v>
      </c>
      <c r="F88" s="158"/>
      <c r="G88" s="172"/>
      <c r="H88" s="158"/>
      <c r="I88" s="158"/>
      <c r="J88" s="155"/>
      <c r="K88" s="158"/>
      <c r="L88" s="155"/>
      <c r="M88" s="155"/>
      <c r="N88" s="155"/>
      <c r="O88" s="2"/>
    </row>
    <row r="89" spans="1:15">
      <c r="A89" s="4"/>
      <c r="B89" s="1"/>
      <c r="C89" s="110"/>
      <c r="D89" s="110"/>
      <c r="E89" s="155"/>
      <c r="F89" s="155"/>
      <c r="G89" s="155"/>
      <c r="H89" s="158"/>
      <c r="I89" s="158"/>
      <c r="J89" s="155"/>
      <c r="K89" s="158"/>
      <c r="L89" s="155"/>
      <c r="M89" s="155"/>
      <c r="N89" s="155"/>
      <c r="O89" s="2"/>
    </row>
    <row r="90" spans="1:15">
      <c r="A90" s="501" t="s">
        <v>1820</v>
      </c>
      <c r="B90" s="614">
        <v>456</v>
      </c>
      <c r="C90" s="1047">
        <v>4186114</v>
      </c>
      <c r="D90" s="1048" t="s">
        <v>1821</v>
      </c>
      <c r="E90" s="531">
        <v>858981.08</v>
      </c>
      <c r="F90" s="773" t="s">
        <v>1683</v>
      </c>
      <c r="G90" s="779">
        <f t="shared" ref="G90:G98" si="59">IF(F90=$G$2,E90,0)</f>
        <v>858981.08</v>
      </c>
      <c r="H90" s="780">
        <v>0</v>
      </c>
      <c r="I90" s="780">
        <f t="shared" ref="I90:I98" si="60">G90-H90</f>
        <v>858981.08</v>
      </c>
      <c r="J90" s="779">
        <f t="shared" ref="J90:J105" si="61">IF(F90=$J$2,E90,0)</f>
        <v>0</v>
      </c>
      <c r="K90" s="779"/>
      <c r="L90" s="556"/>
      <c r="M90" s="780">
        <f t="shared" ref="M90:M105" si="62">J90-L90</f>
        <v>0</v>
      </c>
      <c r="N90" s="779">
        <f t="shared" ref="N90:N98" si="63">IF(F90=$N$2,E90,0)</f>
        <v>0</v>
      </c>
      <c r="O90" s="780">
        <v>1</v>
      </c>
    </row>
    <row r="91" spans="1:15">
      <c r="A91" s="501" t="s">
        <v>1822</v>
      </c>
      <c r="B91" s="614">
        <v>456</v>
      </c>
      <c r="C91" s="1047">
        <v>4186118</v>
      </c>
      <c r="D91" s="1049" t="s">
        <v>1823</v>
      </c>
      <c r="E91" s="531">
        <v>237.71</v>
      </c>
      <c r="F91" s="1006" t="s">
        <v>1683</v>
      </c>
      <c r="G91" s="779">
        <f t="shared" si="59"/>
        <v>237.71</v>
      </c>
      <c r="H91" s="780">
        <v>0</v>
      </c>
      <c r="I91" s="780">
        <f t="shared" si="60"/>
        <v>237.71</v>
      </c>
      <c r="J91" s="779">
        <f t="shared" si="61"/>
        <v>0</v>
      </c>
      <c r="K91" s="779"/>
      <c r="L91" s="556"/>
      <c r="M91" s="780">
        <f t="shared" si="62"/>
        <v>0</v>
      </c>
      <c r="N91" s="779">
        <f t="shared" si="63"/>
        <v>0</v>
      </c>
      <c r="O91" s="780">
        <v>4</v>
      </c>
    </row>
    <row r="92" spans="1:15">
      <c r="A92" s="501" t="s">
        <v>1824</v>
      </c>
      <c r="B92" s="614">
        <v>456</v>
      </c>
      <c r="C92" s="1047">
        <v>4186120</v>
      </c>
      <c r="D92" s="1048" t="s">
        <v>1825</v>
      </c>
      <c r="E92" s="531">
        <v>385391.2</v>
      </c>
      <c r="F92" s="773" t="s">
        <v>1683</v>
      </c>
      <c r="G92" s="779">
        <f t="shared" si="59"/>
        <v>385391.2</v>
      </c>
      <c r="H92" s="780">
        <v>0</v>
      </c>
      <c r="I92" s="780">
        <f t="shared" si="60"/>
        <v>385391.2</v>
      </c>
      <c r="J92" s="779">
        <f t="shared" si="61"/>
        <v>0</v>
      </c>
      <c r="K92" s="779"/>
      <c r="L92" s="556"/>
      <c r="M92" s="780">
        <f t="shared" si="62"/>
        <v>0</v>
      </c>
      <c r="N92" s="779">
        <f t="shared" si="63"/>
        <v>0</v>
      </c>
      <c r="O92" s="780">
        <v>4</v>
      </c>
    </row>
    <row r="93" spans="1:15">
      <c r="A93" s="501" t="s">
        <v>1826</v>
      </c>
      <c r="B93" s="614">
        <v>456</v>
      </c>
      <c r="C93" s="1047">
        <v>4186122</v>
      </c>
      <c r="D93" s="1048" t="s">
        <v>1827</v>
      </c>
      <c r="E93" s="531"/>
      <c r="F93" s="773" t="s">
        <v>1683</v>
      </c>
      <c r="G93" s="779">
        <f t="shared" si="59"/>
        <v>0</v>
      </c>
      <c r="H93" s="780">
        <v>0</v>
      </c>
      <c r="I93" s="780">
        <f t="shared" si="60"/>
        <v>0</v>
      </c>
      <c r="J93" s="779">
        <f t="shared" si="61"/>
        <v>0</v>
      </c>
      <c r="K93" s="779"/>
      <c r="L93" s="556"/>
      <c r="M93" s="780">
        <f t="shared" si="62"/>
        <v>0</v>
      </c>
      <c r="N93" s="779">
        <f t="shared" si="63"/>
        <v>0</v>
      </c>
      <c r="O93" s="780">
        <v>3</v>
      </c>
    </row>
    <row r="94" spans="1:15">
      <c r="A94" s="501" t="s">
        <v>1828</v>
      </c>
      <c r="B94" s="614">
        <v>456</v>
      </c>
      <c r="C94" s="1047">
        <v>4186126</v>
      </c>
      <c r="D94" s="1048" t="s">
        <v>1829</v>
      </c>
      <c r="E94" s="531"/>
      <c r="F94" s="773" t="s">
        <v>1683</v>
      </c>
      <c r="G94" s="779">
        <f t="shared" si="59"/>
        <v>0</v>
      </c>
      <c r="H94" s="780">
        <v>0</v>
      </c>
      <c r="I94" s="780">
        <f t="shared" si="60"/>
        <v>0</v>
      </c>
      <c r="J94" s="779">
        <f t="shared" si="61"/>
        <v>0</v>
      </c>
      <c r="K94" s="779"/>
      <c r="L94" s="556"/>
      <c r="M94" s="780">
        <f t="shared" si="62"/>
        <v>0</v>
      </c>
      <c r="N94" s="779">
        <f t="shared" si="63"/>
        <v>0</v>
      </c>
      <c r="O94" s="780">
        <v>1</v>
      </c>
    </row>
    <row r="95" spans="1:15">
      <c r="A95" s="501" t="s">
        <v>1830</v>
      </c>
      <c r="B95" s="614">
        <v>456</v>
      </c>
      <c r="C95" s="1047">
        <v>4186128</v>
      </c>
      <c r="D95" s="1048" t="s">
        <v>1831</v>
      </c>
      <c r="E95" s="531">
        <v>1611881.34</v>
      </c>
      <c r="F95" s="773" t="s">
        <v>1683</v>
      </c>
      <c r="G95" s="779">
        <f t="shared" si="59"/>
        <v>1611881.34</v>
      </c>
      <c r="H95" s="780">
        <v>0</v>
      </c>
      <c r="I95" s="780">
        <f t="shared" si="60"/>
        <v>1611881.34</v>
      </c>
      <c r="J95" s="779">
        <f t="shared" si="61"/>
        <v>0</v>
      </c>
      <c r="K95" s="779"/>
      <c r="L95" s="556"/>
      <c r="M95" s="780">
        <f t="shared" si="62"/>
        <v>0</v>
      </c>
      <c r="N95" s="779">
        <f t="shared" si="63"/>
        <v>0</v>
      </c>
      <c r="O95" s="780">
        <v>1</v>
      </c>
    </row>
    <row r="96" spans="1:15">
      <c r="A96" s="501" t="s">
        <v>1832</v>
      </c>
      <c r="B96" s="614">
        <v>456</v>
      </c>
      <c r="C96" s="1047">
        <v>4186130</v>
      </c>
      <c r="D96" s="1048" t="s">
        <v>1833</v>
      </c>
      <c r="E96" s="531"/>
      <c r="F96" s="773" t="s">
        <v>1683</v>
      </c>
      <c r="G96" s="779">
        <f t="shared" si="59"/>
        <v>0</v>
      </c>
      <c r="H96" s="780">
        <v>0</v>
      </c>
      <c r="I96" s="780">
        <f t="shared" si="60"/>
        <v>0</v>
      </c>
      <c r="J96" s="779">
        <f t="shared" si="61"/>
        <v>0</v>
      </c>
      <c r="K96" s="779"/>
      <c r="L96" s="556"/>
      <c r="M96" s="780">
        <f t="shared" si="62"/>
        <v>0</v>
      </c>
      <c r="N96" s="779">
        <f t="shared" si="63"/>
        <v>0</v>
      </c>
      <c r="O96" s="780">
        <v>3</v>
      </c>
    </row>
    <row r="97" spans="1:15">
      <c r="A97" s="501" t="s">
        <v>1834</v>
      </c>
      <c r="B97" s="614">
        <v>456</v>
      </c>
      <c r="C97" s="1047">
        <v>4186142</v>
      </c>
      <c r="D97" s="1048" t="s">
        <v>1835</v>
      </c>
      <c r="E97" s="531"/>
      <c r="F97" s="773" t="s">
        <v>1683</v>
      </c>
      <c r="G97" s="779">
        <f t="shared" si="59"/>
        <v>0</v>
      </c>
      <c r="H97" s="780">
        <v>0</v>
      </c>
      <c r="I97" s="780">
        <f t="shared" si="60"/>
        <v>0</v>
      </c>
      <c r="J97" s="779">
        <f t="shared" si="61"/>
        <v>0</v>
      </c>
      <c r="K97" s="779"/>
      <c r="L97" s="556"/>
      <c r="M97" s="780">
        <f t="shared" si="62"/>
        <v>0</v>
      </c>
      <c r="N97" s="779">
        <f t="shared" si="63"/>
        <v>0</v>
      </c>
      <c r="O97" s="780">
        <v>4</v>
      </c>
    </row>
    <row r="98" spans="1:15">
      <c r="A98" s="501" t="s">
        <v>1836</v>
      </c>
      <c r="B98" s="614">
        <v>456</v>
      </c>
      <c r="C98" s="1047">
        <v>4186150</v>
      </c>
      <c r="D98" s="1048" t="s">
        <v>1837</v>
      </c>
      <c r="E98" s="531"/>
      <c r="F98" s="773" t="s">
        <v>1683</v>
      </c>
      <c r="G98" s="779">
        <f t="shared" si="59"/>
        <v>0</v>
      </c>
      <c r="H98" s="780">
        <f>E98*$D$284</f>
        <v>0</v>
      </c>
      <c r="I98" s="780">
        <f t="shared" si="60"/>
        <v>0</v>
      </c>
      <c r="J98" s="779">
        <f t="shared" si="61"/>
        <v>0</v>
      </c>
      <c r="K98" s="779"/>
      <c r="L98" s="556"/>
      <c r="M98" s="780">
        <f t="shared" si="62"/>
        <v>0</v>
      </c>
      <c r="N98" s="779">
        <f t="shared" si="63"/>
        <v>0</v>
      </c>
      <c r="O98" s="780">
        <v>7</v>
      </c>
    </row>
    <row r="99" spans="1:15">
      <c r="A99" s="501" t="s">
        <v>1838</v>
      </c>
      <c r="B99" s="614">
        <v>456</v>
      </c>
      <c r="C99" s="1047">
        <v>4186155</v>
      </c>
      <c r="D99" s="1048" t="s">
        <v>1839</v>
      </c>
      <c r="E99" s="531">
        <v>6368.39</v>
      </c>
      <c r="F99" s="773" t="s">
        <v>1685</v>
      </c>
      <c r="G99" s="779">
        <f>I99+H99</f>
        <v>424.13477400000005</v>
      </c>
      <c r="H99" s="780">
        <f>E99*$D$290</f>
        <v>424.13477400000005</v>
      </c>
      <c r="I99" s="780">
        <v>0</v>
      </c>
      <c r="J99" s="779">
        <f t="shared" si="61"/>
        <v>0</v>
      </c>
      <c r="K99" s="779"/>
      <c r="L99" s="556"/>
      <c r="M99" s="780">
        <f t="shared" si="62"/>
        <v>0</v>
      </c>
      <c r="N99" s="779">
        <f>IF(F99=$N$2,E99-H99,0)</f>
        <v>5944.2552260000002</v>
      </c>
      <c r="O99" s="780" t="s">
        <v>1775</v>
      </c>
    </row>
    <row r="100" spans="1:15">
      <c r="A100" s="501" t="s">
        <v>1840</v>
      </c>
      <c r="B100" s="614">
        <v>456</v>
      </c>
      <c r="C100" s="1047">
        <v>4186162</v>
      </c>
      <c r="D100" s="1048" t="s">
        <v>1841</v>
      </c>
      <c r="E100" s="531"/>
      <c r="F100" s="773" t="s">
        <v>1683</v>
      </c>
      <c r="G100" s="779">
        <f t="shared" ref="G100:G139" si="64">IF(F100=$G$2,E100,0)</f>
        <v>0</v>
      </c>
      <c r="H100" s="780">
        <v>0</v>
      </c>
      <c r="I100" s="780">
        <f t="shared" ref="I100:I105" si="65">G100-H100</f>
        <v>0</v>
      </c>
      <c r="J100" s="779">
        <f t="shared" si="61"/>
        <v>0</v>
      </c>
      <c r="K100" s="779"/>
      <c r="L100" s="556"/>
      <c r="M100" s="780">
        <f t="shared" si="62"/>
        <v>0</v>
      </c>
      <c r="N100" s="779">
        <f t="shared" ref="N100:N105" si="66">IF(F100=$N$2,E100,0)</f>
        <v>0</v>
      </c>
      <c r="O100" s="780">
        <v>4</v>
      </c>
    </row>
    <row r="101" spans="1:15">
      <c r="A101" s="501" t="s">
        <v>1842</v>
      </c>
      <c r="B101" s="614">
        <v>456</v>
      </c>
      <c r="C101" s="1047">
        <v>4186164</v>
      </c>
      <c r="D101" s="1048" t="s">
        <v>1843</v>
      </c>
      <c r="E101" s="531"/>
      <c r="F101" s="773" t="s">
        <v>1683</v>
      </c>
      <c r="G101" s="779">
        <f t="shared" si="64"/>
        <v>0</v>
      </c>
      <c r="H101" s="780">
        <v>0</v>
      </c>
      <c r="I101" s="780">
        <f t="shared" si="65"/>
        <v>0</v>
      </c>
      <c r="J101" s="779">
        <f t="shared" si="61"/>
        <v>0</v>
      </c>
      <c r="K101" s="779"/>
      <c r="L101" s="556"/>
      <c r="M101" s="780">
        <f t="shared" si="62"/>
        <v>0</v>
      </c>
      <c r="N101" s="779">
        <f t="shared" si="66"/>
        <v>0</v>
      </c>
      <c r="O101" s="780">
        <v>4</v>
      </c>
    </row>
    <row r="102" spans="1:15">
      <c r="A102" s="501" t="s">
        <v>1844</v>
      </c>
      <c r="B102" s="614">
        <v>456</v>
      </c>
      <c r="C102" s="1047">
        <v>4186166</v>
      </c>
      <c r="D102" s="1048" t="s">
        <v>1845</v>
      </c>
      <c r="E102" s="531"/>
      <c r="F102" s="773" t="s">
        <v>1683</v>
      </c>
      <c r="G102" s="779">
        <f t="shared" si="64"/>
        <v>0</v>
      </c>
      <c r="H102" s="780">
        <v>0</v>
      </c>
      <c r="I102" s="780">
        <f t="shared" si="65"/>
        <v>0</v>
      </c>
      <c r="J102" s="779">
        <f t="shared" si="61"/>
        <v>0</v>
      </c>
      <c r="K102" s="779"/>
      <c r="L102" s="556"/>
      <c r="M102" s="780">
        <f t="shared" si="62"/>
        <v>0</v>
      </c>
      <c r="N102" s="779">
        <f t="shared" si="66"/>
        <v>0</v>
      </c>
      <c r="O102" s="780">
        <v>4</v>
      </c>
    </row>
    <row r="103" spans="1:15">
      <c r="A103" s="501" t="s">
        <v>1846</v>
      </c>
      <c r="B103" s="614">
        <v>456</v>
      </c>
      <c r="C103" s="1047">
        <v>4186168</v>
      </c>
      <c r="D103" s="1048" t="s">
        <v>1847</v>
      </c>
      <c r="E103" s="531"/>
      <c r="F103" s="773" t="s">
        <v>1683</v>
      </c>
      <c r="G103" s="779">
        <f t="shared" si="64"/>
        <v>0</v>
      </c>
      <c r="H103" s="780">
        <v>0</v>
      </c>
      <c r="I103" s="780">
        <f t="shared" si="65"/>
        <v>0</v>
      </c>
      <c r="J103" s="779">
        <f t="shared" si="61"/>
        <v>0</v>
      </c>
      <c r="K103" s="779"/>
      <c r="L103" s="556"/>
      <c r="M103" s="780">
        <f t="shared" si="62"/>
        <v>0</v>
      </c>
      <c r="N103" s="779">
        <f t="shared" si="66"/>
        <v>0</v>
      </c>
      <c r="O103" s="780">
        <v>4</v>
      </c>
    </row>
    <row r="104" spans="1:15">
      <c r="A104" s="501" t="s">
        <v>1848</v>
      </c>
      <c r="B104" s="614">
        <v>456</v>
      </c>
      <c r="C104" s="1047">
        <v>4186170</v>
      </c>
      <c r="D104" s="1048" t="s">
        <v>1849</v>
      </c>
      <c r="E104" s="531"/>
      <c r="F104" s="773" t="s">
        <v>1683</v>
      </c>
      <c r="G104" s="779">
        <f t="shared" si="64"/>
        <v>0</v>
      </c>
      <c r="H104" s="780">
        <v>0</v>
      </c>
      <c r="I104" s="780">
        <f t="shared" si="65"/>
        <v>0</v>
      </c>
      <c r="J104" s="779">
        <f t="shared" si="61"/>
        <v>0</v>
      </c>
      <c r="K104" s="779"/>
      <c r="L104" s="556"/>
      <c r="M104" s="780">
        <f t="shared" si="62"/>
        <v>0</v>
      </c>
      <c r="N104" s="779">
        <f t="shared" si="66"/>
        <v>0</v>
      </c>
      <c r="O104" s="780">
        <v>4</v>
      </c>
    </row>
    <row r="105" spans="1:15">
      <c r="A105" s="501" t="s">
        <v>1850</v>
      </c>
      <c r="B105" s="614">
        <v>456</v>
      </c>
      <c r="C105" s="1047">
        <v>4186194</v>
      </c>
      <c r="D105" s="1048" t="s">
        <v>1851</v>
      </c>
      <c r="E105" s="531">
        <v>208656</v>
      </c>
      <c r="F105" s="773" t="s">
        <v>1683</v>
      </c>
      <c r="G105" s="779">
        <f t="shared" si="64"/>
        <v>208656</v>
      </c>
      <c r="H105" s="780">
        <v>0</v>
      </c>
      <c r="I105" s="780">
        <f t="shared" si="65"/>
        <v>208656</v>
      </c>
      <c r="J105" s="779">
        <f t="shared" si="61"/>
        <v>0</v>
      </c>
      <c r="K105" s="779"/>
      <c r="L105" s="556"/>
      <c r="M105" s="780">
        <f t="shared" si="62"/>
        <v>0</v>
      </c>
      <c r="N105" s="779">
        <f t="shared" si="66"/>
        <v>0</v>
      </c>
      <c r="O105" s="780">
        <v>4</v>
      </c>
    </row>
    <row r="106" spans="1:15">
      <c r="A106" s="501" t="s">
        <v>1852</v>
      </c>
      <c r="B106" s="614">
        <v>456</v>
      </c>
      <c r="C106" s="1047">
        <v>4186512</v>
      </c>
      <c r="D106" s="1048" t="s">
        <v>1853</v>
      </c>
      <c r="E106" s="531">
        <v>2174614.44</v>
      </c>
      <c r="F106" s="773" t="s">
        <v>1684</v>
      </c>
      <c r="G106" s="779">
        <f t="shared" si="64"/>
        <v>0</v>
      </c>
      <c r="H106" s="780">
        <v>0</v>
      </c>
      <c r="I106" s="780">
        <f t="shared" ref="I106:I116" si="67">G106-H106</f>
        <v>0</v>
      </c>
      <c r="J106" s="779">
        <f t="shared" ref="J106:J116" si="68">IF(F106=$J$2,E106,0)</f>
        <v>2174614.44</v>
      </c>
      <c r="K106" s="899" t="s">
        <v>1715</v>
      </c>
      <c r="L106" s="556">
        <v>1092792.7921551466</v>
      </c>
      <c r="M106" s="780">
        <f t="shared" ref="M106:M116" si="69">J106-L106</f>
        <v>1081821.6478448533</v>
      </c>
      <c r="N106" s="779">
        <f t="shared" ref="N106:N116" si="70">IF(F106=$N$2,E106,0)</f>
        <v>0</v>
      </c>
      <c r="O106" s="780">
        <v>2</v>
      </c>
    </row>
    <row r="107" spans="1:15">
      <c r="A107" s="501" t="s">
        <v>1854</v>
      </c>
      <c r="B107" s="614">
        <v>456</v>
      </c>
      <c r="C107" s="1047">
        <v>4186514</v>
      </c>
      <c r="D107" s="1048" t="s">
        <v>1855</v>
      </c>
      <c r="E107" s="531">
        <v>387240</v>
      </c>
      <c r="F107" s="773" t="s">
        <v>1684</v>
      </c>
      <c r="G107" s="779">
        <f t="shared" si="64"/>
        <v>0</v>
      </c>
      <c r="H107" s="780">
        <v>0</v>
      </c>
      <c r="I107" s="780">
        <f t="shared" si="67"/>
        <v>0</v>
      </c>
      <c r="J107" s="779">
        <f t="shared" si="68"/>
        <v>387240</v>
      </c>
      <c r="K107" s="899" t="s">
        <v>1715</v>
      </c>
      <c r="L107" s="556">
        <v>61354.789678028385</v>
      </c>
      <c r="M107" s="780">
        <f t="shared" si="69"/>
        <v>325885.21032197162</v>
      </c>
      <c r="N107" s="779">
        <f t="shared" si="70"/>
        <v>0</v>
      </c>
      <c r="O107" s="780">
        <v>2</v>
      </c>
    </row>
    <row r="108" spans="1:15">
      <c r="A108" s="501" t="s">
        <v>1856</v>
      </c>
      <c r="B108" s="614">
        <v>456</v>
      </c>
      <c r="C108" s="1047">
        <v>4186518</v>
      </c>
      <c r="D108" s="1048" t="s">
        <v>1857</v>
      </c>
      <c r="E108" s="531">
        <v>156350</v>
      </c>
      <c r="F108" s="773" t="s">
        <v>1684</v>
      </c>
      <c r="G108" s="779">
        <f t="shared" si="64"/>
        <v>0</v>
      </c>
      <c r="H108" s="780">
        <v>0</v>
      </c>
      <c r="I108" s="780">
        <f t="shared" si="67"/>
        <v>0</v>
      </c>
      <c r="J108" s="779">
        <f t="shared" si="68"/>
        <v>156350</v>
      </c>
      <c r="K108" s="899" t="s">
        <v>1715</v>
      </c>
      <c r="L108" s="556">
        <v>10941.450290654095</v>
      </c>
      <c r="M108" s="780">
        <f t="shared" si="69"/>
        <v>145408.54970934591</v>
      </c>
      <c r="N108" s="779">
        <f t="shared" si="70"/>
        <v>0</v>
      </c>
      <c r="O108" s="780">
        <v>2</v>
      </c>
    </row>
    <row r="109" spans="1:15">
      <c r="A109" s="501" t="s">
        <v>1858</v>
      </c>
      <c r="B109" s="614">
        <v>456</v>
      </c>
      <c r="C109" s="1047">
        <v>4186524</v>
      </c>
      <c r="D109" s="1048" t="s">
        <v>1859</v>
      </c>
      <c r="E109" s="531"/>
      <c r="F109" s="773" t="s">
        <v>1684</v>
      </c>
      <c r="G109" s="779">
        <f t="shared" si="64"/>
        <v>0</v>
      </c>
      <c r="H109" s="780">
        <v>0</v>
      </c>
      <c r="I109" s="780">
        <f t="shared" si="67"/>
        <v>0</v>
      </c>
      <c r="J109" s="779">
        <f t="shared" si="68"/>
        <v>0</v>
      </c>
      <c r="K109" s="899" t="s">
        <v>1715</v>
      </c>
      <c r="L109" s="556"/>
      <c r="M109" s="780">
        <f t="shared" si="69"/>
        <v>0</v>
      </c>
      <c r="N109" s="779">
        <f t="shared" si="70"/>
        <v>0</v>
      </c>
      <c r="O109" s="780">
        <v>2</v>
      </c>
    </row>
    <row r="110" spans="1:15">
      <c r="A110" s="501" t="s">
        <v>1860</v>
      </c>
      <c r="B110" s="614">
        <v>456</v>
      </c>
      <c r="C110" s="1047">
        <v>4186528</v>
      </c>
      <c r="D110" s="1048" t="s">
        <v>1861</v>
      </c>
      <c r="E110" s="531">
        <v>4900</v>
      </c>
      <c r="F110" s="773" t="s">
        <v>1684</v>
      </c>
      <c r="G110" s="779">
        <f t="shared" si="64"/>
        <v>0</v>
      </c>
      <c r="H110" s="780">
        <v>0</v>
      </c>
      <c r="I110" s="780">
        <f t="shared" si="67"/>
        <v>0</v>
      </c>
      <c r="J110" s="779">
        <f t="shared" si="68"/>
        <v>4900</v>
      </c>
      <c r="K110" s="899" t="s">
        <v>1715</v>
      </c>
      <c r="L110" s="556">
        <v>0</v>
      </c>
      <c r="M110" s="780">
        <f t="shared" si="69"/>
        <v>4900</v>
      </c>
      <c r="N110" s="779">
        <f t="shared" si="70"/>
        <v>0</v>
      </c>
      <c r="O110" s="780">
        <v>2</v>
      </c>
    </row>
    <row r="111" spans="1:15">
      <c r="A111" s="501" t="s">
        <v>1862</v>
      </c>
      <c r="B111" s="614">
        <v>456</v>
      </c>
      <c r="C111" s="1047">
        <v>4186530</v>
      </c>
      <c r="D111" s="1048" t="s">
        <v>1863</v>
      </c>
      <c r="E111" s="531"/>
      <c r="F111" s="773" t="s">
        <v>1684</v>
      </c>
      <c r="G111" s="779">
        <f t="shared" si="64"/>
        <v>0</v>
      </c>
      <c r="H111" s="780">
        <v>0</v>
      </c>
      <c r="I111" s="780">
        <f t="shared" si="67"/>
        <v>0</v>
      </c>
      <c r="J111" s="779">
        <f t="shared" si="68"/>
        <v>0</v>
      </c>
      <c r="K111" s="899" t="s">
        <v>1715</v>
      </c>
      <c r="L111" s="556"/>
      <c r="M111" s="780">
        <f t="shared" si="69"/>
        <v>0</v>
      </c>
      <c r="N111" s="779">
        <f t="shared" si="70"/>
        <v>0</v>
      </c>
      <c r="O111" s="780">
        <v>2</v>
      </c>
    </row>
    <row r="112" spans="1:15">
      <c r="A112" s="501" t="s">
        <v>1864</v>
      </c>
      <c r="B112" s="614">
        <v>456</v>
      </c>
      <c r="C112" s="1047">
        <v>4186716</v>
      </c>
      <c r="D112" s="1048" t="s">
        <v>1865</v>
      </c>
      <c r="E112" s="531"/>
      <c r="F112" s="773" t="s">
        <v>1684</v>
      </c>
      <c r="G112" s="779">
        <f t="shared" si="64"/>
        <v>0</v>
      </c>
      <c r="H112" s="780">
        <v>0</v>
      </c>
      <c r="I112" s="780">
        <f t="shared" si="67"/>
        <v>0</v>
      </c>
      <c r="J112" s="779">
        <f t="shared" si="68"/>
        <v>0</v>
      </c>
      <c r="K112" s="899" t="s">
        <v>1471</v>
      </c>
      <c r="L112" s="556"/>
      <c r="M112" s="780">
        <f t="shared" si="69"/>
        <v>0</v>
      </c>
      <c r="N112" s="779">
        <f t="shared" si="70"/>
        <v>0</v>
      </c>
      <c r="O112" s="780">
        <v>2</v>
      </c>
    </row>
    <row r="113" spans="1:15">
      <c r="A113" s="282" t="s">
        <v>1866</v>
      </c>
      <c r="B113" s="614">
        <v>456</v>
      </c>
      <c r="C113" s="1047">
        <v>4186718</v>
      </c>
      <c r="D113" s="1048" t="s">
        <v>1867</v>
      </c>
      <c r="E113" s="531"/>
      <c r="F113" s="773" t="s">
        <v>1684</v>
      </c>
      <c r="G113" s="779">
        <f t="shared" si="64"/>
        <v>0</v>
      </c>
      <c r="H113" s="780">
        <v>0</v>
      </c>
      <c r="I113" s="780">
        <f t="shared" si="67"/>
        <v>0</v>
      </c>
      <c r="J113" s="779">
        <f t="shared" si="68"/>
        <v>0</v>
      </c>
      <c r="K113" s="899" t="s">
        <v>1471</v>
      </c>
      <c r="L113" s="556"/>
      <c r="M113" s="780">
        <f t="shared" si="69"/>
        <v>0</v>
      </c>
      <c r="N113" s="779">
        <f t="shared" si="70"/>
        <v>0</v>
      </c>
      <c r="O113" s="780">
        <v>2</v>
      </c>
    </row>
    <row r="114" spans="1:15">
      <c r="A114" s="596" t="s">
        <v>1868</v>
      </c>
      <c r="B114" s="614">
        <v>456</v>
      </c>
      <c r="C114" s="1047">
        <v>4186720</v>
      </c>
      <c r="D114" s="1048" t="s">
        <v>1869</v>
      </c>
      <c r="E114" s="531"/>
      <c r="F114" s="773" t="s">
        <v>1684</v>
      </c>
      <c r="G114" s="779">
        <f t="shared" si="64"/>
        <v>0</v>
      </c>
      <c r="H114" s="780">
        <v>0</v>
      </c>
      <c r="I114" s="780">
        <f t="shared" si="67"/>
        <v>0</v>
      </c>
      <c r="J114" s="779">
        <f t="shared" si="68"/>
        <v>0</v>
      </c>
      <c r="K114" s="899" t="s">
        <v>1471</v>
      </c>
      <c r="L114" s="556"/>
      <c r="M114" s="780">
        <f t="shared" si="69"/>
        <v>0</v>
      </c>
      <c r="N114" s="779">
        <f t="shared" si="70"/>
        <v>0</v>
      </c>
      <c r="O114" s="780">
        <v>2</v>
      </c>
    </row>
    <row r="115" spans="1:15">
      <c r="A115" s="282" t="s">
        <v>1870</v>
      </c>
      <c r="B115" s="614">
        <v>456</v>
      </c>
      <c r="C115" s="1047">
        <v>4186722</v>
      </c>
      <c r="D115" s="1048" t="s">
        <v>1871</v>
      </c>
      <c r="E115" s="531"/>
      <c r="F115" s="773" t="s">
        <v>1684</v>
      </c>
      <c r="G115" s="779">
        <f t="shared" si="64"/>
        <v>0</v>
      </c>
      <c r="H115" s="780">
        <v>0</v>
      </c>
      <c r="I115" s="780">
        <f t="shared" si="67"/>
        <v>0</v>
      </c>
      <c r="J115" s="779">
        <f t="shared" si="68"/>
        <v>0</v>
      </c>
      <c r="K115" s="899" t="s">
        <v>1471</v>
      </c>
      <c r="L115" s="556"/>
      <c r="M115" s="780">
        <f t="shared" si="69"/>
        <v>0</v>
      </c>
      <c r="N115" s="779">
        <f t="shared" si="70"/>
        <v>0</v>
      </c>
      <c r="O115" s="780">
        <v>2</v>
      </c>
    </row>
    <row r="116" spans="1:15">
      <c r="A116" s="501" t="s">
        <v>1872</v>
      </c>
      <c r="B116" s="614">
        <v>456</v>
      </c>
      <c r="C116" s="1047">
        <v>4186730</v>
      </c>
      <c r="D116" s="1048" t="s">
        <v>1873</v>
      </c>
      <c r="E116" s="531">
        <v>12622</v>
      </c>
      <c r="F116" s="773" t="s">
        <v>1684</v>
      </c>
      <c r="G116" s="779">
        <f t="shared" si="64"/>
        <v>0</v>
      </c>
      <c r="H116" s="780">
        <v>0</v>
      </c>
      <c r="I116" s="780">
        <f t="shared" si="67"/>
        <v>0</v>
      </c>
      <c r="J116" s="779">
        <f t="shared" si="68"/>
        <v>12622</v>
      </c>
      <c r="K116" s="899" t="s">
        <v>1471</v>
      </c>
      <c r="L116" s="556">
        <v>0</v>
      </c>
      <c r="M116" s="780">
        <f t="shared" si="69"/>
        <v>12622</v>
      </c>
      <c r="N116" s="779">
        <f t="shared" si="70"/>
        <v>0</v>
      </c>
      <c r="O116" s="780">
        <v>2</v>
      </c>
    </row>
    <row r="117" spans="1:15">
      <c r="A117" s="501" t="s">
        <v>1874</v>
      </c>
      <c r="B117" s="614">
        <v>456</v>
      </c>
      <c r="C117" s="1047">
        <v>4186815</v>
      </c>
      <c r="D117" s="1048" t="s">
        <v>1875</v>
      </c>
      <c r="E117" s="531">
        <v>211362.62</v>
      </c>
      <c r="F117" s="773" t="s">
        <v>1685</v>
      </c>
      <c r="G117" s="779">
        <f t="shared" si="64"/>
        <v>0</v>
      </c>
      <c r="H117" s="780">
        <v>0</v>
      </c>
      <c r="I117" s="780">
        <f t="shared" ref="I117:I139" si="71">G117-H117</f>
        <v>0</v>
      </c>
      <c r="J117" s="779">
        <f t="shared" ref="J117:J139" si="72">IF(F117=$J$2,E117,0)</f>
        <v>0</v>
      </c>
      <c r="K117" s="779"/>
      <c r="L117" s="556"/>
      <c r="M117" s="780">
        <f t="shared" ref="M117:M139" si="73">J117-L117</f>
        <v>0</v>
      </c>
      <c r="N117" s="779">
        <f t="shared" ref="N117:N124" si="74">IF(F117=$N$2,E117,0)</f>
        <v>211362.62</v>
      </c>
      <c r="O117" s="780">
        <v>6</v>
      </c>
    </row>
    <row r="118" spans="1:15">
      <c r="A118" s="501" t="s">
        <v>1876</v>
      </c>
      <c r="B118" s="614">
        <v>456</v>
      </c>
      <c r="C118" s="1047">
        <v>4186910</v>
      </c>
      <c r="D118" s="1048" t="s">
        <v>1877</v>
      </c>
      <c r="E118" s="531">
        <v>27053127.420000002</v>
      </c>
      <c r="F118" s="773" t="s">
        <v>1683</v>
      </c>
      <c r="G118" s="779">
        <f t="shared" si="64"/>
        <v>27053127.420000002</v>
      </c>
      <c r="H118" s="780">
        <v>0</v>
      </c>
      <c r="I118" s="780">
        <f t="shared" si="71"/>
        <v>27053127.420000002</v>
      </c>
      <c r="J118" s="779">
        <f t="shared" si="72"/>
        <v>0</v>
      </c>
      <c r="K118" s="779"/>
      <c r="L118" s="556"/>
      <c r="M118" s="780">
        <f t="shared" si="73"/>
        <v>0</v>
      </c>
      <c r="N118" s="779">
        <f t="shared" si="74"/>
        <v>0</v>
      </c>
      <c r="O118" s="780">
        <v>4</v>
      </c>
    </row>
    <row r="119" spans="1:15">
      <c r="A119" s="501" t="s">
        <v>1878</v>
      </c>
      <c r="B119" s="614">
        <v>456</v>
      </c>
      <c r="C119" s="1047">
        <v>4186912</v>
      </c>
      <c r="D119" s="1048" t="s">
        <v>1879</v>
      </c>
      <c r="E119" s="531">
        <v>447122398.77999997</v>
      </c>
      <c r="F119" s="773" t="s">
        <v>1685</v>
      </c>
      <c r="G119" s="779">
        <f t="shared" si="64"/>
        <v>0</v>
      </c>
      <c r="H119" s="780">
        <v>0</v>
      </c>
      <c r="I119" s="780">
        <f t="shared" si="71"/>
        <v>0</v>
      </c>
      <c r="J119" s="779">
        <f t="shared" si="72"/>
        <v>0</v>
      </c>
      <c r="K119" s="779"/>
      <c r="L119" s="556"/>
      <c r="M119" s="780">
        <f t="shared" si="73"/>
        <v>0</v>
      </c>
      <c r="N119" s="779">
        <f t="shared" si="74"/>
        <v>447122398.77999997</v>
      </c>
      <c r="O119" s="780">
        <v>6</v>
      </c>
    </row>
    <row r="120" spans="1:15">
      <c r="A120" s="501" t="s">
        <v>1880</v>
      </c>
      <c r="B120" s="614">
        <v>456</v>
      </c>
      <c r="C120" s="1047">
        <v>4186914</v>
      </c>
      <c r="D120" s="1048" t="s">
        <v>1881</v>
      </c>
      <c r="E120" s="531">
        <v>-68180858.579999998</v>
      </c>
      <c r="F120" s="773" t="s">
        <v>1685</v>
      </c>
      <c r="G120" s="779">
        <f t="shared" si="64"/>
        <v>0</v>
      </c>
      <c r="H120" s="780">
        <v>0</v>
      </c>
      <c r="I120" s="780">
        <f t="shared" si="71"/>
        <v>0</v>
      </c>
      <c r="J120" s="779">
        <f t="shared" si="72"/>
        <v>0</v>
      </c>
      <c r="K120" s="779"/>
      <c r="L120" s="556"/>
      <c r="M120" s="780">
        <f t="shared" si="73"/>
        <v>0</v>
      </c>
      <c r="N120" s="779">
        <f t="shared" si="74"/>
        <v>-68180858.579999998</v>
      </c>
      <c r="O120" s="780">
        <v>6</v>
      </c>
    </row>
    <row r="121" spans="1:15">
      <c r="A121" s="501" t="s">
        <v>1882</v>
      </c>
      <c r="B121" s="614">
        <v>456</v>
      </c>
      <c r="C121" s="1047">
        <v>4186916</v>
      </c>
      <c r="D121" s="1048" t="s">
        <v>1883</v>
      </c>
      <c r="E121" s="531">
        <v>-447122398.77999997</v>
      </c>
      <c r="F121" s="773" t="s">
        <v>1685</v>
      </c>
      <c r="G121" s="779">
        <f t="shared" si="64"/>
        <v>0</v>
      </c>
      <c r="H121" s="780">
        <v>0</v>
      </c>
      <c r="I121" s="780">
        <f t="shared" si="71"/>
        <v>0</v>
      </c>
      <c r="J121" s="779">
        <f t="shared" si="72"/>
        <v>0</v>
      </c>
      <c r="K121" s="779"/>
      <c r="L121" s="556"/>
      <c r="M121" s="780">
        <f t="shared" si="73"/>
        <v>0</v>
      </c>
      <c r="N121" s="779">
        <f t="shared" si="74"/>
        <v>-447122398.77999997</v>
      </c>
      <c r="O121" s="780">
        <v>6</v>
      </c>
    </row>
    <row r="122" spans="1:15">
      <c r="A122" s="501" t="s">
        <v>1884</v>
      </c>
      <c r="B122" s="614">
        <v>456</v>
      </c>
      <c r="C122" s="1047">
        <v>4186918</v>
      </c>
      <c r="D122" s="1048" t="s">
        <v>1885</v>
      </c>
      <c r="E122" s="531">
        <v>68180858.579999998</v>
      </c>
      <c r="F122" s="773" t="s">
        <v>1685</v>
      </c>
      <c r="G122" s="779">
        <f t="shared" si="64"/>
        <v>0</v>
      </c>
      <c r="H122" s="780">
        <v>0</v>
      </c>
      <c r="I122" s="780">
        <f t="shared" si="71"/>
        <v>0</v>
      </c>
      <c r="J122" s="779">
        <f t="shared" si="72"/>
        <v>0</v>
      </c>
      <c r="K122" s="779"/>
      <c r="L122" s="556"/>
      <c r="M122" s="780">
        <f t="shared" si="73"/>
        <v>0</v>
      </c>
      <c r="N122" s="779">
        <f t="shared" si="74"/>
        <v>68180858.579999998</v>
      </c>
      <c r="O122" s="780">
        <v>6</v>
      </c>
    </row>
    <row r="123" spans="1:15">
      <c r="A123" s="501" t="s">
        <v>1886</v>
      </c>
      <c r="B123" s="614">
        <v>456</v>
      </c>
      <c r="C123" s="1047">
        <v>4186920</v>
      </c>
      <c r="D123" s="1048" t="s">
        <v>1887</v>
      </c>
      <c r="E123" s="531">
        <v>85268598.849999994</v>
      </c>
      <c r="F123" s="773" t="s">
        <v>1685</v>
      </c>
      <c r="G123" s="779">
        <f t="shared" si="64"/>
        <v>0</v>
      </c>
      <c r="H123" s="780">
        <v>0</v>
      </c>
      <c r="I123" s="780">
        <f t="shared" si="71"/>
        <v>0</v>
      </c>
      <c r="J123" s="779">
        <f t="shared" si="72"/>
        <v>0</v>
      </c>
      <c r="K123" s="779"/>
      <c r="L123" s="556"/>
      <c r="M123" s="780">
        <f t="shared" si="73"/>
        <v>0</v>
      </c>
      <c r="N123" s="779">
        <f t="shared" si="74"/>
        <v>85268598.849999994</v>
      </c>
      <c r="O123" s="780">
        <v>6</v>
      </c>
    </row>
    <row r="124" spans="1:15">
      <c r="A124" s="501" t="s">
        <v>1888</v>
      </c>
      <c r="B124" s="614">
        <v>456</v>
      </c>
      <c r="C124" s="1047">
        <v>4186922</v>
      </c>
      <c r="D124" s="1048" t="s">
        <v>1889</v>
      </c>
      <c r="E124" s="531">
        <v>-85268598.849999994</v>
      </c>
      <c r="F124" s="773" t="s">
        <v>1685</v>
      </c>
      <c r="G124" s="779">
        <f t="shared" si="64"/>
        <v>0</v>
      </c>
      <c r="H124" s="780">
        <v>0</v>
      </c>
      <c r="I124" s="780">
        <f t="shared" si="71"/>
        <v>0</v>
      </c>
      <c r="J124" s="779">
        <f t="shared" si="72"/>
        <v>0</v>
      </c>
      <c r="K124" s="779"/>
      <c r="L124" s="556"/>
      <c r="M124" s="780">
        <f t="shared" si="73"/>
        <v>0</v>
      </c>
      <c r="N124" s="779">
        <f t="shared" si="74"/>
        <v>-85268598.849999994</v>
      </c>
      <c r="O124" s="780">
        <v>6</v>
      </c>
    </row>
    <row r="125" spans="1:15">
      <c r="A125" s="501" t="s">
        <v>1890</v>
      </c>
      <c r="B125" s="614">
        <v>456</v>
      </c>
      <c r="C125" s="1047">
        <v>4188712</v>
      </c>
      <c r="D125" s="1048" t="s">
        <v>1891</v>
      </c>
      <c r="E125" s="531"/>
      <c r="F125" s="773" t="s">
        <v>1684</v>
      </c>
      <c r="G125" s="779">
        <f t="shared" si="64"/>
        <v>0</v>
      </c>
      <c r="H125" s="780">
        <v>0</v>
      </c>
      <c r="I125" s="780">
        <f t="shared" si="71"/>
        <v>0</v>
      </c>
      <c r="J125" s="779">
        <f t="shared" si="72"/>
        <v>0</v>
      </c>
      <c r="K125" s="899" t="s">
        <v>1471</v>
      </c>
      <c r="L125" s="556"/>
      <c r="M125" s="780">
        <f t="shared" si="73"/>
        <v>0</v>
      </c>
      <c r="N125" s="779">
        <f t="shared" ref="N125:N126" si="75">IF(F125=$N$2,E125,0)</f>
        <v>0</v>
      </c>
      <c r="O125" s="780">
        <v>2</v>
      </c>
    </row>
    <row r="126" spans="1:15">
      <c r="A126" s="501" t="s">
        <v>1892</v>
      </c>
      <c r="B126" s="614">
        <v>456</v>
      </c>
      <c r="C126" s="1047">
        <v>4188714</v>
      </c>
      <c r="D126" s="1048" t="s">
        <v>1893</v>
      </c>
      <c r="E126" s="531"/>
      <c r="F126" s="773" t="s">
        <v>1684</v>
      </c>
      <c r="G126" s="779">
        <f t="shared" si="64"/>
        <v>0</v>
      </c>
      <c r="H126" s="780">
        <v>0</v>
      </c>
      <c r="I126" s="780">
        <f t="shared" si="71"/>
        <v>0</v>
      </c>
      <c r="J126" s="779">
        <f t="shared" si="72"/>
        <v>0</v>
      </c>
      <c r="K126" s="899" t="s">
        <v>1471</v>
      </c>
      <c r="L126" s="556"/>
      <c r="M126" s="780">
        <f t="shared" si="73"/>
        <v>0</v>
      </c>
      <c r="N126" s="779">
        <f t="shared" si="75"/>
        <v>0</v>
      </c>
      <c r="O126" s="780">
        <v>2</v>
      </c>
    </row>
    <row r="127" spans="1:15">
      <c r="A127" s="501" t="s">
        <v>1894</v>
      </c>
      <c r="B127" s="614">
        <v>456</v>
      </c>
      <c r="C127" s="1047">
        <v>4196105</v>
      </c>
      <c r="D127" s="1048" t="s">
        <v>1895</v>
      </c>
      <c r="E127" s="531">
        <v>-9892.06</v>
      </c>
      <c r="F127" s="773" t="s">
        <v>1683</v>
      </c>
      <c r="G127" s="779">
        <f t="shared" si="64"/>
        <v>-9892.06</v>
      </c>
      <c r="H127" s="780">
        <v>0</v>
      </c>
      <c r="I127" s="780">
        <f t="shared" si="71"/>
        <v>-9892.06</v>
      </c>
      <c r="J127" s="779">
        <f t="shared" si="72"/>
        <v>0</v>
      </c>
      <c r="K127" s="779"/>
      <c r="L127" s="556"/>
      <c r="M127" s="780">
        <f t="shared" si="73"/>
        <v>0</v>
      </c>
      <c r="N127" s="779">
        <f t="shared" ref="N127:N142" si="76">IF(F127=$N$2,E127,0)</f>
        <v>0</v>
      </c>
      <c r="O127" s="780">
        <v>1</v>
      </c>
    </row>
    <row r="128" spans="1:15">
      <c r="A128" s="501" t="s">
        <v>1896</v>
      </c>
      <c r="B128" s="614">
        <v>456</v>
      </c>
      <c r="C128" s="1047">
        <v>4196158</v>
      </c>
      <c r="D128" s="1048" t="s">
        <v>1897</v>
      </c>
      <c r="E128" s="531">
        <v>8544982.25</v>
      </c>
      <c r="F128" s="773" t="s">
        <v>1683</v>
      </c>
      <c r="G128" s="779">
        <f t="shared" si="64"/>
        <v>8544982.25</v>
      </c>
      <c r="H128" s="780">
        <v>0</v>
      </c>
      <c r="I128" s="780">
        <f t="shared" si="71"/>
        <v>8544982.25</v>
      </c>
      <c r="J128" s="779">
        <f t="shared" si="72"/>
        <v>0</v>
      </c>
      <c r="K128" s="779"/>
      <c r="L128" s="556"/>
      <c r="M128" s="780">
        <f t="shared" si="73"/>
        <v>0</v>
      </c>
      <c r="N128" s="779">
        <f t="shared" si="76"/>
        <v>0</v>
      </c>
      <c r="O128" s="780">
        <v>4</v>
      </c>
    </row>
    <row r="129" spans="1:15">
      <c r="A129" s="501" t="s">
        <v>1898</v>
      </c>
      <c r="B129" s="614">
        <v>456</v>
      </c>
      <c r="C129" s="1047">
        <v>4196162</v>
      </c>
      <c r="D129" s="1048" t="s">
        <v>1899</v>
      </c>
      <c r="E129" s="531"/>
      <c r="F129" s="773" t="s">
        <v>1683</v>
      </c>
      <c r="G129" s="779">
        <f t="shared" si="64"/>
        <v>0</v>
      </c>
      <c r="H129" s="780">
        <v>0</v>
      </c>
      <c r="I129" s="780">
        <f t="shared" si="71"/>
        <v>0</v>
      </c>
      <c r="J129" s="779">
        <f t="shared" si="72"/>
        <v>0</v>
      </c>
      <c r="K129" s="779"/>
      <c r="L129" s="556"/>
      <c r="M129" s="780">
        <f t="shared" si="73"/>
        <v>0</v>
      </c>
      <c r="N129" s="779">
        <f t="shared" si="76"/>
        <v>0</v>
      </c>
      <c r="O129" s="780">
        <v>4</v>
      </c>
    </row>
    <row r="130" spans="1:15">
      <c r="A130" s="501" t="s">
        <v>1900</v>
      </c>
      <c r="B130" s="614">
        <v>456</v>
      </c>
      <c r="C130" s="1047">
        <v>4196166</v>
      </c>
      <c r="D130" s="1048" t="s">
        <v>1901</v>
      </c>
      <c r="E130" s="531"/>
      <c r="F130" s="773" t="s">
        <v>1683</v>
      </c>
      <c r="G130" s="779">
        <f t="shared" si="64"/>
        <v>0</v>
      </c>
      <c r="H130" s="780">
        <v>0</v>
      </c>
      <c r="I130" s="780">
        <f t="shared" si="71"/>
        <v>0</v>
      </c>
      <c r="J130" s="779">
        <f t="shared" si="72"/>
        <v>0</v>
      </c>
      <c r="K130" s="779"/>
      <c r="L130" s="556"/>
      <c r="M130" s="780">
        <f t="shared" si="73"/>
        <v>0</v>
      </c>
      <c r="N130" s="779">
        <f t="shared" si="76"/>
        <v>0</v>
      </c>
      <c r="O130" s="780">
        <v>4</v>
      </c>
    </row>
    <row r="131" spans="1:15">
      <c r="A131" s="501" t="s">
        <v>1902</v>
      </c>
      <c r="B131" s="614">
        <v>456</v>
      </c>
      <c r="C131" s="1047">
        <v>4196172</v>
      </c>
      <c r="D131" s="1048" t="s">
        <v>1903</v>
      </c>
      <c r="E131" s="531"/>
      <c r="F131" s="773" t="s">
        <v>1683</v>
      </c>
      <c r="G131" s="779">
        <f t="shared" si="64"/>
        <v>0</v>
      </c>
      <c r="H131" s="780">
        <v>0</v>
      </c>
      <c r="I131" s="780">
        <f t="shared" si="71"/>
        <v>0</v>
      </c>
      <c r="J131" s="779">
        <f t="shared" si="72"/>
        <v>0</v>
      </c>
      <c r="K131" s="779"/>
      <c r="L131" s="556"/>
      <c r="M131" s="780">
        <f t="shared" si="73"/>
        <v>0</v>
      </c>
      <c r="N131" s="779">
        <f t="shared" si="76"/>
        <v>0</v>
      </c>
      <c r="O131" s="780">
        <v>1</v>
      </c>
    </row>
    <row r="132" spans="1:15">
      <c r="A132" s="501" t="s">
        <v>1904</v>
      </c>
      <c r="B132" s="614">
        <v>456</v>
      </c>
      <c r="C132" s="1047">
        <v>4196174</v>
      </c>
      <c r="D132" s="1048" t="s">
        <v>1905</v>
      </c>
      <c r="E132" s="531"/>
      <c r="F132" s="773" t="s">
        <v>1683</v>
      </c>
      <c r="G132" s="779">
        <f t="shared" si="64"/>
        <v>0</v>
      </c>
      <c r="H132" s="780">
        <v>0</v>
      </c>
      <c r="I132" s="780">
        <f t="shared" si="71"/>
        <v>0</v>
      </c>
      <c r="J132" s="779">
        <f t="shared" si="72"/>
        <v>0</v>
      </c>
      <c r="K132" s="779"/>
      <c r="L132" s="556"/>
      <c r="M132" s="780">
        <f t="shared" si="73"/>
        <v>0</v>
      </c>
      <c r="N132" s="779">
        <f t="shared" si="76"/>
        <v>0</v>
      </c>
      <c r="O132" s="780">
        <v>4</v>
      </c>
    </row>
    <row r="133" spans="1:15">
      <c r="A133" s="501" t="s">
        <v>1906</v>
      </c>
      <c r="B133" s="614">
        <v>456</v>
      </c>
      <c r="C133" s="1047">
        <v>4196176</v>
      </c>
      <c r="D133" s="1048" t="s">
        <v>1907</v>
      </c>
      <c r="E133" s="531"/>
      <c r="F133" s="773" t="s">
        <v>1683</v>
      </c>
      <c r="G133" s="779">
        <f t="shared" si="64"/>
        <v>0</v>
      </c>
      <c r="H133" s="774"/>
      <c r="I133" s="780">
        <f t="shared" si="71"/>
        <v>0</v>
      </c>
      <c r="J133" s="779">
        <f t="shared" si="72"/>
        <v>0</v>
      </c>
      <c r="K133" s="779"/>
      <c r="L133" s="556"/>
      <c r="M133" s="780">
        <f t="shared" si="73"/>
        <v>0</v>
      </c>
      <c r="N133" s="779">
        <f t="shared" si="76"/>
        <v>0</v>
      </c>
      <c r="O133" s="780">
        <v>8</v>
      </c>
    </row>
    <row r="134" spans="1:15">
      <c r="A134" s="501" t="s">
        <v>1908</v>
      </c>
      <c r="B134" s="614">
        <v>456</v>
      </c>
      <c r="C134" s="1047">
        <v>4196178</v>
      </c>
      <c r="D134" s="1048" t="s">
        <v>1909</v>
      </c>
      <c r="E134" s="531"/>
      <c r="F134" s="773" t="s">
        <v>1683</v>
      </c>
      <c r="G134" s="779">
        <f t="shared" si="64"/>
        <v>0</v>
      </c>
      <c r="H134" s="780">
        <v>0</v>
      </c>
      <c r="I134" s="780">
        <f t="shared" si="71"/>
        <v>0</v>
      </c>
      <c r="J134" s="779">
        <f t="shared" si="72"/>
        <v>0</v>
      </c>
      <c r="K134" s="779"/>
      <c r="L134" s="556"/>
      <c r="M134" s="780">
        <f t="shared" si="73"/>
        <v>0</v>
      </c>
      <c r="N134" s="779">
        <f t="shared" si="76"/>
        <v>0</v>
      </c>
      <c r="O134" s="780">
        <v>4</v>
      </c>
    </row>
    <row r="135" spans="1:15">
      <c r="A135" s="501" t="s">
        <v>1910</v>
      </c>
      <c r="B135" s="614">
        <v>456</v>
      </c>
      <c r="C135" s="1047">
        <v>4196184</v>
      </c>
      <c r="D135" s="1048" t="s">
        <v>1911</v>
      </c>
      <c r="E135" s="531"/>
      <c r="F135" s="773" t="s">
        <v>1683</v>
      </c>
      <c r="G135" s="779">
        <f t="shared" si="64"/>
        <v>0</v>
      </c>
      <c r="H135" s="780">
        <v>0</v>
      </c>
      <c r="I135" s="780">
        <f t="shared" si="71"/>
        <v>0</v>
      </c>
      <c r="J135" s="779">
        <f t="shared" si="72"/>
        <v>0</v>
      </c>
      <c r="K135" s="779"/>
      <c r="L135" s="556"/>
      <c r="M135" s="780">
        <f t="shared" si="73"/>
        <v>0</v>
      </c>
      <c r="N135" s="779">
        <f t="shared" si="76"/>
        <v>0</v>
      </c>
      <c r="O135" s="780">
        <v>4</v>
      </c>
    </row>
    <row r="136" spans="1:15">
      <c r="A136" s="501" t="s">
        <v>1912</v>
      </c>
      <c r="B136" s="614">
        <v>456</v>
      </c>
      <c r="C136" s="1047">
        <v>4196188</v>
      </c>
      <c r="D136" s="1048" t="s">
        <v>1913</v>
      </c>
      <c r="E136" s="531">
        <v>5476402.5499999998</v>
      </c>
      <c r="F136" s="773" t="s">
        <v>1683</v>
      </c>
      <c r="G136" s="779">
        <f t="shared" si="64"/>
        <v>5476402.5499999998</v>
      </c>
      <c r="H136" s="780">
        <v>0</v>
      </c>
      <c r="I136" s="780">
        <f t="shared" si="71"/>
        <v>5476402.5499999998</v>
      </c>
      <c r="J136" s="779">
        <f t="shared" si="72"/>
        <v>0</v>
      </c>
      <c r="K136" s="779"/>
      <c r="L136" s="556"/>
      <c r="M136" s="780">
        <f t="shared" si="73"/>
        <v>0</v>
      </c>
      <c r="N136" s="779">
        <f t="shared" si="76"/>
        <v>0</v>
      </c>
      <c r="O136" s="780">
        <v>6</v>
      </c>
    </row>
    <row r="137" spans="1:15">
      <c r="A137" s="501" t="s">
        <v>1914</v>
      </c>
      <c r="B137" s="614">
        <v>456</v>
      </c>
      <c r="C137" s="1047" t="s">
        <v>1797</v>
      </c>
      <c r="D137" s="1048" t="s">
        <v>1798</v>
      </c>
      <c r="E137" s="531"/>
      <c r="F137" s="773" t="s">
        <v>1683</v>
      </c>
      <c r="G137" s="779">
        <f t="shared" si="64"/>
        <v>0</v>
      </c>
      <c r="H137" s="780">
        <v>0</v>
      </c>
      <c r="I137" s="780">
        <f t="shared" si="71"/>
        <v>0</v>
      </c>
      <c r="J137" s="779">
        <f t="shared" si="72"/>
        <v>0</v>
      </c>
      <c r="K137" s="779"/>
      <c r="L137" s="556"/>
      <c r="M137" s="780">
        <f t="shared" si="73"/>
        <v>0</v>
      </c>
      <c r="N137" s="779">
        <f t="shared" si="76"/>
        <v>0</v>
      </c>
      <c r="O137" s="780">
        <v>1</v>
      </c>
    </row>
    <row r="138" spans="1:15">
      <c r="A138" s="501" t="s">
        <v>1915</v>
      </c>
      <c r="B138" s="614">
        <v>456</v>
      </c>
      <c r="C138" s="1047">
        <v>4186911</v>
      </c>
      <c r="D138" s="677" t="s">
        <v>1916</v>
      </c>
      <c r="E138" s="531">
        <v>1467135</v>
      </c>
      <c r="F138" s="773" t="s">
        <v>1685</v>
      </c>
      <c r="G138" s="779">
        <f t="shared" si="64"/>
        <v>0</v>
      </c>
      <c r="H138" s="780">
        <v>0</v>
      </c>
      <c r="I138" s="780">
        <f t="shared" si="71"/>
        <v>0</v>
      </c>
      <c r="J138" s="779">
        <f t="shared" si="72"/>
        <v>0</v>
      </c>
      <c r="K138" s="779"/>
      <c r="L138" s="556"/>
      <c r="M138" s="780">
        <f t="shared" si="73"/>
        <v>0</v>
      </c>
      <c r="N138" s="779">
        <f t="shared" si="76"/>
        <v>1467135</v>
      </c>
      <c r="O138" s="780">
        <v>6</v>
      </c>
    </row>
    <row r="139" spans="1:15">
      <c r="A139" s="501" t="s">
        <v>1866</v>
      </c>
      <c r="B139" s="614">
        <v>456</v>
      </c>
      <c r="C139" s="1047">
        <v>4186925</v>
      </c>
      <c r="D139" s="677" t="s">
        <v>1917</v>
      </c>
      <c r="E139" s="531">
        <v>789701028.07000005</v>
      </c>
      <c r="F139" s="773" t="s">
        <v>1685</v>
      </c>
      <c r="G139" s="779">
        <f t="shared" si="64"/>
        <v>0</v>
      </c>
      <c r="H139" s="780">
        <v>0</v>
      </c>
      <c r="I139" s="780">
        <f t="shared" si="71"/>
        <v>0</v>
      </c>
      <c r="J139" s="779">
        <f t="shared" si="72"/>
        <v>0</v>
      </c>
      <c r="K139" s="779"/>
      <c r="L139" s="556"/>
      <c r="M139" s="780">
        <f t="shared" si="73"/>
        <v>0</v>
      </c>
      <c r="N139" s="779">
        <f t="shared" si="76"/>
        <v>789701028.07000005</v>
      </c>
      <c r="O139" s="780">
        <v>6</v>
      </c>
    </row>
    <row r="140" spans="1:15">
      <c r="A140" s="501" t="s">
        <v>1868</v>
      </c>
      <c r="B140" s="614">
        <v>456</v>
      </c>
      <c r="C140" s="1047">
        <v>4186132</v>
      </c>
      <c r="D140" s="677" t="s">
        <v>1918</v>
      </c>
      <c r="E140" s="531">
        <v>520919.07</v>
      </c>
      <c r="F140" s="773" t="s">
        <v>1683</v>
      </c>
      <c r="G140" s="779">
        <f t="shared" ref="G140:G145" si="77">IF(F140=$G$2,E140,0)</f>
        <v>520919.07</v>
      </c>
      <c r="H140" s="780">
        <v>0</v>
      </c>
      <c r="I140" s="780">
        <f t="shared" ref="I140:I145" si="78">G140-H140</f>
        <v>520919.07</v>
      </c>
      <c r="J140" s="779">
        <f t="shared" ref="J140:J145" si="79">IF(F140=$J$2,E140,0)</f>
        <v>0</v>
      </c>
      <c r="K140" s="779"/>
      <c r="L140" s="556"/>
      <c r="M140" s="780">
        <f t="shared" ref="M140:M145" si="80">J140-L140</f>
        <v>0</v>
      </c>
      <c r="N140" s="779">
        <f t="shared" si="76"/>
        <v>0</v>
      </c>
      <c r="O140" s="780">
        <v>4</v>
      </c>
    </row>
    <row r="141" spans="1:15">
      <c r="A141" s="501" t="s">
        <v>1870</v>
      </c>
      <c r="B141" s="614">
        <v>456</v>
      </c>
      <c r="C141" s="1047">
        <v>4186116</v>
      </c>
      <c r="D141" s="677" t="s">
        <v>1919</v>
      </c>
      <c r="E141" s="531"/>
      <c r="F141" s="773" t="s">
        <v>1683</v>
      </c>
      <c r="G141" s="779">
        <f t="shared" si="77"/>
        <v>0</v>
      </c>
      <c r="H141" s="780">
        <v>0</v>
      </c>
      <c r="I141" s="780">
        <f t="shared" si="78"/>
        <v>0</v>
      </c>
      <c r="J141" s="779">
        <f t="shared" si="79"/>
        <v>0</v>
      </c>
      <c r="K141" s="779"/>
      <c r="L141" s="556"/>
      <c r="M141" s="780">
        <f t="shared" si="80"/>
        <v>0</v>
      </c>
      <c r="N141" s="779">
        <f t="shared" si="76"/>
        <v>0</v>
      </c>
      <c r="O141" s="780">
        <v>4</v>
      </c>
    </row>
    <row r="142" spans="1:15">
      <c r="A142" s="501" t="s">
        <v>1920</v>
      </c>
      <c r="B142" s="614">
        <v>456</v>
      </c>
      <c r="C142" s="1047">
        <v>4186115</v>
      </c>
      <c r="D142" s="677" t="s">
        <v>1921</v>
      </c>
      <c r="E142" s="531"/>
      <c r="F142" s="773" t="s">
        <v>1683</v>
      </c>
      <c r="G142" s="779">
        <f t="shared" si="77"/>
        <v>0</v>
      </c>
      <c r="H142" s="780">
        <v>0</v>
      </c>
      <c r="I142" s="780">
        <f t="shared" si="78"/>
        <v>0</v>
      </c>
      <c r="J142" s="779">
        <f t="shared" si="79"/>
        <v>0</v>
      </c>
      <c r="K142" s="779"/>
      <c r="L142" s="556"/>
      <c r="M142" s="780">
        <f t="shared" si="80"/>
        <v>0</v>
      </c>
      <c r="N142" s="779">
        <f t="shared" si="76"/>
        <v>0</v>
      </c>
      <c r="O142" s="780">
        <v>4</v>
      </c>
    </row>
    <row r="143" spans="1:15">
      <c r="A143" s="501" t="s">
        <v>1922</v>
      </c>
      <c r="B143" s="614">
        <v>456</v>
      </c>
      <c r="C143" s="1047">
        <v>4186156</v>
      </c>
      <c r="D143" s="677" t="s">
        <v>1923</v>
      </c>
      <c r="E143" s="531">
        <v>88008.16</v>
      </c>
      <c r="F143" s="773" t="s">
        <v>1685</v>
      </c>
      <c r="G143" s="779">
        <f>H143+I143</f>
        <v>5861.3434560000005</v>
      </c>
      <c r="H143" s="780">
        <f>E143*D290</f>
        <v>5861.3434560000005</v>
      </c>
      <c r="I143" s="780">
        <v>0</v>
      </c>
      <c r="J143" s="779">
        <f t="shared" si="79"/>
        <v>0</v>
      </c>
      <c r="K143" s="779"/>
      <c r="L143" s="556"/>
      <c r="M143" s="780">
        <f>J143-L143</f>
        <v>0</v>
      </c>
      <c r="N143" s="779">
        <f>IF(F143=$N$2,E143-H143,0)</f>
        <v>82146.816544000001</v>
      </c>
      <c r="O143" s="780" t="s">
        <v>1775</v>
      </c>
    </row>
    <row r="144" spans="1:15">
      <c r="A144" s="501" t="s">
        <v>1924</v>
      </c>
      <c r="B144" s="614">
        <v>456</v>
      </c>
      <c r="C144" s="1047">
        <v>4188720</v>
      </c>
      <c r="D144" s="677" t="s">
        <v>1925</v>
      </c>
      <c r="E144" s="531">
        <v>74153205.700000003</v>
      </c>
      <c r="F144" s="773" t="s">
        <v>1683</v>
      </c>
      <c r="G144" s="779">
        <f t="shared" si="77"/>
        <v>74153205.700000003</v>
      </c>
      <c r="H144" s="780">
        <v>0</v>
      </c>
      <c r="I144" s="780">
        <f t="shared" si="78"/>
        <v>74153205.700000003</v>
      </c>
      <c r="J144" s="779">
        <f t="shared" si="79"/>
        <v>0</v>
      </c>
      <c r="K144" s="779"/>
      <c r="L144" s="556"/>
      <c r="M144" s="780">
        <f t="shared" si="80"/>
        <v>0</v>
      </c>
      <c r="N144" s="779">
        <f>IF(F144=$N$2,E144,0)</f>
        <v>0</v>
      </c>
      <c r="O144" s="780">
        <v>4</v>
      </c>
    </row>
    <row r="145" spans="1:17">
      <c r="A145" s="501" t="s">
        <v>1926</v>
      </c>
      <c r="B145" s="614">
        <v>456</v>
      </c>
      <c r="C145" s="1047">
        <v>4186128</v>
      </c>
      <c r="D145" s="677" t="s">
        <v>1927</v>
      </c>
      <c r="E145" s="531"/>
      <c r="F145" s="773" t="s">
        <v>1683</v>
      </c>
      <c r="G145" s="779">
        <f t="shared" si="77"/>
        <v>0</v>
      </c>
      <c r="H145" s="780">
        <f>G145</f>
        <v>0</v>
      </c>
      <c r="I145" s="780">
        <f t="shared" si="78"/>
        <v>0</v>
      </c>
      <c r="J145" s="779">
        <f t="shared" si="79"/>
        <v>0</v>
      </c>
      <c r="K145" s="779"/>
      <c r="L145" s="556"/>
      <c r="M145" s="780">
        <f t="shared" si="80"/>
        <v>0</v>
      </c>
      <c r="N145" s="779">
        <f>IF(F145=$N$2,E145,0)</f>
        <v>0</v>
      </c>
      <c r="O145" s="780">
        <v>5</v>
      </c>
    </row>
    <row r="146" spans="1:17">
      <c r="A146" s="501" t="s">
        <v>1928</v>
      </c>
      <c r="B146" s="614">
        <v>456</v>
      </c>
      <c r="C146" s="1047">
        <v>4186732</v>
      </c>
      <c r="D146" s="677" t="s">
        <v>1929</v>
      </c>
      <c r="E146" s="531"/>
      <c r="F146" s="773" t="s">
        <v>1684</v>
      </c>
      <c r="G146" s="779">
        <f>IF(F146=$G$2,E146,0)</f>
        <v>0</v>
      </c>
      <c r="H146" s="780">
        <v>0</v>
      </c>
      <c r="I146" s="780">
        <f t="shared" ref="I146" si="81">G146-H146</f>
        <v>0</v>
      </c>
      <c r="J146" s="779">
        <f t="shared" ref="J146" si="82">IF(F146=$J$2,E146,0)</f>
        <v>0</v>
      </c>
      <c r="K146" s="779" t="s">
        <v>1471</v>
      </c>
      <c r="L146" s="556"/>
      <c r="M146" s="780">
        <f t="shared" ref="M146" si="83">J146-L146</f>
        <v>0</v>
      </c>
      <c r="N146" s="779">
        <f>IF(F146=$N$2,E146,0)</f>
        <v>0</v>
      </c>
      <c r="O146" s="780">
        <v>2</v>
      </c>
    </row>
    <row r="147" spans="1:17">
      <c r="A147" s="501" t="s">
        <v>1930</v>
      </c>
      <c r="B147" s="614">
        <v>456</v>
      </c>
      <c r="C147" s="1047">
        <v>4171023</v>
      </c>
      <c r="D147" s="756" t="s">
        <v>1931</v>
      </c>
      <c r="E147" s="531">
        <v>59239638.109999999</v>
      </c>
      <c r="F147" s="773" t="s">
        <v>1685</v>
      </c>
      <c r="G147" s="779">
        <f t="shared" ref="G147:G157" si="84">IF(F147=$G$2,E147,0)</f>
        <v>0</v>
      </c>
      <c r="H147" s="780">
        <v>0</v>
      </c>
      <c r="I147" s="780">
        <f t="shared" ref="I147:I157" si="85">G147-H147</f>
        <v>0</v>
      </c>
      <c r="J147" s="779">
        <f t="shared" ref="J147:J157" si="86">IF(F147=$J$2,E147,0)</f>
        <v>0</v>
      </c>
      <c r="K147" s="779"/>
      <c r="L147" s="556"/>
      <c r="M147" s="780">
        <f t="shared" ref="M147:M157" si="87">J147-L147</f>
        <v>0</v>
      </c>
      <c r="N147" s="779">
        <f t="shared" ref="N147:N157" si="88">IF(F147=$N$2,E147,0)</f>
        <v>59239638.109999999</v>
      </c>
      <c r="O147" s="780">
        <v>6</v>
      </c>
    </row>
    <row r="148" spans="1:17">
      <c r="A148" s="501" t="s">
        <v>1932</v>
      </c>
      <c r="B148" s="614">
        <v>456</v>
      </c>
      <c r="C148" s="1047">
        <v>4186182</v>
      </c>
      <c r="D148" s="677" t="s">
        <v>1933</v>
      </c>
      <c r="E148" s="531">
        <v>30000</v>
      </c>
      <c r="F148" s="773" t="s">
        <v>1685</v>
      </c>
      <c r="G148" s="779">
        <f t="shared" si="84"/>
        <v>0</v>
      </c>
      <c r="H148" s="780">
        <v>0</v>
      </c>
      <c r="I148" s="780">
        <f t="shared" si="85"/>
        <v>0</v>
      </c>
      <c r="J148" s="779">
        <f t="shared" si="86"/>
        <v>0</v>
      </c>
      <c r="K148" s="779"/>
      <c r="L148" s="556"/>
      <c r="M148" s="780">
        <f t="shared" si="87"/>
        <v>0</v>
      </c>
      <c r="N148" s="779">
        <f t="shared" si="88"/>
        <v>30000</v>
      </c>
      <c r="O148" s="780">
        <v>6</v>
      </c>
    </row>
    <row r="149" spans="1:17" s="235" customFormat="1">
      <c r="A149" s="501" t="s">
        <v>1934</v>
      </c>
      <c r="B149" s="614">
        <v>456</v>
      </c>
      <c r="C149" s="1047">
        <v>4186119</v>
      </c>
      <c r="D149" s="677" t="s">
        <v>1935</v>
      </c>
      <c r="E149" s="531"/>
      <c r="F149" s="773" t="s">
        <v>1683</v>
      </c>
      <c r="G149" s="779">
        <f t="shared" si="84"/>
        <v>0</v>
      </c>
      <c r="H149" s="780">
        <v>0</v>
      </c>
      <c r="I149" s="780">
        <f t="shared" si="85"/>
        <v>0</v>
      </c>
      <c r="J149" s="779">
        <f t="shared" si="86"/>
        <v>0</v>
      </c>
      <c r="K149" s="779"/>
      <c r="L149" s="556"/>
      <c r="M149" s="780">
        <f t="shared" si="87"/>
        <v>0</v>
      </c>
      <c r="N149" s="779">
        <f t="shared" si="88"/>
        <v>0</v>
      </c>
      <c r="O149" s="780">
        <v>1</v>
      </c>
      <c r="Q149"/>
    </row>
    <row r="150" spans="1:17" s="235" customFormat="1">
      <c r="A150" s="501" t="s">
        <v>1936</v>
      </c>
      <c r="B150" s="614">
        <v>456</v>
      </c>
      <c r="C150" s="1047">
        <v>4186188</v>
      </c>
      <c r="D150" s="1045" t="s">
        <v>1937</v>
      </c>
      <c r="E150" s="531"/>
      <c r="F150" s="1006" t="s">
        <v>1683</v>
      </c>
      <c r="G150" s="779">
        <f t="shared" si="84"/>
        <v>0</v>
      </c>
      <c r="H150" s="780">
        <v>0</v>
      </c>
      <c r="I150" s="780">
        <f t="shared" si="85"/>
        <v>0</v>
      </c>
      <c r="J150" s="779">
        <f t="shared" si="86"/>
        <v>0</v>
      </c>
      <c r="K150" s="779"/>
      <c r="L150" s="556"/>
      <c r="M150" s="780">
        <f t="shared" si="87"/>
        <v>0</v>
      </c>
      <c r="N150" s="779">
        <f t="shared" si="88"/>
        <v>0</v>
      </c>
      <c r="O150" s="780">
        <v>1</v>
      </c>
      <c r="Q150"/>
    </row>
    <row r="151" spans="1:17">
      <c r="A151" s="981" t="s">
        <v>1938</v>
      </c>
      <c r="B151" s="614">
        <v>456</v>
      </c>
      <c r="C151" s="1047">
        <v>4186115</v>
      </c>
      <c r="D151" s="677" t="s">
        <v>1939</v>
      </c>
      <c r="E151" s="531">
        <v>201.34</v>
      </c>
      <c r="F151" s="814" t="s">
        <v>1685</v>
      </c>
      <c r="G151" s="783">
        <f t="shared" si="84"/>
        <v>0</v>
      </c>
      <c r="H151" s="780">
        <v>0</v>
      </c>
      <c r="I151" s="780">
        <f t="shared" si="85"/>
        <v>0</v>
      </c>
      <c r="J151" s="783">
        <f t="shared" si="86"/>
        <v>0</v>
      </c>
      <c r="K151" s="783"/>
      <c r="L151" s="556"/>
      <c r="M151" s="780">
        <f t="shared" si="87"/>
        <v>0</v>
      </c>
      <c r="N151" s="783">
        <f t="shared" si="88"/>
        <v>201.34</v>
      </c>
      <c r="O151" s="780">
        <v>6</v>
      </c>
    </row>
    <row r="152" spans="1:17">
      <c r="A152" s="981" t="s">
        <v>2762</v>
      </c>
      <c r="B152" s="614">
        <v>456</v>
      </c>
      <c r="C152" s="1047">
        <v>4186182</v>
      </c>
      <c r="D152" s="677" t="s">
        <v>2768</v>
      </c>
      <c r="E152" s="531"/>
      <c r="F152" s="814" t="s">
        <v>1685</v>
      </c>
      <c r="G152" s="783">
        <f t="shared" si="84"/>
        <v>0</v>
      </c>
      <c r="H152" s="780">
        <v>0</v>
      </c>
      <c r="I152" s="780">
        <f t="shared" si="85"/>
        <v>0</v>
      </c>
      <c r="J152" s="783">
        <f t="shared" si="86"/>
        <v>0</v>
      </c>
      <c r="K152" s="783"/>
      <c r="L152" s="556"/>
      <c r="M152" s="780">
        <f t="shared" si="87"/>
        <v>0</v>
      </c>
      <c r="N152" s="783">
        <f t="shared" si="88"/>
        <v>0</v>
      </c>
      <c r="O152" s="780" t="s">
        <v>2774</v>
      </c>
    </row>
    <row r="153" spans="1:17">
      <c r="A153" s="981" t="s">
        <v>2763</v>
      </c>
      <c r="B153" s="614">
        <v>456</v>
      </c>
      <c r="C153" s="1047">
        <v>4186189</v>
      </c>
      <c r="D153" s="677" t="s">
        <v>2769</v>
      </c>
      <c r="E153" s="531">
        <v>837740.35</v>
      </c>
      <c r="F153" s="773" t="s">
        <v>1685</v>
      </c>
      <c r="G153" s="783">
        <f t="shared" si="84"/>
        <v>0</v>
      </c>
      <c r="H153" s="780">
        <v>0</v>
      </c>
      <c r="I153" s="780">
        <f t="shared" si="85"/>
        <v>0</v>
      </c>
      <c r="J153" s="783">
        <f t="shared" si="86"/>
        <v>0</v>
      </c>
      <c r="K153" s="783"/>
      <c r="L153" s="556"/>
      <c r="M153" s="780">
        <f t="shared" si="87"/>
        <v>0</v>
      </c>
      <c r="N153" s="783">
        <f t="shared" si="88"/>
        <v>837740.35</v>
      </c>
      <c r="O153" s="780" t="s">
        <v>2774</v>
      </c>
    </row>
    <row r="154" spans="1:17">
      <c r="A154" s="981" t="s">
        <v>2764</v>
      </c>
      <c r="B154" s="614">
        <v>456</v>
      </c>
      <c r="C154" s="1047">
        <v>4196201</v>
      </c>
      <c r="D154" s="677" t="s">
        <v>2770</v>
      </c>
      <c r="E154" s="531">
        <v>520822.32</v>
      </c>
      <c r="F154" s="773" t="s">
        <v>1683</v>
      </c>
      <c r="G154" s="783">
        <f t="shared" si="84"/>
        <v>520822.32</v>
      </c>
      <c r="H154" s="774">
        <v>520822.32</v>
      </c>
      <c r="I154" s="780">
        <f t="shared" si="85"/>
        <v>0</v>
      </c>
      <c r="J154" s="783">
        <f t="shared" si="86"/>
        <v>0</v>
      </c>
      <c r="K154" s="783"/>
      <c r="L154" s="556"/>
      <c r="M154" s="780">
        <f t="shared" si="87"/>
        <v>0</v>
      </c>
      <c r="N154" s="783">
        <f t="shared" si="88"/>
        <v>0</v>
      </c>
      <c r="O154" s="780">
        <v>8</v>
      </c>
    </row>
    <row r="155" spans="1:17">
      <c r="A155" s="981" t="s">
        <v>2765</v>
      </c>
      <c r="B155" s="614">
        <v>456</v>
      </c>
      <c r="C155" s="1047">
        <v>4196202</v>
      </c>
      <c r="D155" s="677" t="s">
        <v>2771</v>
      </c>
      <c r="E155" s="531">
        <v>31259.52</v>
      </c>
      <c r="F155" s="773" t="s">
        <v>1683</v>
      </c>
      <c r="G155" s="783">
        <f t="shared" si="84"/>
        <v>31259.52</v>
      </c>
      <c r="H155" s="774">
        <v>31259.504843999999</v>
      </c>
      <c r="I155" s="780">
        <f t="shared" si="85"/>
        <v>1.5156000001297798E-2</v>
      </c>
      <c r="J155" s="783">
        <f t="shared" si="86"/>
        <v>0</v>
      </c>
      <c r="K155" s="783"/>
      <c r="L155" s="556"/>
      <c r="M155" s="780">
        <f t="shared" si="87"/>
        <v>0</v>
      </c>
      <c r="N155" s="783">
        <f t="shared" si="88"/>
        <v>0</v>
      </c>
      <c r="O155" s="780">
        <v>8</v>
      </c>
    </row>
    <row r="156" spans="1:17">
      <c r="A156" s="981" t="s">
        <v>2766</v>
      </c>
      <c r="B156" s="614">
        <v>456</v>
      </c>
      <c r="C156" s="1047">
        <v>4196203</v>
      </c>
      <c r="D156" s="677" t="s">
        <v>2772</v>
      </c>
      <c r="E156" s="531">
        <v>11905678.880000001</v>
      </c>
      <c r="F156" s="773" t="s">
        <v>1683</v>
      </c>
      <c r="G156" s="783">
        <f t="shared" si="84"/>
        <v>11905678.880000001</v>
      </c>
      <c r="H156" s="780">
        <v>0</v>
      </c>
      <c r="I156" s="780">
        <f t="shared" si="85"/>
        <v>11905678.880000001</v>
      </c>
      <c r="J156" s="783">
        <f t="shared" si="86"/>
        <v>0</v>
      </c>
      <c r="K156" s="783"/>
      <c r="L156" s="556"/>
      <c r="M156" s="780">
        <f t="shared" si="87"/>
        <v>0</v>
      </c>
      <c r="N156" s="783">
        <f t="shared" si="88"/>
        <v>0</v>
      </c>
      <c r="O156" s="780">
        <v>4</v>
      </c>
    </row>
    <row r="157" spans="1:17">
      <c r="A157" s="595" t="s">
        <v>2767</v>
      </c>
      <c r="B157" s="614">
        <v>456</v>
      </c>
      <c r="C157" s="1047">
        <v>4196204</v>
      </c>
      <c r="D157" s="677" t="s">
        <v>2773</v>
      </c>
      <c r="E157" s="531">
        <v>2503299.7999999998</v>
      </c>
      <c r="F157" s="773" t="s">
        <v>1683</v>
      </c>
      <c r="G157" s="783">
        <f t="shared" si="84"/>
        <v>2503299.7999999998</v>
      </c>
      <c r="H157" s="774">
        <v>2503299.7999999998</v>
      </c>
      <c r="I157" s="780">
        <f t="shared" si="85"/>
        <v>0</v>
      </c>
      <c r="J157" s="783">
        <f t="shared" si="86"/>
        <v>0</v>
      </c>
      <c r="K157" s="783"/>
      <c r="L157" s="556"/>
      <c r="M157" s="780">
        <f t="shared" si="87"/>
        <v>0</v>
      </c>
      <c r="N157" s="783">
        <f t="shared" si="88"/>
        <v>0</v>
      </c>
      <c r="O157" s="780">
        <v>8</v>
      </c>
    </row>
    <row r="158" spans="1:17">
      <c r="A158" s="369"/>
      <c r="B158" s="802"/>
      <c r="C158" s="802"/>
      <c r="D158" s="585"/>
      <c r="E158" s="814"/>
      <c r="F158" s="773"/>
      <c r="G158" s="773"/>
      <c r="H158" s="774"/>
      <c r="I158" s="774"/>
      <c r="J158" s="773"/>
      <c r="K158" s="773"/>
      <c r="L158" s="774"/>
      <c r="M158" s="774"/>
      <c r="N158" s="773"/>
      <c r="O158" s="774"/>
    </row>
    <row r="159" spans="1:17">
      <c r="A159" s="584"/>
      <c r="B159" s="802"/>
      <c r="C159" s="804"/>
      <c r="D159" s="585"/>
      <c r="E159" s="531"/>
      <c r="F159" s="531"/>
      <c r="G159" s="898"/>
      <c r="H159" s="393"/>
      <c r="I159" s="393"/>
      <c r="J159" s="556"/>
      <c r="K159" s="556"/>
      <c r="L159" s="393"/>
      <c r="M159" s="393"/>
      <c r="N159" s="556"/>
      <c r="O159" s="586"/>
    </row>
    <row r="160" spans="1:17">
      <c r="A160" s="501">
        <v>13</v>
      </c>
      <c r="B160" s="1130" t="s">
        <v>1940</v>
      </c>
      <c r="C160" s="1123"/>
      <c r="D160" s="1124"/>
      <c r="E160" s="159">
        <f>SUM(E90:E159)</f>
        <v>988082161.26000011</v>
      </c>
      <c r="F160" s="166"/>
      <c r="G160" s="159">
        <f>SUM(G90:G159)</f>
        <v>133771238.25822999</v>
      </c>
      <c r="H160" s="159">
        <f>SUM(H90:H159)</f>
        <v>3061667.1030739998</v>
      </c>
      <c r="I160" s="159">
        <f>SUM(I90:I159)</f>
        <v>130709571.15515599</v>
      </c>
      <c r="J160" s="159">
        <f>SUM(J90:J159)</f>
        <v>2735726.44</v>
      </c>
      <c r="K160" s="166"/>
      <c r="L160" s="159">
        <f>SUM(L90:L159)</f>
        <v>1165089.032123829</v>
      </c>
      <c r="M160" s="159">
        <f>SUM(M90:M159)</f>
        <v>1570637.4078761709</v>
      </c>
      <c r="N160" s="159">
        <f>SUM(N90:N159)</f>
        <v>851575196.5617702</v>
      </c>
      <c r="O160" s="107"/>
    </row>
    <row r="161" spans="1:15" ht="25.5" customHeight="1">
      <c r="A161" s="501">
        <v>14</v>
      </c>
      <c r="B161" s="1125" t="s">
        <v>1941</v>
      </c>
      <c r="C161" s="1126"/>
      <c r="D161" s="1127"/>
      <c r="E161" s="583">
        <v>988082161</v>
      </c>
      <c r="F161" s="158"/>
      <c r="G161" s="172"/>
      <c r="H161" s="158"/>
      <c r="I161" s="158"/>
      <c r="J161" s="172"/>
      <c r="K161" s="158"/>
      <c r="L161" s="155"/>
      <c r="M161" s="155"/>
      <c r="N161" s="155"/>
      <c r="O161" s="2"/>
    </row>
    <row r="162" spans="1:15">
      <c r="A162" s="4"/>
      <c r="B162" s="1"/>
      <c r="C162" s="110"/>
      <c r="D162" s="110"/>
      <c r="E162" s="155"/>
      <c r="F162" s="155"/>
      <c r="G162" s="155"/>
      <c r="H162" s="158"/>
      <c r="I162" s="158"/>
      <c r="J162" s="155"/>
      <c r="K162" s="158"/>
      <c r="L162" s="155"/>
      <c r="M162" s="155"/>
      <c r="N162" s="155"/>
      <c r="O162" s="2"/>
    </row>
    <row r="163" spans="1:15">
      <c r="A163" s="501" t="s">
        <v>1942</v>
      </c>
      <c r="B163" s="614">
        <v>456.1</v>
      </c>
      <c r="C163" s="1047">
        <v>4188112</v>
      </c>
      <c r="D163" s="500" t="s">
        <v>1943</v>
      </c>
      <c r="E163" s="531"/>
      <c r="F163" s="773" t="s">
        <v>1683</v>
      </c>
      <c r="G163" s="779">
        <f t="shared" ref="G163:G175" si="89">IF(F163=$G$2,E163,0)</f>
        <v>0</v>
      </c>
      <c r="H163" s="780">
        <f>G163</f>
        <v>0</v>
      </c>
      <c r="I163" s="780">
        <f t="shared" ref="I163:I182" si="90">G163-H163</f>
        <v>0</v>
      </c>
      <c r="J163" s="779">
        <f t="shared" ref="J163:J176" si="91">IF(F163=$J$2,E163,0)</f>
        <v>0</v>
      </c>
      <c r="K163" s="899"/>
      <c r="L163" s="556"/>
      <c r="M163" s="780">
        <f>J163-L163</f>
        <v>0</v>
      </c>
      <c r="N163" s="779">
        <f t="shared" ref="N163:N182" si="92">IF(F163=$N$2,E163,0)</f>
        <v>0</v>
      </c>
      <c r="O163" s="780">
        <v>5</v>
      </c>
    </row>
    <row r="164" spans="1:15">
      <c r="A164" s="501" t="s">
        <v>1944</v>
      </c>
      <c r="B164" s="614">
        <v>456.1</v>
      </c>
      <c r="C164" s="1047">
        <v>4188114</v>
      </c>
      <c r="D164" s="500" t="s">
        <v>1945</v>
      </c>
      <c r="E164" s="531">
        <v>296028</v>
      </c>
      <c r="F164" s="773" t="s">
        <v>1683</v>
      </c>
      <c r="G164" s="779">
        <f t="shared" si="89"/>
        <v>296028</v>
      </c>
      <c r="H164" s="780">
        <v>0</v>
      </c>
      <c r="I164" s="780">
        <f t="shared" si="90"/>
        <v>296028</v>
      </c>
      <c r="J164" s="779">
        <f t="shared" si="91"/>
        <v>0</v>
      </c>
      <c r="K164" s="899"/>
      <c r="L164" s="556"/>
      <c r="M164" s="780">
        <f>J164-L164</f>
        <v>0</v>
      </c>
      <c r="N164" s="779">
        <f t="shared" si="92"/>
        <v>0</v>
      </c>
      <c r="O164" s="780">
        <v>4</v>
      </c>
    </row>
    <row r="165" spans="1:15">
      <c r="A165" s="501" t="s">
        <v>1946</v>
      </c>
      <c r="B165" s="614">
        <v>456.1</v>
      </c>
      <c r="C165" s="1047">
        <v>4188116</v>
      </c>
      <c r="D165" s="500" t="s">
        <v>1947</v>
      </c>
      <c r="E165" s="531">
        <v>898962.96</v>
      </c>
      <c r="F165" s="773" t="s">
        <v>1683</v>
      </c>
      <c r="G165" s="779">
        <f t="shared" si="89"/>
        <v>898962.96</v>
      </c>
      <c r="H165" s="780">
        <v>0</v>
      </c>
      <c r="I165" s="780">
        <f t="shared" si="90"/>
        <v>898962.96</v>
      </c>
      <c r="J165" s="779">
        <f t="shared" si="91"/>
        <v>0</v>
      </c>
      <c r="K165" s="899"/>
      <c r="L165" s="556"/>
      <c r="M165" s="780">
        <f>J165-L165</f>
        <v>0</v>
      </c>
      <c r="N165" s="779">
        <f t="shared" si="92"/>
        <v>0</v>
      </c>
      <c r="O165" s="780">
        <v>4</v>
      </c>
    </row>
    <row r="166" spans="1:15">
      <c r="A166" s="501" t="s">
        <v>1948</v>
      </c>
      <c r="B166" s="614">
        <v>456.1</v>
      </c>
      <c r="C166" s="1047">
        <v>4188812</v>
      </c>
      <c r="D166" s="500" t="s">
        <v>1949</v>
      </c>
      <c r="E166" s="531">
        <v>759765.04</v>
      </c>
      <c r="F166" s="773" t="s">
        <v>1685</v>
      </c>
      <c r="G166" s="779">
        <f t="shared" si="89"/>
        <v>0</v>
      </c>
      <c r="H166" s="780">
        <v>0</v>
      </c>
      <c r="I166" s="780">
        <f t="shared" si="90"/>
        <v>0</v>
      </c>
      <c r="J166" s="779">
        <f t="shared" si="91"/>
        <v>0</v>
      </c>
      <c r="K166" s="899"/>
      <c r="L166" s="556"/>
      <c r="M166" s="780">
        <f>J166-L166</f>
        <v>0</v>
      </c>
      <c r="N166" s="779">
        <f t="shared" si="92"/>
        <v>759765.04</v>
      </c>
      <c r="O166" s="780">
        <v>6</v>
      </c>
    </row>
    <row r="167" spans="1:15">
      <c r="A167" s="501" t="s">
        <v>1950</v>
      </c>
      <c r="B167" s="614">
        <v>456.1</v>
      </c>
      <c r="C167" s="1047">
        <v>4188814</v>
      </c>
      <c r="D167" s="500" t="s">
        <v>1951</v>
      </c>
      <c r="E167" s="531">
        <v>192128364.63</v>
      </c>
      <c r="F167" s="773" t="s">
        <v>1685</v>
      </c>
      <c r="G167" s="779">
        <f t="shared" si="89"/>
        <v>0</v>
      </c>
      <c r="H167" s="780">
        <v>0</v>
      </c>
      <c r="I167" s="780">
        <f t="shared" si="90"/>
        <v>0</v>
      </c>
      <c r="J167" s="779">
        <f t="shared" si="91"/>
        <v>0</v>
      </c>
      <c r="K167" s="899"/>
      <c r="L167" s="556"/>
      <c r="M167" s="780">
        <f>J167-L167</f>
        <v>0</v>
      </c>
      <c r="N167" s="779">
        <f t="shared" si="92"/>
        <v>192128364.63</v>
      </c>
      <c r="O167" s="780">
        <v>6</v>
      </c>
    </row>
    <row r="168" spans="1:15">
      <c r="A168" s="501" t="s">
        <v>1952</v>
      </c>
      <c r="B168" s="614">
        <v>456.1</v>
      </c>
      <c r="C168" s="1047">
        <v>4188816</v>
      </c>
      <c r="D168" s="500" t="s">
        <v>1953</v>
      </c>
      <c r="E168" s="531"/>
      <c r="F168" s="773" t="s">
        <v>1685</v>
      </c>
      <c r="G168" s="779">
        <f t="shared" si="89"/>
        <v>0</v>
      </c>
      <c r="H168" s="780">
        <v>0</v>
      </c>
      <c r="I168" s="780">
        <f t="shared" si="90"/>
        <v>0</v>
      </c>
      <c r="J168" s="779">
        <f t="shared" si="91"/>
        <v>0</v>
      </c>
      <c r="K168" s="899"/>
      <c r="L168" s="556"/>
      <c r="M168" s="780">
        <f t="shared" ref="M168" si="93">J168-L168</f>
        <v>0</v>
      </c>
      <c r="N168" s="779">
        <f t="shared" si="92"/>
        <v>0</v>
      </c>
      <c r="O168" s="780">
        <v>6</v>
      </c>
    </row>
    <row r="169" spans="1:15">
      <c r="A169" s="501" t="s">
        <v>1954</v>
      </c>
      <c r="B169" s="614">
        <v>456.1</v>
      </c>
      <c r="C169" s="1047">
        <v>4198110</v>
      </c>
      <c r="D169" s="500" t="s">
        <v>1955</v>
      </c>
      <c r="E169" s="531">
        <v>45562761.289999999</v>
      </c>
      <c r="F169" s="773" t="s">
        <v>1683</v>
      </c>
      <c r="G169" s="779">
        <f t="shared" si="89"/>
        <v>45562761.289999999</v>
      </c>
      <c r="H169" s="780">
        <f>G169</f>
        <v>45562761.289999999</v>
      </c>
      <c r="I169" s="780">
        <f t="shared" si="90"/>
        <v>0</v>
      </c>
      <c r="J169" s="779">
        <f t="shared" si="91"/>
        <v>0</v>
      </c>
      <c r="K169" s="899"/>
      <c r="L169" s="556"/>
      <c r="M169" s="780">
        <f t="shared" ref="M169:M182" si="94">J169-L169</f>
        <v>0</v>
      </c>
      <c r="N169" s="779">
        <f t="shared" si="92"/>
        <v>0</v>
      </c>
      <c r="O169" s="780">
        <v>5</v>
      </c>
    </row>
    <row r="170" spans="1:15">
      <c r="A170" s="501" t="s">
        <v>1956</v>
      </c>
      <c r="B170" s="614">
        <v>456.1</v>
      </c>
      <c r="C170" s="1047">
        <v>4198112</v>
      </c>
      <c r="D170" s="500" t="s">
        <v>1957</v>
      </c>
      <c r="E170" s="531">
        <v>10261197.380000001</v>
      </c>
      <c r="F170" s="773" t="s">
        <v>1683</v>
      </c>
      <c r="G170" s="779">
        <f t="shared" si="89"/>
        <v>10261197.380000001</v>
      </c>
      <c r="H170" s="780">
        <v>0</v>
      </c>
      <c r="I170" s="780">
        <f t="shared" si="90"/>
        <v>10261197.380000001</v>
      </c>
      <c r="J170" s="779">
        <f t="shared" si="91"/>
        <v>0</v>
      </c>
      <c r="K170" s="899"/>
      <c r="L170" s="556"/>
      <c r="M170" s="780">
        <f t="shared" si="94"/>
        <v>0</v>
      </c>
      <c r="N170" s="779">
        <f t="shared" si="92"/>
        <v>0</v>
      </c>
      <c r="O170" s="780">
        <v>4</v>
      </c>
    </row>
    <row r="171" spans="1:15">
      <c r="A171" s="501" t="s">
        <v>1958</v>
      </c>
      <c r="B171" s="614">
        <v>456.1</v>
      </c>
      <c r="C171" s="1047">
        <v>4198114</v>
      </c>
      <c r="D171" s="500" t="s">
        <v>1959</v>
      </c>
      <c r="E171" s="531"/>
      <c r="F171" s="773" t="s">
        <v>1683</v>
      </c>
      <c r="G171" s="779">
        <f t="shared" si="89"/>
        <v>0</v>
      </c>
      <c r="H171" s="780">
        <v>0</v>
      </c>
      <c r="I171" s="780">
        <f t="shared" si="90"/>
        <v>0</v>
      </c>
      <c r="J171" s="779">
        <f t="shared" si="91"/>
        <v>0</v>
      </c>
      <c r="K171" s="899"/>
      <c r="L171" s="556"/>
      <c r="M171" s="780">
        <f t="shared" si="94"/>
        <v>0</v>
      </c>
      <c r="N171" s="779">
        <f t="shared" si="92"/>
        <v>0</v>
      </c>
      <c r="O171" s="780">
        <v>4</v>
      </c>
    </row>
    <row r="172" spans="1:15">
      <c r="A172" s="501" t="s">
        <v>1960</v>
      </c>
      <c r="B172" s="614">
        <v>456.1</v>
      </c>
      <c r="C172" s="1047">
        <v>4198116</v>
      </c>
      <c r="D172" s="500" t="s">
        <v>1961</v>
      </c>
      <c r="E172" s="531"/>
      <c r="F172" s="773" t="s">
        <v>1683</v>
      </c>
      <c r="G172" s="779">
        <f t="shared" si="89"/>
        <v>0</v>
      </c>
      <c r="H172" s="780">
        <v>0</v>
      </c>
      <c r="I172" s="780">
        <f t="shared" si="90"/>
        <v>0</v>
      </c>
      <c r="J172" s="779">
        <f t="shared" si="91"/>
        <v>0</v>
      </c>
      <c r="K172" s="899"/>
      <c r="L172" s="556"/>
      <c r="M172" s="780">
        <f t="shared" si="94"/>
        <v>0</v>
      </c>
      <c r="N172" s="779">
        <f t="shared" si="92"/>
        <v>0</v>
      </c>
      <c r="O172" s="780">
        <v>4</v>
      </c>
    </row>
    <row r="173" spans="1:15">
      <c r="A173" s="501" t="s">
        <v>1962</v>
      </c>
      <c r="B173" s="614">
        <v>456.1</v>
      </c>
      <c r="C173" s="1047">
        <v>4198118</v>
      </c>
      <c r="D173" s="500" t="s">
        <v>1963</v>
      </c>
      <c r="E173" s="531">
        <v>402147.6</v>
      </c>
      <c r="F173" s="773" t="s">
        <v>1683</v>
      </c>
      <c r="G173" s="779">
        <f t="shared" si="89"/>
        <v>402147.6</v>
      </c>
      <c r="H173" s="780">
        <v>0</v>
      </c>
      <c r="I173" s="780">
        <f t="shared" si="90"/>
        <v>402147.6</v>
      </c>
      <c r="J173" s="779">
        <f t="shared" si="91"/>
        <v>0</v>
      </c>
      <c r="K173" s="899"/>
      <c r="L173" s="556"/>
      <c r="M173" s="780">
        <f t="shared" si="94"/>
        <v>0</v>
      </c>
      <c r="N173" s="779">
        <f t="shared" si="92"/>
        <v>0</v>
      </c>
      <c r="O173" s="780">
        <v>4</v>
      </c>
    </row>
    <row r="174" spans="1:15">
      <c r="A174" s="501" t="s">
        <v>1964</v>
      </c>
      <c r="B174" s="614">
        <v>456.1</v>
      </c>
      <c r="C174" s="1047">
        <v>4198120</v>
      </c>
      <c r="D174" s="500" t="s">
        <v>1965</v>
      </c>
      <c r="E174" s="531"/>
      <c r="F174" s="773" t="s">
        <v>1683</v>
      </c>
      <c r="G174" s="779">
        <f t="shared" si="89"/>
        <v>0</v>
      </c>
      <c r="H174" s="780">
        <v>0</v>
      </c>
      <c r="I174" s="780">
        <f t="shared" si="90"/>
        <v>0</v>
      </c>
      <c r="J174" s="779">
        <f t="shared" si="91"/>
        <v>0</v>
      </c>
      <c r="K174" s="899"/>
      <c r="L174" s="556"/>
      <c r="M174" s="780">
        <f t="shared" si="94"/>
        <v>0</v>
      </c>
      <c r="N174" s="779">
        <f t="shared" si="92"/>
        <v>0</v>
      </c>
      <c r="O174" s="780">
        <v>4</v>
      </c>
    </row>
    <row r="175" spans="1:15">
      <c r="A175" s="501" t="s">
        <v>1966</v>
      </c>
      <c r="B175" s="614">
        <v>456.1</v>
      </c>
      <c r="C175" s="1047">
        <v>4198122</v>
      </c>
      <c r="D175" s="500" t="s">
        <v>1967</v>
      </c>
      <c r="E175" s="531"/>
      <c r="F175" s="773" t="s">
        <v>1683</v>
      </c>
      <c r="G175" s="779">
        <f t="shared" si="89"/>
        <v>0</v>
      </c>
      <c r="H175" s="780">
        <v>0</v>
      </c>
      <c r="I175" s="780">
        <f t="shared" si="90"/>
        <v>0</v>
      </c>
      <c r="J175" s="779">
        <f t="shared" si="91"/>
        <v>0</v>
      </c>
      <c r="K175" s="899"/>
      <c r="L175" s="556"/>
      <c r="M175" s="780">
        <f t="shared" si="94"/>
        <v>0</v>
      </c>
      <c r="N175" s="779">
        <f t="shared" si="92"/>
        <v>0</v>
      </c>
      <c r="O175" s="780">
        <v>4</v>
      </c>
    </row>
    <row r="176" spans="1:15">
      <c r="A176" s="501" t="s">
        <v>1968</v>
      </c>
      <c r="B176" s="614">
        <v>456.1</v>
      </c>
      <c r="C176" s="1047">
        <v>4198124</v>
      </c>
      <c r="D176" s="500" t="s">
        <v>1969</v>
      </c>
      <c r="E176" s="531">
        <v>651331.07999999996</v>
      </c>
      <c r="F176" s="773" t="s">
        <v>1683</v>
      </c>
      <c r="G176" s="779">
        <f t="shared" ref="G176" si="95">IF(F176=$G$2,E176,0)</f>
        <v>651331.07999999996</v>
      </c>
      <c r="H176" s="780">
        <v>0</v>
      </c>
      <c r="I176" s="780">
        <f t="shared" si="90"/>
        <v>651331.07999999996</v>
      </c>
      <c r="J176" s="779">
        <f t="shared" si="91"/>
        <v>0</v>
      </c>
      <c r="K176" s="899"/>
      <c r="L176" s="556"/>
      <c r="M176" s="780">
        <f t="shared" si="94"/>
        <v>0</v>
      </c>
      <c r="N176" s="779">
        <f t="shared" si="92"/>
        <v>0</v>
      </c>
      <c r="O176" s="780">
        <v>4</v>
      </c>
    </row>
    <row r="177" spans="1:17">
      <c r="A177" s="501" t="s">
        <v>1970</v>
      </c>
      <c r="B177" s="614">
        <v>456.1</v>
      </c>
      <c r="C177" s="1047">
        <v>4198126</v>
      </c>
      <c r="D177" s="500" t="s">
        <v>1971</v>
      </c>
      <c r="E177" s="531">
        <v>207840.12</v>
      </c>
      <c r="F177" s="773" t="s">
        <v>1683</v>
      </c>
      <c r="G177" s="779">
        <f t="shared" ref="G177:G182" si="96">IF(F177=$G$2,E177,0)</f>
        <v>207840.12</v>
      </c>
      <c r="H177" s="780">
        <v>0</v>
      </c>
      <c r="I177" s="780">
        <f t="shared" si="90"/>
        <v>207840.12</v>
      </c>
      <c r="J177" s="779">
        <f t="shared" ref="J177" si="97">IF(F177=$J$2,E177,0)</f>
        <v>0</v>
      </c>
      <c r="K177" s="899"/>
      <c r="L177" s="556"/>
      <c r="M177" s="780">
        <f t="shared" si="94"/>
        <v>0</v>
      </c>
      <c r="N177" s="779">
        <f t="shared" si="92"/>
        <v>0</v>
      </c>
      <c r="O177" s="780">
        <v>4</v>
      </c>
    </row>
    <row r="178" spans="1:17">
      <c r="A178" s="501" t="s">
        <v>1972</v>
      </c>
      <c r="B178" s="614">
        <v>456.1</v>
      </c>
      <c r="C178" s="1047">
        <v>4198130</v>
      </c>
      <c r="D178" s="500" t="s">
        <v>1973</v>
      </c>
      <c r="E178" s="531">
        <v>42492.12</v>
      </c>
      <c r="F178" s="773" t="s">
        <v>1683</v>
      </c>
      <c r="G178" s="779">
        <f t="shared" si="96"/>
        <v>42492.12</v>
      </c>
      <c r="H178" s="780">
        <v>0</v>
      </c>
      <c r="I178" s="780">
        <f t="shared" si="90"/>
        <v>42492.12</v>
      </c>
      <c r="J178" s="779">
        <f>IF(F178=$J$2,E178,0)</f>
        <v>0</v>
      </c>
      <c r="K178" s="899"/>
      <c r="L178" s="556"/>
      <c r="M178" s="780">
        <f t="shared" si="94"/>
        <v>0</v>
      </c>
      <c r="N178" s="779">
        <f t="shared" si="92"/>
        <v>0</v>
      </c>
      <c r="O178" s="780">
        <v>4</v>
      </c>
    </row>
    <row r="179" spans="1:17">
      <c r="A179" s="501" t="s">
        <v>1974</v>
      </c>
      <c r="B179" s="614">
        <v>456.1</v>
      </c>
      <c r="C179" s="1047">
        <v>4198910</v>
      </c>
      <c r="D179" s="500" t="s">
        <v>1975</v>
      </c>
      <c r="E179" s="531"/>
      <c r="F179" s="773" t="s">
        <v>1685</v>
      </c>
      <c r="G179" s="779">
        <f t="shared" si="96"/>
        <v>0</v>
      </c>
      <c r="H179" s="780">
        <v>0</v>
      </c>
      <c r="I179" s="780">
        <f t="shared" si="90"/>
        <v>0</v>
      </c>
      <c r="J179" s="779">
        <f>IF(F179=$J$2,E179,0)</f>
        <v>0</v>
      </c>
      <c r="K179" s="899"/>
      <c r="L179" s="556"/>
      <c r="M179" s="780">
        <f t="shared" si="94"/>
        <v>0</v>
      </c>
      <c r="N179" s="779">
        <f t="shared" si="92"/>
        <v>0</v>
      </c>
      <c r="O179" s="780">
        <v>6</v>
      </c>
    </row>
    <row r="180" spans="1:17">
      <c r="A180" s="501" t="s">
        <v>1976</v>
      </c>
      <c r="B180" s="614">
        <v>456.1</v>
      </c>
      <c r="C180" s="1047">
        <v>4198132</v>
      </c>
      <c r="D180" s="500" t="s">
        <v>1977</v>
      </c>
      <c r="E180" s="531">
        <v>96303.72</v>
      </c>
      <c r="F180" s="773" t="s">
        <v>1683</v>
      </c>
      <c r="G180" s="779">
        <f t="shared" si="96"/>
        <v>96303.72</v>
      </c>
      <c r="H180" s="780">
        <v>0</v>
      </c>
      <c r="I180" s="780">
        <f t="shared" si="90"/>
        <v>96303.72</v>
      </c>
      <c r="J180" s="779">
        <f>IF(F180=$J$2,E180,0)</f>
        <v>0</v>
      </c>
      <c r="K180" s="782"/>
      <c r="L180" s="556"/>
      <c r="M180" s="780">
        <f t="shared" si="94"/>
        <v>0</v>
      </c>
      <c r="N180" s="779">
        <f t="shared" si="92"/>
        <v>0</v>
      </c>
      <c r="O180" s="780">
        <v>4</v>
      </c>
    </row>
    <row r="181" spans="1:17">
      <c r="A181" s="501" t="s">
        <v>1978</v>
      </c>
      <c r="B181" s="614">
        <v>456.1</v>
      </c>
      <c r="C181" s="1047">
        <v>4198134</v>
      </c>
      <c r="D181" s="500" t="s">
        <v>1979</v>
      </c>
      <c r="E181" s="531">
        <v>151426.92000000001</v>
      </c>
      <c r="F181" s="773" t="s">
        <v>1683</v>
      </c>
      <c r="G181" s="779">
        <f t="shared" si="96"/>
        <v>151426.92000000001</v>
      </c>
      <c r="H181" s="780">
        <v>0</v>
      </c>
      <c r="I181" s="780">
        <f t="shared" si="90"/>
        <v>151426.92000000001</v>
      </c>
      <c r="J181" s="779">
        <f>IF(F181=$J$2,E181,0)</f>
        <v>0</v>
      </c>
      <c r="K181" s="782"/>
      <c r="L181" s="556"/>
      <c r="M181" s="780">
        <f t="shared" si="94"/>
        <v>0</v>
      </c>
      <c r="N181" s="779">
        <f t="shared" si="92"/>
        <v>0</v>
      </c>
      <c r="O181" s="780">
        <v>4</v>
      </c>
    </row>
    <row r="182" spans="1:17">
      <c r="A182" s="501" t="s">
        <v>1980</v>
      </c>
      <c r="B182" s="614">
        <v>456.1</v>
      </c>
      <c r="C182" s="1047">
        <v>4188716</v>
      </c>
      <c r="D182" s="283" t="s">
        <v>1981</v>
      </c>
      <c r="E182" s="531">
        <v>376468.27</v>
      </c>
      <c r="F182" s="781" t="s">
        <v>1685</v>
      </c>
      <c r="G182" s="779">
        <f t="shared" si="96"/>
        <v>0</v>
      </c>
      <c r="H182" s="780">
        <v>0</v>
      </c>
      <c r="I182" s="780">
        <f t="shared" si="90"/>
        <v>0</v>
      </c>
      <c r="J182" s="779">
        <f>IF(F182=$J$2,E182,0)</f>
        <v>0</v>
      </c>
      <c r="K182" s="782"/>
      <c r="L182" s="556"/>
      <c r="M182" s="780">
        <f t="shared" si="94"/>
        <v>0</v>
      </c>
      <c r="N182" s="779">
        <f t="shared" si="92"/>
        <v>376468.27</v>
      </c>
      <c r="O182" s="780">
        <v>6</v>
      </c>
    </row>
    <row r="183" spans="1:17">
      <c r="A183" s="501" t="s">
        <v>1982</v>
      </c>
      <c r="B183" s="752">
        <v>456.1</v>
      </c>
      <c r="C183" s="1047">
        <v>4198910</v>
      </c>
      <c r="D183" s="753" t="s">
        <v>1983</v>
      </c>
      <c r="E183" s="531"/>
      <c r="F183" s="781" t="s">
        <v>1685</v>
      </c>
      <c r="G183" s="783">
        <f t="shared" ref="G183:G186" si="98">IF(F183=$G$2,E183,0)</f>
        <v>0</v>
      </c>
      <c r="H183" s="780">
        <v>0</v>
      </c>
      <c r="I183" s="780">
        <f t="shared" ref="I183:I186" si="99">G183-H183</f>
        <v>0</v>
      </c>
      <c r="J183" s="783">
        <f t="shared" ref="J183:J186" si="100">IF(F183=$J$2,E183,0)</f>
        <v>0</v>
      </c>
      <c r="K183" s="782"/>
      <c r="L183" s="556"/>
      <c r="M183" s="780">
        <f t="shared" ref="M183:M186" si="101">J183-L183</f>
        <v>0</v>
      </c>
      <c r="N183" s="779">
        <f t="shared" ref="N183:N186" si="102">IF(F183=$N$2,E183,0)</f>
        <v>0</v>
      </c>
      <c r="O183" s="780">
        <v>6</v>
      </c>
    </row>
    <row r="184" spans="1:17">
      <c r="A184" s="501" t="s">
        <v>1984</v>
      </c>
      <c r="B184" s="752">
        <v>456.1</v>
      </c>
      <c r="C184" s="1047">
        <v>4171022</v>
      </c>
      <c r="D184" s="753" t="s">
        <v>1985</v>
      </c>
      <c r="E184" s="531"/>
      <c r="F184" s="781" t="s">
        <v>1685</v>
      </c>
      <c r="G184" s="783">
        <f t="shared" si="98"/>
        <v>0</v>
      </c>
      <c r="H184" s="780">
        <v>0</v>
      </c>
      <c r="I184" s="780">
        <f t="shared" si="99"/>
        <v>0</v>
      </c>
      <c r="J184" s="783">
        <f t="shared" si="100"/>
        <v>0</v>
      </c>
      <c r="K184" s="782"/>
      <c r="L184" s="556"/>
      <c r="M184" s="780">
        <f t="shared" si="101"/>
        <v>0</v>
      </c>
      <c r="N184" s="779">
        <f t="shared" si="102"/>
        <v>0</v>
      </c>
      <c r="O184" s="780">
        <v>6</v>
      </c>
    </row>
    <row r="185" spans="1:17" s="235" customFormat="1">
      <c r="A185" s="501" t="s">
        <v>1986</v>
      </c>
      <c r="B185" s="614">
        <v>456.1</v>
      </c>
      <c r="C185" s="1047">
        <v>4171032</v>
      </c>
      <c r="D185" s="283" t="s">
        <v>1987</v>
      </c>
      <c r="E185" s="531">
        <v>9513360</v>
      </c>
      <c r="F185" s="781" t="s">
        <v>1685</v>
      </c>
      <c r="G185" s="783">
        <f t="shared" si="98"/>
        <v>0</v>
      </c>
      <c r="H185" s="780">
        <v>0</v>
      </c>
      <c r="I185" s="780">
        <f t="shared" si="99"/>
        <v>0</v>
      </c>
      <c r="J185" s="783">
        <f t="shared" si="100"/>
        <v>0</v>
      </c>
      <c r="K185" s="782"/>
      <c r="L185" s="556"/>
      <c r="M185" s="780">
        <f t="shared" si="101"/>
        <v>0</v>
      </c>
      <c r="N185" s="779">
        <f t="shared" si="102"/>
        <v>9513360</v>
      </c>
      <c r="O185" s="780">
        <v>6</v>
      </c>
      <c r="Q185"/>
    </row>
    <row r="186" spans="1:17" s="235" customFormat="1">
      <c r="A186" s="501" t="s">
        <v>2775</v>
      </c>
      <c r="B186" s="614">
        <v>456.1</v>
      </c>
      <c r="C186" s="1047">
        <v>4198915</v>
      </c>
      <c r="D186" s="283" t="s">
        <v>2776</v>
      </c>
      <c r="E186" s="531"/>
      <c r="F186" s="781" t="s">
        <v>1685</v>
      </c>
      <c r="G186" s="783">
        <f t="shared" si="98"/>
        <v>0</v>
      </c>
      <c r="H186" s="780">
        <v>0</v>
      </c>
      <c r="I186" s="780">
        <f t="shared" si="99"/>
        <v>0</v>
      </c>
      <c r="J186" s="783">
        <f t="shared" si="100"/>
        <v>0</v>
      </c>
      <c r="K186" s="782"/>
      <c r="L186" s="556"/>
      <c r="M186" s="780">
        <f t="shared" si="101"/>
        <v>0</v>
      </c>
      <c r="N186" s="783">
        <f t="shared" si="102"/>
        <v>0</v>
      </c>
      <c r="O186" s="774">
        <v>6</v>
      </c>
      <c r="Q186"/>
    </row>
    <row r="187" spans="1:17" s="235" customFormat="1">
      <c r="A187" s="584"/>
      <c r="B187" s="802"/>
      <c r="C187" s="804"/>
      <c r="D187" s="585"/>
      <c r="E187" s="781"/>
      <c r="F187" s="781"/>
      <c r="G187" s="773"/>
      <c r="H187" s="774"/>
      <c r="I187" s="774"/>
      <c r="J187" s="773"/>
      <c r="K187" s="781"/>
      <c r="L187" s="774"/>
      <c r="M187" s="774"/>
      <c r="N187" s="773"/>
      <c r="O187" s="774"/>
      <c r="Q187"/>
    </row>
    <row r="188" spans="1:17">
      <c r="A188" s="584"/>
      <c r="B188" s="802"/>
      <c r="C188" s="804"/>
      <c r="D188" s="585"/>
      <c r="E188" s="902"/>
      <c r="F188" s="902"/>
      <c r="G188" s="898"/>
      <c r="H188" s="393"/>
      <c r="I188" s="393"/>
      <c r="J188" s="556"/>
      <c r="K188" s="902"/>
      <c r="L188" s="393"/>
      <c r="M188" s="393"/>
      <c r="N188" s="556"/>
      <c r="O188" s="586"/>
    </row>
    <row r="189" spans="1:17">
      <c r="A189" s="501">
        <v>16</v>
      </c>
      <c r="B189" s="1130" t="s">
        <v>1988</v>
      </c>
      <c r="C189" s="1123"/>
      <c r="D189" s="1124"/>
      <c r="E189" s="159">
        <f>SUM(E163:E188)</f>
        <v>261348449.13</v>
      </c>
      <c r="F189" s="166"/>
      <c r="G189" s="159">
        <f>SUM(G163:G188)</f>
        <v>58570491.189999998</v>
      </c>
      <c r="H189" s="159">
        <f>SUM(H163:H188)</f>
        <v>45562761.289999999</v>
      </c>
      <c r="I189" s="159">
        <f>SUM(I163:I188)</f>
        <v>13007729.899999999</v>
      </c>
      <c r="J189" s="159">
        <f>SUM(J163:J188)</f>
        <v>0</v>
      </c>
      <c r="K189" s="166"/>
      <c r="L189" s="159">
        <f>SUM(L163:L188)</f>
        <v>0</v>
      </c>
      <c r="M189" s="159">
        <f>SUM(M163:M188)</f>
        <v>0</v>
      </c>
      <c r="N189" s="159">
        <f>SUM(N163:N188)</f>
        <v>202777957.94</v>
      </c>
      <c r="O189" s="107"/>
    </row>
    <row r="190" spans="1:17" ht="25.5" customHeight="1">
      <c r="A190" s="501">
        <v>17</v>
      </c>
      <c r="B190" s="1125" t="s">
        <v>1989</v>
      </c>
      <c r="C190" s="1126"/>
      <c r="D190" s="1127"/>
      <c r="E190" s="583">
        <v>261348449</v>
      </c>
      <c r="F190" s="158"/>
      <c r="G190" s="168"/>
      <c r="H190" s="158"/>
      <c r="I190" s="160"/>
      <c r="J190" s="153"/>
      <c r="K190" s="160"/>
      <c r="L190" s="153"/>
      <c r="M190" s="153"/>
      <c r="N190" s="153"/>
      <c r="O190" s="2"/>
    </row>
    <row r="191" spans="1:17">
      <c r="A191" s="4"/>
      <c r="B191" s="1"/>
      <c r="C191" s="110"/>
      <c r="D191" s="110"/>
      <c r="E191" s="153"/>
      <c r="F191" s="153"/>
      <c r="G191" s="153"/>
      <c r="H191" s="160"/>
      <c r="I191" s="160"/>
      <c r="J191" s="153"/>
      <c r="K191" s="160"/>
      <c r="L191" s="153"/>
      <c r="M191" s="153"/>
      <c r="N191" s="153"/>
      <c r="O191" s="2"/>
    </row>
    <row r="192" spans="1:17">
      <c r="A192" s="4"/>
      <c r="B192" s="1"/>
      <c r="C192" s="110"/>
      <c r="D192" s="110"/>
      <c r="E192" s="153"/>
      <c r="F192" s="153"/>
      <c r="G192" s="153"/>
      <c r="H192" s="160"/>
      <c r="I192" s="160"/>
      <c r="J192" s="153"/>
      <c r="K192" s="160"/>
      <c r="L192" s="153"/>
      <c r="M192" s="153"/>
      <c r="N192" s="153"/>
      <c r="O192" s="2"/>
    </row>
    <row r="193" spans="1:15">
      <c r="A193" s="584"/>
      <c r="B193" s="769"/>
      <c r="C193" s="175"/>
      <c r="D193" s="175"/>
      <c r="E193" s="176"/>
      <c r="F193" s="176"/>
      <c r="G193" s="176"/>
      <c r="H193" s="176"/>
      <c r="I193" s="176"/>
      <c r="J193" s="176"/>
      <c r="K193" s="176"/>
      <c r="L193" s="176"/>
      <c r="M193" s="176"/>
      <c r="N193" s="176"/>
      <c r="O193" s="586"/>
    </row>
    <row r="194" spans="1:15">
      <c r="A194" s="584"/>
      <c r="B194" s="177"/>
      <c r="C194" s="175"/>
      <c r="D194" s="175"/>
      <c r="E194" s="176"/>
      <c r="F194" s="176"/>
      <c r="G194" s="176"/>
      <c r="H194" s="176"/>
      <c r="I194" s="176"/>
      <c r="J194" s="176"/>
      <c r="K194" s="176"/>
      <c r="L194" s="176"/>
      <c r="M194" s="176"/>
      <c r="N194" s="176"/>
      <c r="O194" s="586"/>
    </row>
    <row r="195" spans="1:15">
      <c r="A195" s="501">
        <v>19</v>
      </c>
      <c r="B195" s="1130" t="s">
        <v>1990</v>
      </c>
      <c r="C195" s="1123"/>
      <c r="D195" s="1124"/>
      <c r="E195" s="154">
        <f>SUM(E193:E194)</f>
        <v>0</v>
      </c>
      <c r="F195" s="181"/>
      <c r="G195" s="154">
        <f>SUM(G193:G194)</f>
        <v>0</v>
      </c>
      <c r="H195" s="154">
        <f>SUM(H193:H194)</f>
        <v>0</v>
      </c>
      <c r="I195" s="154">
        <f>SUM(I193:I194)</f>
        <v>0</v>
      </c>
      <c r="J195" s="154">
        <f>SUM(J193:J194)</f>
        <v>0</v>
      </c>
      <c r="K195" s="166"/>
      <c r="L195" s="154">
        <f>SUM(L193:L194)</f>
        <v>0</v>
      </c>
      <c r="M195" s="154">
        <f>SUM(M193:M194)</f>
        <v>0</v>
      </c>
      <c r="N195" s="154">
        <f>SUM(N193:N194)</f>
        <v>0</v>
      </c>
      <c r="O195" s="154"/>
    </row>
    <row r="196" spans="1:15" ht="26.25" customHeight="1">
      <c r="A196" s="501">
        <v>20</v>
      </c>
      <c r="B196" s="1140" t="s">
        <v>1991</v>
      </c>
      <c r="C196" s="1141"/>
      <c r="D196" s="1142"/>
      <c r="E196" s="157">
        <v>0</v>
      </c>
      <c r="F196" s="153"/>
      <c r="G196" s="155"/>
      <c r="H196" s="158"/>
      <c r="I196" s="158"/>
      <c r="J196" s="155"/>
      <c r="K196" s="158"/>
      <c r="L196" s="155"/>
      <c r="M196" s="155"/>
      <c r="N196" s="155"/>
      <c r="O196" s="111"/>
    </row>
    <row r="197" spans="1:15">
      <c r="A197" s="4"/>
      <c r="B197" s="1"/>
      <c r="C197" s="110"/>
      <c r="D197" s="110"/>
      <c r="E197" s="153"/>
      <c r="F197" s="153"/>
      <c r="G197" s="155"/>
      <c r="H197" s="158"/>
      <c r="I197" s="158"/>
      <c r="J197" s="155"/>
      <c r="K197" s="158"/>
      <c r="L197" s="155"/>
      <c r="M197" s="155"/>
      <c r="N197" s="155"/>
      <c r="O197" s="111"/>
    </row>
    <row r="198" spans="1:15">
      <c r="A198" s="584"/>
      <c r="B198" s="769"/>
      <c r="C198" s="175"/>
      <c r="D198" s="175"/>
      <c r="E198" s="176"/>
      <c r="F198" s="176"/>
      <c r="G198" s="157"/>
      <c r="H198" s="157"/>
      <c r="I198" s="157"/>
      <c r="J198" s="157"/>
      <c r="K198" s="157"/>
      <c r="L198" s="157"/>
      <c r="M198" s="157"/>
      <c r="N198" s="157"/>
      <c r="O198" s="393"/>
    </row>
    <row r="199" spans="1:15">
      <c r="A199" s="584"/>
      <c r="B199" s="177"/>
      <c r="C199" s="175"/>
      <c r="D199" s="175"/>
      <c r="E199" s="176"/>
      <c r="F199" s="176"/>
      <c r="G199" s="157"/>
      <c r="H199" s="157"/>
      <c r="I199" s="157"/>
      <c r="J199" s="157"/>
      <c r="K199" s="157"/>
      <c r="L199" s="157"/>
      <c r="M199" s="157"/>
      <c r="N199" s="157"/>
      <c r="O199" s="393"/>
    </row>
    <row r="200" spans="1:15">
      <c r="A200" s="501">
        <v>22</v>
      </c>
      <c r="B200" s="1130" t="s">
        <v>1992</v>
      </c>
      <c r="C200" s="1123"/>
      <c r="D200" s="1124"/>
      <c r="E200" s="154">
        <f>SUM(E198:E199)</f>
        <v>0</v>
      </c>
      <c r="F200" s="181"/>
      <c r="G200" s="154">
        <f>SUM(G198:G199)</f>
        <v>0</v>
      </c>
      <c r="H200" s="154">
        <f>SUM(H198:H199)</f>
        <v>0</v>
      </c>
      <c r="I200" s="154">
        <f>SUM(I198:I199)</f>
        <v>0</v>
      </c>
      <c r="J200" s="154">
        <f>SUM(J198:J199)</f>
        <v>0</v>
      </c>
      <c r="K200" s="166"/>
      <c r="L200" s="154">
        <f>SUM(L198:L199)</f>
        <v>0</v>
      </c>
      <c r="M200" s="154">
        <f>SUM(M198:M199)</f>
        <v>0</v>
      </c>
      <c r="N200" s="154">
        <f>SUM(N198:N199)</f>
        <v>0</v>
      </c>
      <c r="O200" s="154"/>
    </row>
    <row r="201" spans="1:15" ht="26.25" customHeight="1">
      <c r="A201" s="501">
        <v>23</v>
      </c>
      <c r="B201" s="1140" t="s">
        <v>1993</v>
      </c>
      <c r="C201" s="1141"/>
      <c r="D201" s="1142"/>
      <c r="E201" s="157">
        <v>0</v>
      </c>
      <c r="F201" s="153"/>
      <c r="G201" s="153"/>
      <c r="H201" s="160"/>
      <c r="I201" s="160"/>
      <c r="J201" s="153"/>
      <c r="K201" s="160"/>
      <c r="L201" s="153"/>
      <c r="M201" s="153"/>
      <c r="N201" s="153"/>
      <c r="O201" s="2"/>
    </row>
    <row r="202" spans="1:15">
      <c r="A202" s="4"/>
      <c r="B202" s="1"/>
      <c r="C202" s="110"/>
      <c r="D202" s="110"/>
      <c r="E202" s="153"/>
      <c r="F202" s="153"/>
      <c r="G202" s="153"/>
      <c r="H202" s="160"/>
      <c r="I202" s="160"/>
      <c r="J202" s="153"/>
      <c r="K202" s="160"/>
      <c r="L202" s="153"/>
      <c r="M202" s="153"/>
      <c r="N202" s="153"/>
      <c r="O202" s="2"/>
    </row>
    <row r="203" spans="1:15">
      <c r="A203" s="4"/>
      <c r="B203" s="1" t="s">
        <v>1994</v>
      </c>
      <c r="C203" s="110"/>
      <c r="D203" s="110"/>
      <c r="E203" s="766"/>
      <c r="F203" s="153"/>
      <c r="G203" s="153"/>
      <c r="H203" s="160"/>
      <c r="I203" s="160"/>
      <c r="J203" s="153"/>
      <c r="K203" s="160"/>
      <c r="L203" s="153"/>
      <c r="M203" s="153"/>
      <c r="N203" s="153"/>
      <c r="O203" s="2"/>
    </row>
    <row r="204" spans="1:15">
      <c r="A204" s="501" t="s">
        <v>1995</v>
      </c>
      <c r="B204" s="613">
        <v>417</v>
      </c>
      <c r="C204" s="1047">
        <v>4863130</v>
      </c>
      <c r="D204" s="283" t="s">
        <v>1996</v>
      </c>
      <c r="E204" s="531">
        <v>575187.35</v>
      </c>
      <c r="F204" s="531" t="s">
        <v>1684</v>
      </c>
      <c r="G204" s="895">
        <f t="shared" ref="G204:G216" si="103">IF(F204=$G$2,E204,0)</f>
        <v>0</v>
      </c>
      <c r="H204" s="498">
        <v>0</v>
      </c>
      <c r="I204" s="498">
        <f t="shared" ref="I204:I218" si="104">G204-H204</f>
        <v>0</v>
      </c>
      <c r="J204" s="895">
        <f t="shared" ref="J204:J216" si="105">IF(F204=$J$2,E204,0)</f>
        <v>575187.35</v>
      </c>
      <c r="K204" s="282" t="s">
        <v>1715</v>
      </c>
      <c r="L204" s="556">
        <v>95205.304291632696</v>
      </c>
      <c r="M204" s="895">
        <f t="shared" ref="M204:M220" si="106">J204-L204</f>
        <v>479982.04570836725</v>
      </c>
      <c r="N204" s="895">
        <f>IF(F204=$N$2,E204,0)</f>
        <v>0</v>
      </c>
      <c r="O204" s="282">
        <v>2</v>
      </c>
    </row>
    <row r="205" spans="1:15">
      <c r="A205" s="501" t="s">
        <v>1997</v>
      </c>
      <c r="B205" s="613">
        <v>417</v>
      </c>
      <c r="C205" s="1047">
        <v>4862110</v>
      </c>
      <c r="D205" s="283" t="s">
        <v>1998</v>
      </c>
      <c r="E205" s="531">
        <v>7994508.5599999996</v>
      </c>
      <c r="F205" s="531" t="s">
        <v>1684</v>
      </c>
      <c r="G205" s="895">
        <f t="shared" si="103"/>
        <v>0</v>
      </c>
      <c r="H205" s="498">
        <v>0</v>
      </c>
      <c r="I205" s="498">
        <f t="shared" si="104"/>
        <v>0</v>
      </c>
      <c r="J205" s="895">
        <f t="shared" si="105"/>
        <v>7994508.5599999996</v>
      </c>
      <c r="K205" s="282" t="s">
        <v>1471</v>
      </c>
      <c r="L205" s="556">
        <v>1385359.3323880832</v>
      </c>
      <c r="M205" s="895">
        <f t="shared" si="106"/>
        <v>6609149.2276119161</v>
      </c>
      <c r="N205" s="895">
        <f t="shared" ref="N205:N216" si="107">IF(F205=$N$2,E205,0)</f>
        <v>0</v>
      </c>
      <c r="O205" s="282">
        <v>2</v>
      </c>
    </row>
    <row r="206" spans="1:15">
      <c r="A206" s="501" t="s">
        <v>1999</v>
      </c>
      <c r="B206" s="613">
        <v>417</v>
      </c>
      <c r="C206" s="1047">
        <v>4862115</v>
      </c>
      <c r="D206" s="283" t="s">
        <v>2000</v>
      </c>
      <c r="E206" s="531"/>
      <c r="F206" s="531" t="s">
        <v>1684</v>
      </c>
      <c r="G206" s="895">
        <f t="shared" si="103"/>
        <v>0</v>
      </c>
      <c r="H206" s="498">
        <v>0</v>
      </c>
      <c r="I206" s="498">
        <f t="shared" si="104"/>
        <v>0</v>
      </c>
      <c r="J206" s="895">
        <f t="shared" si="105"/>
        <v>0</v>
      </c>
      <c r="K206" s="282" t="s">
        <v>1471</v>
      </c>
      <c r="L206" s="556"/>
      <c r="M206" s="895">
        <f t="shared" si="106"/>
        <v>0</v>
      </c>
      <c r="N206" s="895">
        <f t="shared" si="107"/>
        <v>0</v>
      </c>
      <c r="O206" s="282">
        <v>2</v>
      </c>
    </row>
    <row r="207" spans="1:15">
      <c r="A207" s="501" t="s">
        <v>2001</v>
      </c>
      <c r="B207" s="613">
        <v>417</v>
      </c>
      <c r="C207" s="1047">
        <v>4862120</v>
      </c>
      <c r="D207" s="283" t="s">
        <v>2002</v>
      </c>
      <c r="E207" s="531">
        <v>100334.26</v>
      </c>
      <c r="F207" s="531" t="s">
        <v>1684</v>
      </c>
      <c r="G207" s="895">
        <f t="shared" si="103"/>
        <v>0</v>
      </c>
      <c r="H207" s="498">
        <v>0</v>
      </c>
      <c r="I207" s="498">
        <f t="shared" si="104"/>
        <v>0</v>
      </c>
      <c r="J207" s="895">
        <f t="shared" si="105"/>
        <v>100334.26</v>
      </c>
      <c r="K207" s="282" t="s">
        <v>1471</v>
      </c>
      <c r="L207" s="556">
        <v>16992.556499402999</v>
      </c>
      <c r="M207" s="895">
        <f t="shared" si="106"/>
        <v>83341.703500596996</v>
      </c>
      <c r="N207" s="895">
        <f t="shared" si="107"/>
        <v>0</v>
      </c>
      <c r="O207" s="282">
        <v>2</v>
      </c>
    </row>
    <row r="208" spans="1:15">
      <c r="A208" s="501" t="s">
        <v>2003</v>
      </c>
      <c r="B208" s="613">
        <v>417</v>
      </c>
      <c r="C208" s="1047">
        <v>4862135</v>
      </c>
      <c r="D208" s="283" t="s">
        <v>2004</v>
      </c>
      <c r="E208" s="531">
        <v>10580731.77</v>
      </c>
      <c r="F208" s="531" t="s">
        <v>1684</v>
      </c>
      <c r="G208" s="895">
        <f t="shared" si="103"/>
        <v>0</v>
      </c>
      <c r="H208" s="498">
        <v>0</v>
      </c>
      <c r="I208" s="498">
        <f t="shared" si="104"/>
        <v>0</v>
      </c>
      <c r="J208" s="895">
        <f t="shared" si="105"/>
        <v>10580731.77</v>
      </c>
      <c r="K208" s="282" t="s">
        <v>1471</v>
      </c>
      <c r="L208" s="556">
        <v>1836469.1167811113</v>
      </c>
      <c r="M208" s="895">
        <f t="shared" si="106"/>
        <v>8744262.6532188877</v>
      </c>
      <c r="N208" s="895">
        <f t="shared" si="107"/>
        <v>0</v>
      </c>
      <c r="O208" s="282">
        <v>2</v>
      </c>
    </row>
    <row r="209" spans="1:17">
      <c r="A209" s="501" t="s">
        <v>2005</v>
      </c>
      <c r="B209" s="613">
        <v>417</v>
      </c>
      <c r="C209" s="1047">
        <v>4864115</v>
      </c>
      <c r="D209" s="283" t="s">
        <v>2006</v>
      </c>
      <c r="E209" s="531">
        <v>577445.18000000005</v>
      </c>
      <c r="F209" s="531" t="s">
        <v>1684</v>
      </c>
      <c r="G209" s="895">
        <f t="shared" si="103"/>
        <v>0</v>
      </c>
      <c r="H209" s="498">
        <v>0</v>
      </c>
      <c r="I209" s="498">
        <f t="shared" si="104"/>
        <v>0</v>
      </c>
      <c r="J209" s="895">
        <f t="shared" si="105"/>
        <v>577445.18000000005</v>
      </c>
      <c r="K209" s="282" t="s">
        <v>1471</v>
      </c>
      <c r="L209" s="556">
        <v>101262.68308546825</v>
      </c>
      <c r="M209" s="895">
        <f t="shared" si="106"/>
        <v>476182.4969145318</v>
      </c>
      <c r="N209" s="895">
        <f t="shared" si="107"/>
        <v>0</v>
      </c>
      <c r="O209" s="282">
        <v>2</v>
      </c>
    </row>
    <row r="210" spans="1:17">
      <c r="A210" s="501" t="s">
        <v>2007</v>
      </c>
      <c r="B210" s="613">
        <v>417</v>
      </c>
      <c r="C210" s="1047">
        <v>4862125</v>
      </c>
      <c r="D210" s="283" t="s">
        <v>2008</v>
      </c>
      <c r="E210" s="531">
        <v>16515271.359999999</v>
      </c>
      <c r="F210" s="531" t="s">
        <v>1684</v>
      </c>
      <c r="G210" s="895">
        <f t="shared" si="103"/>
        <v>0</v>
      </c>
      <c r="H210" s="498">
        <v>0</v>
      </c>
      <c r="I210" s="498">
        <f t="shared" si="104"/>
        <v>0</v>
      </c>
      <c r="J210" s="895">
        <f t="shared" si="105"/>
        <v>16515271.359999999</v>
      </c>
      <c r="K210" s="282" t="s">
        <v>1471</v>
      </c>
      <c r="L210" s="556">
        <v>2959676.1138380081</v>
      </c>
      <c r="M210" s="895">
        <f t="shared" si="106"/>
        <v>13555595.246161992</v>
      </c>
      <c r="N210" s="895">
        <f t="shared" si="107"/>
        <v>0</v>
      </c>
      <c r="O210" s="282">
        <v>2</v>
      </c>
    </row>
    <row r="211" spans="1:17">
      <c r="A211" s="501" t="s">
        <v>2009</v>
      </c>
      <c r="B211" s="613">
        <v>417</v>
      </c>
      <c r="C211" s="1047">
        <v>4862130</v>
      </c>
      <c r="D211" s="283" t="s">
        <v>2010</v>
      </c>
      <c r="E211" s="531">
        <v>9702372.9600000009</v>
      </c>
      <c r="F211" s="531" t="s">
        <v>1684</v>
      </c>
      <c r="G211" s="895">
        <f t="shared" si="103"/>
        <v>0</v>
      </c>
      <c r="H211" s="498">
        <v>0</v>
      </c>
      <c r="I211" s="498">
        <f t="shared" si="104"/>
        <v>0</v>
      </c>
      <c r="J211" s="895">
        <f t="shared" si="105"/>
        <v>9702372.9600000009</v>
      </c>
      <c r="K211" s="282" t="s">
        <v>1471</v>
      </c>
      <c r="L211" s="556">
        <v>1587686.7779910364</v>
      </c>
      <c r="M211" s="895">
        <f t="shared" si="106"/>
        <v>8114686.1820089649</v>
      </c>
      <c r="N211" s="895">
        <f t="shared" si="107"/>
        <v>0</v>
      </c>
      <c r="O211" s="282">
        <v>2</v>
      </c>
    </row>
    <row r="212" spans="1:17">
      <c r="A212" s="501" t="s">
        <v>2011</v>
      </c>
      <c r="B212" s="613">
        <v>417</v>
      </c>
      <c r="C212" s="1047">
        <v>4863120</v>
      </c>
      <c r="D212" s="283" t="s">
        <v>2012</v>
      </c>
      <c r="E212" s="531">
        <v>335181.63</v>
      </c>
      <c r="F212" s="531" t="s">
        <v>1684</v>
      </c>
      <c r="G212" s="895">
        <f t="shared" si="103"/>
        <v>0</v>
      </c>
      <c r="H212" s="498">
        <v>0</v>
      </c>
      <c r="I212" s="498">
        <f t="shared" si="104"/>
        <v>0</v>
      </c>
      <c r="J212" s="895">
        <f t="shared" si="105"/>
        <v>335181.63</v>
      </c>
      <c r="K212" s="282" t="s">
        <v>1715</v>
      </c>
      <c r="L212" s="556">
        <v>50101.306490627991</v>
      </c>
      <c r="M212" s="895">
        <f t="shared" si="106"/>
        <v>285080.32350937201</v>
      </c>
      <c r="N212" s="895">
        <f t="shared" si="107"/>
        <v>0</v>
      </c>
      <c r="O212" s="282">
        <v>2</v>
      </c>
    </row>
    <row r="213" spans="1:17">
      <c r="A213" s="501" t="s">
        <v>2013</v>
      </c>
      <c r="B213" s="613">
        <v>417</v>
      </c>
      <c r="C213" s="1047">
        <v>4863110</v>
      </c>
      <c r="D213" s="283" t="s">
        <v>2014</v>
      </c>
      <c r="E213" s="531">
        <v>4418867.74</v>
      </c>
      <c r="F213" s="531" t="s">
        <v>1684</v>
      </c>
      <c r="G213" s="895">
        <f t="shared" si="103"/>
        <v>0</v>
      </c>
      <c r="H213" s="498">
        <v>0</v>
      </c>
      <c r="I213" s="498">
        <f t="shared" si="104"/>
        <v>0</v>
      </c>
      <c r="J213" s="895">
        <f t="shared" si="105"/>
        <v>4418867.74</v>
      </c>
      <c r="K213" s="282" t="s">
        <v>1715</v>
      </c>
      <c r="L213" s="556">
        <v>748896.60798622796</v>
      </c>
      <c r="M213" s="895">
        <f t="shared" si="106"/>
        <v>3669971.1320137721</v>
      </c>
      <c r="N213" s="895">
        <f t="shared" si="107"/>
        <v>0</v>
      </c>
      <c r="O213" s="282">
        <v>2</v>
      </c>
    </row>
    <row r="214" spans="1:17">
      <c r="A214" s="501" t="s">
        <v>2015</v>
      </c>
      <c r="B214" s="613">
        <v>417</v>
      </c>
      <c r="C214" s="1047">
        <v>4863115</v>
      </c>
      <c r="D214" s="283" t="s">
        <v>2016</v>
      </c>
      <c r="E214" s="531">
        <v>1867527.43</v>
      </c>
      <c r="F214" s="531" t="s">
        <v>1684</v>
      </c>
      <c r="G214" s="895">
        <f t="shared" si="103"/>
        <v>0</v>
      </c>
      <c r="H214" s="498">
        <v>0</v>
      </c>
      <c r="I214" s="498">
        <f t="shared" si="104"/>
        <v>0</v>
      </c>
      <c r="J214" s="895">
        <f t="shared" si="105"/>
        <v>1867527.43</v>
      </c>
      <c r="K214" s="282" t="s">
        <v>1715</v>
      </c>
      <c r="L214" s="556">
        <v>251650.66523831186</v>
      </c>
      <c r="M214" s="895">
        <f t="shared" si="106"/>
        <v>1615876.7647616882</v>
      </c>
      <c r="N214" s="895">
        <f t="shared" si="107"/>
        <v>0</v>
      </c>
      <c r="O214" s="282">
        <v>2</v>
      </c>
    </row>
    <row r="215" spans="1:17">
      <c r="A215" s="501" t="s">
        <v>2017</v>
      </c>
      <c r="B215" s="613">
        <v>417</v>
      </c>
      <c r="C215" s="1047">
        <v>4863125</v>
      </c>
      <c r="D215" s="283" t="s">
        <v>2018</v>
      </c>
      <c r="E215" s="531">
        <v>2001675.59</v>
      </c>
      <c r="F215" s="531" t="s">
        <v>1684</v>
      </c>
      <c r="G215" s="895">
        <f t="shared" si="103"/>
        <v>0</v>
      </c>
      <c r="H215" s="498">
        <v>0</v>
      </c>
      <c r="I215" s="498">
        <f t="shared" si="104"/>
        <v>0</v>
      </c>
      <c r="J215" s="895">
        <f t="shared" si="105"/>
        <v>2001675.59</v>
      </c>
      <c r="K215" s="282" t="s">
        <v>1715</v>
      </c>
      <c r="L215" s="556">
        <v>357683.54689429043</v>
      </c>
      <c r="M215" s="895">
        <f t="shared" si="106"/>
        <v>1643992.0431057096</v>
      </c>
      <c r="N215" s="895">
        <f t="shared" si="107"/>
        <v>0</v>
      </c>
      <c r="O215" s="282">
        <v>2</v>
      </c>
    </row>
    <row r="216" spans="1:17">
      <c r="A216" s="501" t="s">
        <v>2019</v>
      </c>
      <c r="B216" s="613">
        <v>417</v>
      </c>
      <c r="C216" s="1047">
        <v>4864120</v>
      </c>
      <c r="D216" s="283" t="s">
        <v>2020</v>
      </c>
      <c r="E216" s="531">
        <v>245600.69</v>
      </c>
      <c r="F216" s="531" t="s">
        <v>1684</v>
      </c>
      <c r="G216" s="895">
        <f t="shared" si="103"/>
        <v>0</v>
      </c>
      <c r="H216" s="498">
        <v>0</v>
      </c>
      <c r="I216" s="498">
        <f t="shared" si="104"/>
        <v>0</v>
      </c>
      <c r="J216" s="895">
        <f t="shared" si="105"/>
        <v>245600.69</v>
      </c>
      <c r="K216" s="282" t="s">
        <v>1471</v>
      </c>
      <c r="L216" s="556">
        <v>45646.930985626357</v>
      </c>
      <c r="M216" s="895">
        <f t="shared" si="106"/>
        <v>199953.75901437365</v>
      </c>
      <c r="N216" s="895">
        <f t="shared" si="107"/>
        <v>0</v>
      </c>
      <c r="O216" s="282">
        <v>2</v>
      </c>
    </row>
    <row r="217" spans="1:17">
      <c r="A217" s="501" t="s">
        <v>2021</v>
      </c>
      <c r="B217" s="613">
        <v>417</v>
      </c>
      <c r="C217" s="1047">
        <v>4864116</v>
      </c>
      <c r="D217" s="283" t="s">
        <v>2022</v>
      </c>
      <c r="E217" s="531">
        <v>1364840.52</v>
      </c>
      <c r="F217" s="531" t="s">
        <v>1684</v>
      </c>
      <c r="G217" s="895">
        <f>IF(F217=$G$2,E217,0)</f>
        <v>0</v>
      </c>
      <c r="H217" s="498">
        <v>0</v>
      </c>
      <c r="I217" s="498">
        <f t="shared" si="104"/>
        <v>0</v>
      </c>
      <c r="J217" s="895">
        <f>IF(F217=$J$2,E217,0)</f>
        <v>1364840.52</v>
      </c>
      <c r="K217" s="282" t="s">
        <v>1471</v>
      </c>
      <c r="L217" s="556">
        <v>294485.44760776573</v>
      </c>
      <c r="M217" s="895">
        <f t="shared" si="106"/>
        <v>1070355.0723922343</v>
      </c>
      <c r="N217" s="895">
        <f>IF(F217=$N$2,E217,0)</f>
        <v>0</v>
      </c>
      <c r="O217" s="282">
        <v>2</v>
      </c>
    </row>
    <row r="218" spans="1:17">
      <c r="A218" s="501" t="s">
        <v>2023</v>
      </c>
      <c r="B218" s="613">
        <v>417</v>
      </c>
      <c r="C218" s="1047">
        <v>4864121</v>
      </c>
      <c r="D218" s="283" t="s">
        <v>2024</v>
      </c>
      <c r="E218" s="531">
        <v>97020.7</v>
      </c>
      <c r="F218" s="531" t="s">
        <v>1684</v>
      </c>
      <c r="G218" s="895">
        <f>IF(F218=$G$2,E218,0)</f>
        <v>0</v>
      </c>
      <c r="H218" s="498">
        <v>0</v>
      </c>
      <c r="I218" s="498">
        <f t="shared" si="104"/>
        <v>0</v>
      </c>
      <c r="J218" s="895">
        <f>IF(F218=$J$2,E218,0)</f>
        <v>97020.7</v>
      </c>
      <c r="K218" s="282" t="s">
        <v>1471</v>
      </c>
      <c r="L218" s="556">
        <v>49273.807631416988</v>
      </c>
      <c r="M218" s="895">
        <f t="shared" si="106"/>
        <v>47746.892368583009</v>
      </c>
      <c r="N218" s="895">
        <f>IF(F218=$N$2,E218,0)</f>
        <v>0</v>
      </c>
      <c r="O218" s="282">
        <v>2</v>
      </c>
    </row>
    <row r="219" spans="1:17">
      <c r="A219" s="501" t="s">
        <v>2025</v>
      </c>
      <c r="B219" s="752">
        <v>417</v>
      </c>
      <c r="C219" s="1047">
        <v>4864117</v>
      </c>
      <c r="D219" s="753" t="s">
        <v>2026</v>
      </c>
      <c r="E219" s="531">
        <v>710354</v>
      </c>
      <c r="F219" s="531" t="s">
        <v>1684</v>
      </c>
      <c r="G219" s="895">
        <f t="shared" ref="G219:G220" si="108">IF(F219=$G$2,E219,0)</f>
        <v>0</v>
      </c>
      <c r="H219" s="498">
        <v>0</v>
      </c>
      <c r="I219" s="498">
        <f t="shared" ref="I219:I220" si="109">G219-H219</f>
        <v>0</v>
      </c>
      <c r="J219" s="895">
        <f t="shared" ref="J219:J220" si="110">IF(F219=$J$2,E219,0)</f>
        <v>710354</v>
      </c>
      <c r="K219" s="282" t="s">
        <v>1471</v>
      </c>
      <c r="L219" s="556">
        <v>171354.79297083546</v>
      </c>
      <c r="M219" s="895">
        <f t="shared" si="106"/>
        <v>538999.20702916454</v>
      </c>
      <c r="N219" s="895">
        <f t="shared" ref="N219:N220" si="111">IF(F219=$N$2,E219,0)</f>
        <v>0</v>
      </c>
      <c r="O219" s="282">
        <v>2</v>
      </c>
    </row>
    <row r="220" spans="1:17">
      <c r="A220" s="501" t="s">
        <v>2027</v>
      </c>
      <c r="B220" s="752">
        <v>417</v>
      </c>
      <c r="C220" s="1047">
        <v>4864122</v>
      </c>
      <c r="D220" s="753" t="s">
        <v>2028</v>
      </c>
      <c r="E220" s="531">
        <v>158169.28</v>
      </c>
      <c r="F220" s="531" t="s">
        <v>1684</v>
      </c>
      <c r="G220" s="895">
        <f t="shared" si="108"/>
        <v>0</v>
      </c>
      <c r="H220" s="498">
        <v>0</v>
      </c>
      <c r="I220" s="498">
        <f t="shared" si="109"/>
        <v>0</v>
      </c>
      <c r="J220" s="895">
        <f t="shared" si="110"/>
        <v>158169.28</v>
      </c>
      <c r="K220" s="282" t="s">
        <v>1471</v>
      </c>
      <c r="L220" s="556">
        <v>16306.770880571177</v>
      </c>
      <c r="M220" s="895">
        <f t="shared" si="106"/>
        <v>141862.50911942881</v>
      </c>
      <c r="N220" s="895">
        <f t="shared" si="111"/>
        <v>0</v>
      </c>
      <c r="O220" s="282">
        <v>2</v>
      </c>
    </row>
    <row r="221" spans="1:17" s="235" customFormat="1">
      <c r="A221" s="501" t="s">
        <v>2029</v>
      </c>
      <c r="B221" s="613">
        <v>417</v>
      </c>
      <c r="C221" s="1047">
        <v>4864200</v>
      </c>
      <c r="D221" s="283" t="s">
        <v>2030</v>
      </c>
      <c r="E221" s="531">
        <v>55675.06</v>
      </c>
      <c r="F221" s="531" t="s">
        <v>1684</v>
      </c>
      <c r="G221" s="895">
        <f t="shared" ref="G221:G229" si="112">IF(F221=$G$2,E221,0)</f>
        <v>0</v>
      </c>
      <c r="H221" s="498">
        <v>0</v>
      </c>
      <c r="I221" s="498">
        <f t="shared" ref="I221:I229" si="113">G221-H221</f>
        <v>0</v>
      </c>
      <c r="J221" s="895">
        <f t="shared" ref="J221:J229" si="114">IF(F221=$J$2,E221,0)</f>
        <v>55675.06</v>
      </c>
      <c r="K221" s="282" t="s">
        <v>1471</v>
      </c>
      <c r="L221" s="556">
        <v>6860.1130335824946</v>
      </c>
      <c r="M221" s="895">
        <f t="shared" ref="M221:M229" si="115">J221-L221</f>
        <v>48814.946966417505</v>
      </c>
      <c r="N221" s="895">
        <f t="shared" ref="N221:N229" si="116">IF(F221=$N$2,E221,0)</f>
        <v>0</v>
      </c>
      <c r="O221" s="282">
        <v>2</v>
      </c>
      <c r="Q221"/>
    </row>
    <row r="222" spans="1:17" s="235" customFormat="1">
      <c r="A222" s="501" t="s">
        <v>2031</v>
      </c>
      <c r="B222" s="613">
        <v>417</v>
      </c>
      <c r="C222" s="1047">
        <v>4864201</v>
      </c>
      <c r="D222" s="283" t="s">
        <v>2032</v>
      </c>
      <c r="E222" s="531"/>
      <c r="F222" s="531" t="s">
        <v>1684</v>
      </c>
      <c r="G222" s="895">
        <f t="shared" si="112"/>
        <v>0</v>
      </c>
      <c r="H222" s="498">
        <v>0</v>
      </c>
      <c r="I222" s="498">
        <f t="shared" si="113"/>
        <v>0</v>
      </c>
      <c r="J222" s="895">
        <f t="shared" si="114"/>
        <v>0</v>
      </c>
      <c r="K222" s="282" t="s">
        <v>1471</v>
      </c>
      <c r="L222" s="556"/>
      <c r="M222" s="895">
        <f t="shared" si="115"/>
        <v>0</v>
      </c>
      <c r="N222" s="895">
        <f t="shared" si="116"/>
        <v>0</v>
      </c>
      <c r="O222" s="282">
        <v>2</v>
      </c>
      <c r="Q222"/>
    </row>
    <row r="223" spans="1:17" s="235" customFormat="1">
      <c r="A223" s="501" t="s">
        <v>2033</v>
      </c>
      <c r="B223" s="613">
        <v>417</v>
      </c>
      <c r="C223" s="1047">
        <v>4864202</v>
      </c>
      <c r="D223" s="283" t="s">
        <v>2034</v>
      </c>
      <c r="E223" s="531">
        <v>65534.400000000001</v>
      </c>
      <c r="F223" s="531" t="s">
        <v>1684</v>
      </c>
      <c r="G223" s="895">
        <f t="shared" si="112"/>
        <v>0</v>
      </c>
      <c r="H223" s="498">
        <v>0</v>
      </c>
      <c r="I223" s="498">
        <f t="shared" si="113"/>
        <v>0</v>
      </c>
      <c r="J223" s="895">
        <f t="shared" si="114"/>
        <v>65534.400000000001</v>
      </c>
      <c r="K223" s="282" t="s">
        <v>1471</v>
      </c>
      <c r="L223" s="556">
        <v>3605.8178565400813</v>
      </c>
      <c r="M223" s="895">
        <f t="shared" si="115"/>
        <v>61928.58214345992</v>
      </c>
      <c r="N223" s="895">
        <f t="shared" si="116"/>
        <v>0</v>
      </c>
      <c r="O223" s="282">
        <v>2</v>
      </c>
      <c r="Q223"/>
    </row>
    <row r="224" spans="1:17" s="235" customFormat="1">
      <c r="A224" s="501" t="s">
        <v>2035</v>
      </c>
      <c r="B224" s="613">
        <v>417</v>
      </c>
      <c r="C224" s="1047">
        <v>4864203</v>
      </c>
      <c r="D224" s="283" t="s">
        <v>2036</v>
      </c>
      <c r="E224" s="531">
        <v>11632.8</v>
      </c>
      <c r="F224" s="531" t="s">
        <v>1684</v>
      </c>
      <c r="G224" s="895">
        <f t="shared" si="112"/>
        <v>0</v>
      </c>
      <c r="H224" s="498">
        <v>0</v>
      </c>
      <c r="I224" s="498">
        <f t="shared" si="113"/>
        <v>0</v>
      </c>
      <c r="J224" s="895">
        <f t="shared" si="114"/>
        <v>11632.8</v>
      </c>
      <c r="K224" s="282" t="s">
        <v>1471</v>
      </c>
      <c r="L224" s="556">
        <v>640.06812239399551</v>
      </c>
      <c r="M224" s="895">
        <f t="shared" si="115"/>
        <v>10992.731877606004</v>
      </c>
      <c r="N224" s="895">
        <f t="shared" si="116"/>
        <v>0</v>
      </c>
      <c r="O224" s="282">
        <v>2</v>
      </c>
      <c r="Q224"/>
    </row>
    <row r="225" spans="1:17" s="235" customFormat="1">
      <c r="A225" s="501" t="s">
        <v>2037</v>
      </c>
      <c r="B225" s="613">
        <v>417</v>
      </c>
      <c r="C225" s="1047">
        <v>4862105</v>
      </c>
      <c r="D225" s="283" t="s">
        <v>2038</v>
      </c>
      <c r="E225" s="531"/>
      <c r="F225" s="531" t="s">
        <v>1684</v>
      </c>
      <c r="G225" s="895">
        <f t="shared" si="112"/>
        <v>0</v>
      </c>
      <c r="H225" s="498">
        <v>0</v>
      </c>
      <c r="I225" s="498">
        <f t="shared" si="113"/>
        <v>0</v>
      </c>
      <c r="J225" s="895">
        <f t="shared" si="114"/>
        <v>0</v>
      </c>
      <c r="K225" s="282" t="s">
        <v>1471</v>
      </c>
      <c r="L225" s="556"/>
      <c r="M225" s="895">
        <f t="shared" si="115"/>
        <v>0</v>
      </c>
      <c r="N225" s="895">
        <f t="shared" si="116"/>
        <v>0</v>
      </c>
      <c r="O225" s="282">
        <v>2</v>
      </c>
      <c r="Q225"/>
    </row>
    <row r="226" spans="1:17" s="235" customFormat="1">
      <c r="A226" s="501" t="s">
        <v>2039</v>
      </c>
      <c r="B226" s="613">
        <v>417</v>
      </c>
      <c r="C226" s="1047">
        <v>4863135</v>
      </c>
      <c r="D226" s="283" t="s">
        <v>2040</v>
      </c>
      <c r="E226" s="531"/>
      <c r="F226" s="531" t="s">
        <v>1684</v>
      </c>
      <c r="G226" s="895">
        <f t="shared" si="112"/>
        <v>0</v>
      </c>
      <c r="H226" s="498">
        <v>0</v>
      </c>
      <c r="I226" s="498">
        <f t="shared" si="113"/>
        <v>0</v>
      </c>
      <c r="J226" s="895">
        <f t="shared" si="114"/>
        <v>0</v>
      </c>
      <c r="K226" s="282" t="s">
        <v>1715</v>
      </c>
      <c r="L226" s="556"/>
      <c r="M226" s="895">
        <f t="shared" si="115"/>
        <v>0</v>
      </c>
      <c r="N226" s="895">
        <f t="shared" si="116"/>
        <v>0</v>
      </c>
      <c r="O226" s="282">
        <v>2</v>
      </c>
      <c r="Q226"/>
    </row>
    <row r="227" spans="1:17" s="235" customFormat="1">
      <c r="A227" s="501" t="s">
        <v>2041</v>
      </c>
      <c r="B227" s="613">
        <v>417</v>
      </c>
      <c r="C227" s="1047">
        <v>4864123</v>
      </c>
      <c r="D227" s="283" t="s">
        <v>2042</v>
      </c>
      <c r="E227" s="531">
        <v>21291.06</v>
      </c>
      <c r="F227" s="531" t="s">
        <v>1684</v>
      </c>
      <c r="G227" s="895">
        <f t="shared" si="112"/>
        <v>0</v>
      </c>
      <c r="H227" s="498">
        <v>0</v>
      </c>
      <c r="I227" s="498">
        <f t="shared" si="113"/>
        <v>0</v>
      </c>
      <c r="J227" s="895">
        <f t="shared" si="114"/>
        <v>21291.06</v>
      </c>
      <c r="K227" s="282" t="s">
        <v>1471</v>
      </c>
      <c r="L227" s="556">
        <v>1401.5182254014949</v>
      </c>
      <c r="M227" s="895">
        <f t="shared" si="115"/>
        <v>19889.541774598507</v>
      </c>
      <c r="N227" s="895">
        <f t="shared" si="116"/>
        <v>0</v>
      </c>
      <c r="O227" s="282">
        <v>2</v>
      </c>
      <c r="Q227"/>
    </row>
    <row r="228" spans="1:17" s="235" customFormat="1">
      <c r="A228" s="501" t="s">
        <v>2043</v>
      </c>
      <c r="B228" s="613">
        <v>417</v>
      </c>
      <c r="C228" s="1047">
        <v>4864124</v>
      </c>
      <c r="D228" s="283" t="s">
        <v>2044</v>
      </c>
      <c r="E228" s="531">
        <v>786875.64</v>
      </c>
      <c r="F228" s="531" t="s">
        <v>1684</v>
      </c>
      <c r="G228" s="895">
        <f t="shared" si="112"/>
        <v>0</v>
      </c>
      <c r="H228" s="498">
        <v>0</v>
      </c>
      <c r="I228" s="498">
        <f t="shared" si="113"/>
        <v>0</v>
      </c>
      <c r="J228" s="895">
        <f t="shared" si="114"/>
        <v>786875.64</v>
      </c>
      <c r="K228" s="282" t="s">
        <v>1471</v>
      </c>
      <c r="L228" s="556">
        <v>222496.544352103</v>
      </c>
      <c r="M228" s="895">
        <f t="shared" si="115"/>
        <v>564379.09564789699</v>
      </c>
      <c r="N228" s="895">
        <f t="shared" si="116"/>
        <v>0</v>
      </c>
      <c r="O228" s="282">
        <v>2</v>
      </c>
      <c r="Q228"/>
    </row>
    <row r="229" spans="1:17" s="235" customFormat="1">
      <c r="A229" s="501" t="s">
        <v>2045</v>
      </c>
      <c r="B229" s="613">
        <v>417</v>
      </c>
      <c r="C229" s="1047">
        <v>4864125</v>
      </c>
      <c r="D229" s="283" t="s">
        <v>2042</v>
      </c>
      <c r="E229" s="531">
        <v>61654.68</v>
      </c>
      <c r="F229" s="531" t="s">
        <v>1684</v>
      </c>
      <c r="G229" s="895">
        <f t="shared" si="112"/>
        <v>0</v>
      </c>
      <c r="H229" s="498">
        <v>0</v>
      </c>
      <c r="I229" s="498">
        <f t="shared" si="113"/>
        <v>0</v>
      </c>
      <c r="J229" s="895">
        <f t="shared" si="114"/>
        <v>61654.68</v>
      </c>
      <c r="K229" s="282" t="s">
        <v>1471</v>
      </c>
      <c r="L229" s="556">
        <v>13109.252266750691</v>
      </c>
      <c r="M229" s="895">
        <f t="shared" si="115"/>
        <v>48545.427733249307</v>
      </c>
      <c r="N229" s="895">
        <f t="shared" si="116"/>
        <v>0</v>
      </c>
      <c r="O229" s="282">
        <v>2</v>
      </c>
      <c r="Q229"/>
    </row>
    <row r="230" spans="1:17" s="235" customFormat="1">
      <c r="A230" s="584"/>
      <c r="B230" s="769"/>
      <c r="C230" s="805"/>
      <c r="D230" s="585"/>
      <c r="E230" s="770"/>
      <c r="F230" s="556"/>
      <c r="G230" s="556"/>
      <c r="H230" s="393"/>
      <c r="I230" s="393"/>
      <c r="J230" s="556"/>
      <c r="K230" s="586"/>
      <c r="L230" s="556"/>
      <c r="M230" s="556"/>
      <c r="N230" s="556"/>
      <c r="O230" s="586"/>
      <c r="Q230"/>
    </row>
    <row r="231" spans="1:17" s="235" customFormat="1">
      <c r="A231" s="584"/>
      <c r="B231" s="769"/>
      <c r="C231" s="765"/>
      <c r="D231" s="585"/>
      <c r="E231" s="771"/>
      <c r="F231" s="556"/>
      <c r="G231" s="556"/>
      <c r="H231" s="393"/>
      <c r="I231" s="393"/>
      <c r="J231" s="556"/>
      <c r="K231" s="586"/>
      <c r="L231" s="767"/>
      <c r="M231" s="556"/>
      <c r="N231" s="556"/>
      <c r="O231" s="586"/>
      <c r="Q231"/>
    </row>
    <row r="232" spans="1:17">
      <c r="A232" s="501">
        <v>25</v>
      </c>
      <c r="B232" s="1130" t="s">
        <v>2046</v>
      </c>
      <c r="C232" s="1123"/>
      <c r="D232" s="1124"/>
      <c r="E232" s="159">
        <f>SUM(E204:E231)</f>
        <v>58247752.660000011</v>
      </c>
      <c r="F232" s="166"/>
      <c r="G232" s="159">
        <f>SUM(G204:G231)</f>
        <v>0</v>
      </c>
      <c r="H232" s="159">
        <f>SUM(H204:H231)</f>
        <v>0</v>
      </c>
      <c r="I232" s="159">
        <f>SUM(I204:I231)</f>
        <v>0</v>
      </c>
      <c r="J232" s="159">
        <f>SUM(J204:J231)</f>
        <v>58247752.660000011</v>
      </c>
      <c r="K232" s="166"/>
      <c r="L232" s="159">
        <f>SUM(L204:L231)</f>
        <v>10216165.075417189</v>
      </c>
      <c r="M232" s="159">
        <f>SUM(M204:M231)</f>
        <v>48031587.584582813</v>
      </c>
      <c r="N232" s="159">
        <f>SUM(N204:N231)</f>
        <v>0</v>
      </c>
      <c r="O232" s="107"/>
    </row>
    <row r="233" spans="1:17">
      <c r="A233" s="501">
        <v>26</v>
      </c>
      <c r="B233" s="1130" t="s">
        <v>2047</v>
      </c>
      <c r="C233" s="1123"/>
      <c r="D233" s="1124"/>
      <c r="E233" s="583">
        <f>E234-E232</f>
        <v>12723598.339999989</v>
      </c>
      <c r="F233" s="155"/>
      <c r="G233" s="153"/>
      <c r="H233" s="160"/>
      <c r="I233" s="160"/>
      <c r="J233" s="153"/>
      <c r="K233" s="160"/>
      <c r="L233" s="153"/>
      <c r="M233" s="153"/>
      <c r="N233" s="153"/>
      <c r="O233" s="2"/>
    </row>
    <row r="234" spans="1:17" ht="25.5" customHeight="1">
      <c r="A234" s="501">
        <v>27</v>
      </c>
      <c r="B234" s="1125" t="s">
        <v>2048</v>
      </c>
      <c r="C234" s="1126"/>
      <c r="D234" s="1127"/>
      <c r="E234" s="583">
        <v>70971351</v>
      </c>
      <c r="F234" s="178" t="s">
        <v>129</v>
      </c>
      <c r="G234" s="903"/>
      <c r="H234" s="236"/>
      <c r="I234" s="236"/>
      <c r="J234" s="903"/>
      <c r="K234" s="904"/>
      <c r="L234" s="905"/>
      <c r="M234" s="236"/>
      <c r="N234" s="903"/>
      <c r="O234" s="236"/>
    </row>
    <row r="235" spans="1:17">
      <c r="A235" s="236"/>
      <c r="B235" s="235"/>
      <c r="C235" s="235"/>
      <c r="D235" s="235"/>
      <c r="E235" s="903"/>
      <c r="F235" s="903"/>
      <c r="G235" s="903"/>
      <c r="H235" s="236"/>
      <c r="I235" s="236"/>
      <c r="J235" s="903"/>
      <c r="K235" s="904"/>
      <c r="L235" s="905"/>
      <c r="M235" s="236"/>
      <c r="N235" s="903"/>
      <c r="O235" s="236"/>
    </row>
    <row r="236" spans="1:17">
      <c r="A236" s="235"/>
      <c r="B236" s="1" t="s">
        <v>2049</v>
      </c>
      <c r="C236" s="235"/>
      <c r="D236" s="235"/>
      <c r="E236" s="903"/>
      <c r="F236" s="903"/>
      <c r="G236" s="903"/>
      <c r="H236" s="236"/>
      <c r="I236" s="236"/>
      <c r="J236" s="903"/>
      <c r="K236" s="904"/>
      <c r="L236" s="905"/>
      <c r="M236" s="236"/>
      <c r="N236" s="903"/>
      <c r="O236" s="236"/>
    </row>
    <row r="237" spans="1:17">
      <c r="A237" s="282" t="s">
        <v>2050</v>
      </c>
      <c r="B237" s="1131">
        <v>418.1</v>
      </c>
      <c r="C237" s="1132"/>
      <c r="D237" s="283" t="s">
        <v>2051</v>
      </c>
      <c r="E237" s="531"/>
      <c r="F237" s="531" t="s">
        <v>1684</v>
      </c>
      <c r="G237" s="895">
        <f>IF(F237=$G$2,E237,0)</f>
        <v>0</v>
      </c>
      <c r="H237" s="282">
        <v>0</v>
      </c>
      <c r="I237" s="498">
        <f t="shared" ref="I237:I240" si="117">G237-H237</f>
        <v>0</v>
      </c>
      <c r="J237" s="895">
        <f>IF(F237=$J$2,E237,0)</f>
        <v>0</v>
      </c>
      <c r="K237" s="284" t="s">
        <v>1471</v>
      </c>
      <c r="L237" s="556"/>
      <c r="M237" s="498">
        <f>J237-L237</f>
        <v>0</v>
      </c>
      <c r="N237" s="895">
        <f>IF(F237=$N$2,E237,0)</f>
        <v>0</v>
      </c>
      <c r="O237" s="282" t="s">
        <v>2052</v>
      </c>
    </row>
    <row r="238" spans="1:17">
      <c r="A238" s="282" t="s">
        <v>2053</v>
      </c>
      <c r="B238" s="1131">
        <v>418.1</v>
      </c>
      <c r="C238" s="1132"/>
      <c r="D238" s="283" t="s">
        <v>2054</v>
      </c>
      <c r="E238" s="531"/>
      <c r="F238" s="531" t="s">
        <v>1684</v>
      </c>
      <c r="G238" s="895">
        <f>IF(F238=$G$2,E238,0)</f>
        <v>0</v>
      </c>
      <c r="H238" s="282">
        <v>0</v>
      </c>
      <c r="I238" s="498">
        <f t="shared" si="117"/>
        <v>0</v>
      </c>
      <c r="J238" s="895">
        <f>IF(F238=$J$2,E238,0)</f>
        <v>0</v>
      </c>
      <c r="K238" s="284" t="s">
        <v>1715</v>
      </c>
      <c r="L238" s="556"/>
      <c r="M238" s="498">
        <f>J238-L238</f>
        <v>0</v>
      </c>
      <c r="N238" s="895">
        <f>IF(F238=$N$2,E238,0)</f>
        <v>0</v>
      </c>
      <c r="O238" s="282" t="s">
        <v>2052</v>
      </c>
    </row>
    <row r="239" spans="1:17">
      <c r="A239" s="282" t="s">
        <v>2055</v>
      </c>
      <c r="B239" s="1131">
        <v>418.1</v>
      </c>
      <c r="C239" s="1132"/>
      <c r="D239" s="283" t="s">
        <v>2056</v>
      </c>
      <c r="E239" s="531"/>
      <c r="F239" s="531" t="s">
        <v>1684</v>
      </c>
      <c r="G239" s="895">
        <f>IF(F239=$G$2,E239,0)</f>
        <v>0</v>
      </c>
      <c r="H239" s="282">
        <v>0</v>
      </c>
      <c r="I239" s="498">
        <f t="shared" si="117"/>
        <v>0</v>
      </c>
      <c r="J239" s="895">
        <f>IF(F239=$J$2,E239,0)</f>
        <v>0</v>
      </c>
      <c r="K239" s="284" t="s">
        <v>1715</v>
      </c>
      <c r="L239" s="556"/>
      <c r="M239" s="498">
        <f>J239-L239</f>
        <v>0</v>
      </c>
      <c r="N239" s="895">
        <f>IF(F239=$N$2,E239,0)</f>
        <v>0</v>
      </c>
      <c r="O239" s="282" t="s">
        <v>2057</v>
      </c>
    </row>
    <row r="240" spans="1:17">
      <c r="A240" s="282" t="s">
        <v>2058</v>
      </c>
      <c r="B240" s="1131">
        <v>418.1</v>
      </c>
      <c r="C240" s="1132"/>
      <c r="D240" s="283" t="s">
        <v>2059</v>
      </c>
      <c r="E240" s="531">
        <v>-7177</v>
      </c>
      <c r="F240" s="531" t="s">
        <v>1683</v>
      </c>
      <c r="G240" s="895">
        <f>IF(F240=$G$2,E240,0)</f>
        <v>-7177</v>
      </c>
      <c r="H240" s="282">
        <v>0</v>
      </c>
      <c r="I240" s="498">
        <f t="shared" si="117"/>
        <v>-7177</v>
      </c>
      <c r="J240" s="895">
        <f>IF(F240=$J$2,E240,0)</f>
        <v>0</v>
      </c>
      <c r="K240" s="284"/>
      <c r="L240" s="556"/>
      <c r="M240" s="498">
        <f>J240-L240</f>
        <v>0</v>
      </c>
      <c r="N240" s="895">
        <f>IF(F240=$N$2,E240,0)</f>
        <v>0</v>
      </c>
      <c r="O240" s="282">
        <v>13</v>
      </c>
    </row>
    <row r="241" spans="1:17">
      <c r="A241" s="282" t="s">
        <v>2060</v>
      </c>
      <c r="B241" s="1131">
        <v>418.1</v>
      </c>
      <c r="C241" s="1132"/>
      <c r="D241" s="283" t="s">
        <v>2061</v>
      </c>
      <c r="E241" s="531">
        <v>1088412.1299999999</v>
      </c>
      <c r="F241" s="773" t="s">
        <v>1683</v>
      </c>
      <c r="G241" s="779">
        <f>IF(F241=$G$2,E241,0)</f>
        <v>1088412.1299999999</v>
      </c>
      <c r="H241" s="780">
        <f>E241*$D$290</f>
        <v>72488.247858000002</v>
      </c>
      <c r="I241" s="780">
        <f>G241-H241</f>
        <v>1015923.8821419999</v>
      </c>
      <c r="J241" s="779">
        <f>IF(F241=$J$2,E241,0)</f>
        <v>0</v>
      </c>
      <c r="K241" s="284"/>
      <c r="L241" s="556"/>
      <c r="M241" s="498">
        <f>J241-L241</f>
        <v>0</v>
      </c>
      <c r="N241" s="895">
        <f>IF(F241=$N$2,E241,0)</f>
        <v>0</v>
      </c>
      <c r="O241" s="282" t="s">
        <v>2062</v>
      </c>
    </row>
    <row r="242" spans="1:17">
      <c r="A242" s="586"/>
      <c r="B242" s="906"/>
      <c r="C242" s="803"/>
      <c r="D242" s="585"/>
      <c r="E242" s="531"/>
      <c r="F242" s="778"/>
      <c r="G242" s="778"/>
      <c r="H242" s="774"/>
      <c r="I242" s="774"/>
      <c r="J242" s="778"/>
      <c r="K242" s="907"/>
      <c r="L242" s="556"/>
      <c r="M242" s="908"/>
      <c r="N242" s="556"/>
      <c r="O242" s="586"/>
    </row>
    <row r="243" spans="1:17">
      <c r="A243" s="586"/>
      <c r="B243" s="906"/>
      <c r="C243" s="803"/>
      <c r="D243" s="585"/>
      <c r="E243" s="531"/>
      <c r="F243" s="778"/>
      <c r="G243" s="778"/>
      <c r="H243" s="774"/>
      <c r="I243" s="774"/>
      <c r="J243" s="778"/>
      <c r="K243" s="907"/>
      <c r="L243" s="556"/>
      <c r="M243" s="908"/>
      <c r="N243" s="556"/>
      <c r="O243" s="586"/>
    </row>
    <row r="244" spans="1:17">
      <c r="A244" s="282">
        <v>29</v>
      </c>
      <c r="B244" s="1130" t="s">
        <v>2063</v>
      </c>
      <c r="C244" s="1123"/>
      <c r="D244" s="1124"/>
      <c r="E244" s="999">
        <f>SUM(E237:E243)</f>
        <v>1081235.1299999999</v>
      </c>
      <c r="F244" s="785"/>
      <c r="G244" s="784">
        <f>SUM(G237:G243)</f>
        <v>1081235.1299999999</v>
      </c>
      <c r="H244" s="784">
        <f>SUM(H237:H243)</f>
        <v>72488.247858000002</v>
      </c>
      <c r="I244" s="784">
        <f>SUM(I237:I243)</f>
        <v>1008746.8821419999</v>
      </c>
      <c r="J244" s="784">
        <f>SUM(J237:J243)</f>
        <v>0</v>
      </c>
      <c r="K244" s="167"/>
      <c r="L244" s="206">
        <f>SUM(L237:L243)</f>
        <v>0</v>
      </c>
      <c r="M244" s="206">
        <f>SUM(M237:M243)</f>
        <v>0</v>
      </c>
      <c r="N244" s="206">
        <f>SUM(N237:N243)</f>
        <v>0</v>
      </c>
      <c r="O244" s="107"/>
    </row>
    <row r="245" spans="1:17">
      <c r="A245" s="282">
        <v>30</v>
      </c>
      <c r="B245" s="1130" t="s">
        <v>2064</v>
      </c>
      <c r="C245" s="1123"/>
      <c r="D245" s="1124"/>
      <c r="E245" s="999">
        <f>E246-E244</f>
        <v>-1088412.1299999999</v>
      </c>
      <c r="F245" s="786"/>
      <c r="G245" s="786"/>
      <c r="H245" s="786"/>
      <c r="I245" s="786"/>
      <c r="J245" s="787"/>
      <c r="K245" s="180"/>
      <c r="L245" s="179"/>
      <c r="M245" s="179"/>
      <c r="N245" s="179"/>
      <c r="O245" s="2"/>
    </row>
    <row r="246" spans="1:17" ht="25.5" customHeight="1">
      <c r="A246" s="282">
        <v>31</v>
      </c>
      <c r="B246" s="1128" t="s">
        <v>2065</v>
      </c>
      <c r="C246" s="1129"/>
      <c r="D246" s="1129"/>
      <c r="E246" s="999">
        <v>-7177</v>
      </c>
      <c r="F246" s="786"/>
      <c r="G246" s="786"/>
      <c r="H246" s="786"/>
      <c r="I246" s="786"/>
      <c r="J246" s="787"/>
      <c r="K246" s="180"/>
      <c r="L246" s="179"/>
      <c r="M246" s="179"/>
      <c r="N246" s="179"/>
      <c r="O246" s="2"/>
    </row>
    <row r="247" spans="1:17">
      <c r="A247" s="236"/>
      <c r="B247" s="52"/>
      <c r="C247" s="859"/>
      <c r="D247" s="859"/>
      <c r="E247" s="860"/>
      <c r="F247" s="786"/>
      <c r="G247" s="786"/>
      <c r="H247" s="786"/>
      <c r="I247" s="786"/>
      <c r="J247" s="787"/>
      <c r="K247" s="180"/>
      <c r="L247" s="179"/>
      <c r="M247" s="179"/>
      <c r="N247" s="179"/>
      <c r="O247" s="2"/>
    </row>
    <row r="248" spans="1:17" s="593" customFormat="1">
      <c r="A248" s="842"/>
      <c r="B248" s="1" t="s">
        <v>2066</v>
      </c>
      <c r="E248" s="861"/>
      <c r="F248" s="861"/>
      <c r="G248" s="861"/>
      <c r="H248" s="842"/>
      <c r="I248" s="842"/>
      <c r="J248" s="861"/>
      <c r="K248" s="862"/>
      <c r="L248" s="863"/>
      <c r="M248" s="842"/>
      <c r="N248" s="861"/>
      <c r="O248" s="842"/>
      <c r="Q248"/>
    </row>
    <row r="249" spans="1:17" s="593" customFormat="1">
      <c r="A249" s="501" t="s">
        <v>2067</v>
      </c>
      <c r="B249" s="1136">
        <v>412</v>
      </c>
      <c r="C249" s="1136"/>
      <c r="D249" s="500" t="s">
        <v>2068</v>
      </c>
      <c r="E249" s="159">
        <f>'35-Other Formula Revenue'!G102</f>
        <v>791830.31674316141</v>
      </c>
      <c r="F249" s="960" t="s">
        <v>1685</v>
      </c>
      <c r="G249" s="895">
        <f>IF(F249=$G$2,E249,0)</f>
        <v>0</v>
      </c>
      <c r="H249" s="282">
        <v>0</v>
      </c>
      <c r="I249" s="498">
        <f t="shared" ref="I249" si="118">G249-H249</f>
        <v>0</v>
      </c>
      <c r="J249" s="895">
        <f>IF(F249=$J$2,E249,0)</f>
        <v>0</v>
      </c>
      <c r="K249" s="961"/>
      <c r="L249" s="556"/>
      <c r="M249" s="498">
        <f>J249-L249</f>
        <v>0</v>
      </c>
      <c r="N249" s="779">
        <f t="shared" ref="N249" si="119">IF(F249=$N$2,E249,0)</f>
        <v>791830.31674316141</v>
      </c>
      <c r="O249" s="282">
        <v>18</v>
      </c>
      <c r="Q249"/>
    </row>
    <row r="250" spans="1:17" s="593" customFormat="1">
      <c r="A250" s="870"/>
      <c r="B250" s="1137"/>
      <c r="C250" s="1137"/>
      <c r="D250" s="871"/>
      <c r="E250" s="856"/>
      <c r="F250" s="855"/>
      <c r="G250" s="767"/>
      <c r="H250" s="768"/>
      <c r="I250" s="812"/>
      <c r="J250" s="767"/>
      <c r="K250" s="855"/>
      <c r="L250" s="176"/>
      <c r="M250" s="393"/>
      <c r="N250" s="778"/>
      <c r="O250" s="964"/>
      <c r="Q250"/>
    </row>
    <row r="251" spans="1:17" s="593" customFormat="1">
      <c r="A251" s="501" t="s">
        <v>2069</v>
      </c>
      <c r="B251" s="1130" t="s">
        <v>2070</v>
      </c>
      <c r="C251" s="1138"/>
      <c r="D251" s="1139"/>
      <c r="E251" s="784">
        <f>SUM(E249:E250)</f>
        <v>791830.31674316141</v>
      </c>
      <c r="F251" s="869"/>
      <c r="G251" s="784">
        <f>SUM(G249:G250)</f>
        <v>0</v>
      </c>
      <c r="H251" s="784">
        <f t="shared" ref="H251:J251" si="120">SUM(H249:H250)</f>
        <v>0</v>
      </c>
      <c r="I251" s="784">
        <f t="shared" si="120"/>
        <v>0</v>
      </c>
      <c r="J251" s="784">
        <f t="shared" si="120"/>
        <v>0</v>
      </c>
      <c r="K251" s="864"/>
      <c r="L251" s="784">
        <f>SUM(L249:L250)</f>
        <v>0</v>
      </c>
      <c r="M251" s="784">
        <f t="shared" ref="M251" si="121">SUM(M249:M250)</f>
        <v>0</v>
      </c>
      <c r="N251" s="784">
        <f t="shared" ref="N251" si="122">SUM(N249:N250)</f>
        <v>791830.31674316141</v>
      </c>
      <c r="O251" s="784"/>
      <c r="Q251"/>
    </row>
    <row r="252" spans="1:17" s="593" customFormat="1">
      <c r="A252" s="962" t="s">
        <v>2071</v>
      </c>
      <c r="B252" s="1133" t="s">
        <v>2072</v>
      </c>
      <c r="C252" s="1134"/>
      <c r="D252" s="1135"/>
      <c r="E252" s="963">
        <f>E253-E251</f>
        <v>24039502.683256838</v>
      </c>
      <c r="F252" s="865"/>
      <c r="G252" s="865"/>
      <c r="H252" s="865"/>
      <c r="I252" s="865"/>
      <c r="J252" s="866"/>
      <c r="K252" s="867"/>
      <c r="L252" s="868"/>
      <c r="M252" s="868"/>
      <c r="N252" s="868"/>
      <c r="O252" s="611"/>
    </row>
    <row r="253" spans="1:17" s="593" customFormat="1">
      <c r="A253" s="501" t="s">
        <v>2073</v>
      </c>
      <c r="B253" s="1128" t="s">
        <v>2074</v>
      </c>
      <c r="C253" s="1128"/>
      <c r="D253" s="1128"/>
      <c r="E253" s="1000">
        <v>24831333</v>
      </c>
      <c r="F253" s="786"/>
      <c r="G253" s="865"/>
      <c r="H253" s="865"/>
      <c r="I253" s="865"/>
      <c r="J253" s="866"/>
      <c r="K253" s="867"/>
      <c r="L253" s="868"/>
      <c r="M253" s="868"/>
      <c r="N253" s="868"/>
      <c r="O253" s="611"/>
    </row>
    <row r="254" spans="1:17" s="593" customFormat="1">
      <c r="A254" s="844"/>
      <c r="B254" s="840"/>
      <c r="C254" s="825"/>
      <c r="D254" s="825"/>
      <c r="E254" s="857"/>
      <c r="F254" s="858"/>
      <c r="G254" s="858"/>
      <c r="H254" s="858"/>
      <c r="I254" s="858"/>
      <c r="J254" s="858"/>
      <c r="K254" s="858"/>
      <c r="L254" s="858"/>
      <c r="M254" s="858"/>
      <c r="N254" s="858"/>
      <c r="O254" s="611"/>
    </row>
    <row r="255" spans="1:17">
      <c r="A255" s="236"/>
      <c r="B255" s="235"/>
      <c r="C255" s="235"/>
      <c r="D255" s="235"/>
      <c r="E255" s="903"/>
      <c r="F255" s="903"/>
      <c r="G255" s="903"/>
      <c r="H255" s="236"/>
      <c r="I255" s="236"/>
      <c r="J255" s="903"/>
      <c r="K255" s="904"/>
      <c r="L255" s="905"/>
      <c r="M255" s="236"/>
      <c r="N255" s="903"/>
      <c r="O255" s="236"/>
    </row>
    <row r="256" spans="1:17">
      <c r="A256" s="282">
        <v>32</v>
      </c>
      <c r="B256" s="171"/>
      <c r="C256" s="170"/>
      <c r="D256" s="112" t="s">
        <v>2075</v>
      </c>
      <c r="E256" s="616">
        <f>E8+E42+E50+E87+E160+E189+E195+E200+E232+E244+E251</f>
        <v>1447197514.3067436</v>
      </c>
      <c r="F256" s="207"/>
      <c r="G256" s="616">
        <f>G8+G42+G50+G87+G160+G189+G195+G200+G232+G244+G251</f>
        <v>300001638.75185996</v>
      </c>
      <c r="H256" s="616">
        <f>H8+H42+H50+H87+H160+H189+H195+H200+H232+H244+H251</f>
        <v>48832327.464561999</v>
      </c>
      <c r="I256" s="616">
        <f>I8+I42+I50+I87+I160+I189+I195+I200+I232+I244+I251</f>
        <v>251169311.28729799</v>
      </c>
      <c r="J256" s="616">
        <f>J8+J42+J50+J87+J160+J189+J195+J200+J232+J244+J251</f>
        <v>88948378.51000002</v>
      </c>
      <c r="K256" s="207"/>
      <c r="L256" s="616">
        <f>L8+L42+L50+L87+L160+L189+L195+L200+L232+L244+L251</f>
        <v>16671388.999999996</v>
      </c>
      <c r="M256" s="616">
        <f>M8+M42+M50+M87+M160+M189+M195+M200+M232+M244+M251</f>
        <v>72276989.510000005</v>
      </c>
      <c r="N256" s="616">
        <f>N8+N42+N50+N87+N160+N189+N195+N200+N232+N244+N251</f>
        <v>1058247497.0448833</v>
      </c>
      <c r="O256" s="107"/>
    </row>
    <row r="257" spans="1:254">
      <c r="A257" s="245"/>
      <c r="B257" s="245"/>
      <c r="C257" s="245"/>
      <c r="D257" s="235"/>
      <c r="E257" s="236"/>
      <c r="F257" s="236"/>
      <c r="G257" s="909"/>
      <c r="H257" s="236"/>
      <c r="I257" s="236"/>
      <c r="J257" s="163"/>
      <c r="K257" s="910"/>
      <c r="L257" s="905"/>
      <c r="M257" s="236"/>
      <c r="N257" s="909"/>
      <c r="O257" s="236"/>
    </row>
    <row r="258" spans="1:254">
      <c r="A258" s="245"/>
      <c r="B258" s="245"/>
      <c r="C258" s="245"/>
      <c r="D258" s="235"/>
      <c r="E258" s="236"/>
      <c r="F258" s="236" t="s">
        <v>463</v>
      </c>
      <c r="G258" s="903"/>
      <c r="H258" s="900"/>
      <c r="I258" s="236"/>
      <c r="J258" s="163"/>
      <c r="K258" s="910"/>
      <c r="L258" s="905"/>
      <c r="M258" s="236"/>
      <c r="N258" s="909"/>
      <c r="O258" s="236"/>
    </row>
    <row r="259" spans="1:254">
      <c r="A259" s="282">
        <v>33</v>
      </c>
      <c r="B259" s="911"/>
      <c r="C259" s="911"/>
      <c r="D259" s="912" t="s">
        <v>2076</v>
      </c>
      <c r="E259" s="901">
        <f>L256</f>
        <v>16671388.999999996</v>
      </c>
      <c r="F259" s="913" t="s">
        <v>2077</v>
      </c>
      <c r="G259" s="909"/>
      <c r="H259" s="236"/>
      <c r="I259" s="236"/>
      <c r="J259" s="903"/>
      <c r="K259" s="904"/>
      <c r="L259" s="905"/>
      <c r="M259" s="236"/>
      <c r="N259" s="909"/>
      <c r="O259" s="236"/>
    </row>
    <row r="260" spans="1:254">
      <c r="A260" s="282">
        <v>34</v>
      </c>
      <c r="B260" s="911"/>
      <c r="C260" s="911"/>
      <c r="D260" s="912" t="s">
        <v>2078</v>
      </c>
      <c r="E260" s="901">
        <f>E259*(5.425/16.671)</f>
        <v>5425126.5865874859</v>
      </c>
      <c r="F260" s="502" t="s">
        <v>2079</v>
      </c>
      <c r="G260" s="910"/>
      <c r="H260" s="236"/>
      <c r="I260" s="236"/>
      <c r="J260" s="903"/>
      <c r="K260" s="904"/>
      <c r="L260" s="905"/>
      <c r="M260" s="236"/>
      <c r="N260" s="909"/>
      <c r="O260" s="236"/>
    </row>
    <row r="261" spans="1:254">
      <c r="A261" s="282">
        <v>35</v>
      </c>
      <c r="B261" s="911"/>
      <c r="C261" s="911"/>
      <c r="D261" s="914"/>
      <c r="E261" s="896"/>
      <c r="F261" s="915"/>
      <c r="G261" s="910"/>
      <c r="H261" s="236"/>
      <c r="I261" s="236"/>
      <c r="J261" s="903"/>
      <c r="K261" s="904"/>
      <c r="L261" s="905"/>
      <c r="M261" s="236"/>
      <c r="N261" s="909"/>
      <c r="O261" s="236"/>
    </row>
    <row r="262" spans="1:254">
      <c r="A262" s="282">
        <v>36</v>
      </c>
      <c r="B262" s="911"/>
      <c r="C262" s="911"/>
      <c r="D262" s="912" t="s">
        <v>2080</v>
      </c>
      <c r="E262" s="901">
        <f>SUMIF(K4:K243,"=A",M4:M243)</f>
        <v>40695473.959608182</v>
      </c>
      <c r="F262" s="502" t="s">
        <v>2081</v>
      </c>
      <c r="G262" s="910"/>
      <c r="H262" s="236"/>
      <c r="I262" s="236"/>
      <c r="J262" s="903"/>
      <c r="K262" s="904"/>
      <c r="L262" s="905"/>
      <c r="M262" s="236"/>
      <c r="N262" s="909"/>
      <c r="O262" s="236"/>
    </row>
    <row r="263" spans="1:254">
      <c r="A263" s="282">
        <v>37</v>
      </c>
      <c r="B263" s="892"/>
      <c r="C263" s="892"/>
      <c r="D263" s="912" t="s">
        <v>2082</v>
      </c>
      <c r="E263" s="901">
        <f>0.1*E262</f>
        <v>4069547.3959608185</v>
      </c>
      <c r="F263" s="278" t="str">
        <f>"= Line "&amp;A262&amp;"D * 10%"</f>
        <v>= Line 36D * 10%</v>
      </c>
      <c r="G263" s="235"/>
      <c r="H263" s="164"/>
      <c r="I263" s="165"/>
      <c r="J263" s="903"/>
      <c r="K263" s="904"/>
      <c r="L263" s="905"/>
      <c r="M263" s="236"/>
      <c r="N263" s="903"/>
      <c r="O263" s="236"/>
    </row>
    <row r="264" spans="1:254">
      <c r="A264" s="282">
        <v>38</v>
      </c>
      <c r="B264" s="892"/>
      <c r="C264" s="892"/>
      <c r="D264" s="912" t="s">
        <v>2083</v>
      </c>
      <c r="E264" s="901">
        <f>SUMIF(K4:K243,"=P",M4:M243)</f>
        <v>31581515.550391819</v>
      </c>
      <c r="F264" s="916" t="s">
        <v>2084</v>
      </c>
      <c r="G264" s="235"/>
      <c r="H264" s="236"/>
      <c r="I264" s="165"/>
      <c r="J264" s="903"/>
      <c r="K264" s="904"/>
      <c r="L264" s="905"/>
      <c r="M264" s="236"/>
      <c r="N264" s="903"/>
      <c r="O264" s="236"/>
    </row>
    <row r="265" spans="1:254">
      <c r="A265" s="282">
        <v>39</v>
      </c>
      <c r="B265" s="892"/>
      <c r="C265" s="892"/>
      <c r="D265" s="912" t="s">
        <v>2085</v>
      </c>
      <c r="E265" s="901">
        <f>0.3*E264</f>
        <v>9474454.6651175451</v>
      </c>
      <c r="F265" s="278" t="str">
        <f>"= Line "&amp;A264&amp;"D * 30%"</f>
        <v>= Line 38D * 30%</v>
      </c>
      <c r="G265" s="235"/>
      <c r="H265" s="164"/>
      <c r="I265" s="165"/>
      <c r="J265" s="903"/>
      <c r="K265" s="904"/>
      <c r="L265" s="905"/>
      <c r="M265" s="236"/>
      <c r="N265" s="903"/>
      <c r="O265" s="236"/>
    </row>
    <row r="266" spans="1:254">
      <c r="A266" s="282">
        <v>40</v>
      </c>
      <c r="B266" s="892"/>
      <c r="C266" s="892"/>
      <c r="D266" s="912" t="s">
        <v>2086</v>
      </c>
      <c r="E266" s="901">
        <f>E263+E265</f>
        <v>13544002.061078364</v>
      </c>
      <c r="F266" s="278" t="str">
        <f>"= Line "&amp;A263&amp;"D + Line "&amp;A265&amp;"D"</f>
        <v>= Line 37D + Line 39D</v>
      </c>
      <c r="G266" s="904"/>
      <c r="H266" s="236"/>
      <c r="I266" s="236"/>
      <c r="J266" s="903"/>
      <c r="K266" s="904"/>
      <c r="L266" s="905"/>
      <c r="M266" s="236"/>
      <c r="N266" s="903"/>
      <c r="O266" s="236"/>
    </row>
    <row r="267" spans="1:254">
      <c r="A267" s="282">
        <v>41</v>
      </c>
      <c r="B267" s="892"/>
      <c r="C267" s="892"/>
      <c r="D267" s="912" t="s">
        <v>2087</v>
      </c>
      <c r="E267" s="917">
        <f>5.425/16.671</f>
        <v>0.32541539199808051</v>
      </c>
      <c r="F267" s="502" t="s">
        <v>2088</v>
      </c>
      <c r="G267" s="904"/>
      <c r="H267" s="236"/>
      <c r="I267" s="236"/>
      <c r="J267" s="903"/>
      <c r="K267" s="904"/>
      <c r="L267" s="905"/>
      <c r="M267" s="236"/>
      <c r="N267" s="903"/>
      <c r="O267" s="236"/>
    </row>
    <row r="268" spans="1:254">
      <c r="A268" s="282">
        <v>42</v>
      </c>
      <c r="B268" s="892"/>
      <c r="C268" s="892"/>
      <c r="D268" s="912" t="s">
        <v>2089</v>
      </c>
      <c r="E268" s="901">
        <f>E266*E267</f>
        <v>4407426.7399286265</v>
      </c>
      <c r="F268" s="278" t="str">
        <f>"= Line "&amp;A266&amp;"D * Line "&amp;A267&amp;"D"</f>
        <v>= Line 40D * Line 41D</v>
      </c>
      <c r="G268" s="904"/>
      <c r="H268" s="236"/>
      <c r="I268" s="236"/>
      <c r="J268" s="903"/>
      <c r="K268" s="904"/>
      <c r="L268" s="905"/>
      <c r="M268" s="236"/>
      <c r="N268" s="903"/>
      <c r="O268" s="236"/>
    </row>
    <row r="269" spans="1:254" ht="12.75" customHeight="1">
      <c r="A269" s="282">
        <v>43</v>
      </c>
      <c r="B269" s="892"/>
      <c r="C269" s="892"/>
      <c r="D269" s="174" t="s">
        <v>2090</v>
      </c>
      <c r="E269" s="206">
        <f>E268+E260</f>
        <v>9832553.3265161123</v>
      </c>
      <c r="F269" s="278" t="str">
        <f>"= Line "&amp;A260&amp;"D + Line "&amp;A268&amp;"D"</f>
        <v>= Line 34D + Line 42D</v>
      </c>
      <c r="G269" s="904"/>
      <c r="H269" s="236"/>
      <c r="I269" s="236"/>
      <c r="J269" s="903"/>
      <c r="K269" s="904"/>
      <c r="L269" s="905"/>
      <c r="M269" s="236"/>
      <c r="N269" s="903"/>
      <c r="O269" s="236"/>
    </row>
    <row r="270" spans="1:254">
      <c r="A270" s="235"/>
      <c r="B270" s="235"/>
      <c r="C270" s="235"/>
      <c r="D270" s="904"/>
      <c r="E270" s="918"/>
      <c r="F270" s="502"/>
      <c r="G270" s="904"/>
      <c r="H270" s="236"/>
      <c r="I270" s="236"/>
      <c r="J270" s="903"/>
      <c r="K270" s="904"/>
      <c r="L270" s="905"/>
      <c r="M270" s="236"/>
      <c r="N270" s="903"/>
      <c r="O270" s="236"/>
    </row>
    <row r="271" spans="1:254">
      <c r="A271" s="235"/>
      <c r="B271" s="235"/>
      <c r="C271" s="235"/>
      <c r="D271" s="919"/>
      <c r="E271" s="62" t="s">
        <v>79</v>
      </c>
      <c r="F271" s="62" t="s">
        <v>463</v>
      </c>
      <c r="G271" s="920"/>
      <c r="H271" s="236"/>
      <c r="I271" s="235"/>
      <c r="J271" s="235"/>
      <c r="K271" s="235"/>
      <c r="L271" s="919"/>
      <c r="M271" s="62"/>
      <c r="N271" s="62"/>
      <c r="O271" s="920"/>
      <c r="P271" s="236"/>
      <c r="Q271" s="235"/>
      <c r="R271" s="919"/>
      <c r="S271" s="62"/>
      <c r="T271" s="62"/>
      <c r="U271" s="920"/>
      <c r="V271" s="236"/>
      <c r="W271" s="235"/>
      <c r="X271" s="235"/>
      <c r="Y271" s="235"/>
      <c r="Z271" s="919"/>
      <c r="AA271" s="62"/>
      <c r="AB271" s="62"/>
      <c r="AC271" s="920"/>
      <c r="AD271" s="236"/>
      <c r="AE271" s="235"/>
      <c r="AF271" s="235"/>
      <c r="AG271" s="235"/>
      <c r="AH271" s="919"/>
      <c r="AI271" s="62"/>
      <c r="AJ271" s="62"/>
      <c r="AK271" s="920"/>
      <c r="AL271" s="236"/>
      <c r="AM271" s="235"/>
      <c r="AN271" s="235"/>
      <c r="AO271" s="235"/>
      <c r="AP271" s="919"/>
      <c r="AQ271" s="62"/>
      <c r="AR271" s="62"/>
      <c r="AS271" s="920"/>
      <c r="AT271" s="236"/>
      <c r="AU271" s="235"/>
      <c r="AV271" s="235"/>
      <c r="AW271" s="235"/>
      <c r="AX271" s="919"/>
      <c r="AY271" s="62"/>
      <c r="AZ271" s="62"/>
      <c r="BA271" s="920"/>
      <c r="BB271" s="236"/>
      <c r="BC271" s="235"/>
      <c r="BD271" s="235"/>
      <c r="BE271" s="235"/>
      <c r="BF271" s="919"/>
      <c r="BG271" s="62"/>
      <c r="BH271" s="62"/>
      <c r="BI271" s="920"/>
      <c r="BJ271" s="236"/>
      <c r="BK271" s="235"/>
      <c r="BL271" s="235"/>
      <c r="BM271" s="235"/>
      <c r="BN271" s="919"/>
      <c r="BO271" s="62"/>
      <c r="BP271" s="62"/>
      <c r="BQ271" s="920"/>
      <c r="BR271" s="236"/>
      <c r="BS271" s="235"/>
      <c r="BT271" s="235"/>
      <c r="BU271" s="235"/>
      <c r="BV271" s="919"/>
      <c r="BW271" s="62"/>
      <c r="BX271" s="62"/>
      <c r="BY271" s="920"/>
      <c r="BZ271" s="236"/>
      <c r="CA271" s="235"/>
      <c r="CB271" s="235"/>
      <c r="CC271" s="235"/>
      <c r="CD271" s="919"/>
      <c r="CE271" s="62"/>
      <c r="CF271" s="62"/>
      <c r="CG271" s="920"/>
      <c r="CH271" s="236"/>
      <c r="CI271" s="235"/>
      <c r="CJ271" s="235"/>
      <c r="CK271" s="235"/>
      <c r="CL271" s="919"/>
      <c r="CM271" s="62"/>
      <c r="CN271" s="62"/>
      <c r="CO271" s="920"/>
      <c r="CP271" s="236"/>
      <c r="CQ271" s="235"/>
      <c r="CR271" s="235"/>
      <c r="CS271" s="235"/>
      <c r="CT271" s="919"/>
      <c r="CU271" s="62"/>
      <c r="CV271" s="62"/>
      <c r="CW271" s="920"/>
      <c r="CX271" s="236"/>
      <c r="CY271" s="235"/>
      <c r="CZ271" s="235"/>
      <c r="DA271" s="235"/>
      <c r="DB271" s="919"/>
      <c r="DC271" s="62"/>
      <c r="DD271" s="62"/>
      <c r="DE271" s="920"/>
      <c r="DF271" s="236"/>
      <c r="DG271" s="235"/>
      <c r="DH271" s="235"/>
      <c r="DI271" s="235"/>
      <c r="DJ271" s="919"/>
      <c r="DK271" s="62"/>
      <c r="DL271" s="62"/>
      <c r="DM271" s="920"/>
      <c r="DN271" s="236"/>
      <c r="DO271" s="235"/>
      <c r="DP271" s="235"/>
      <c r="DQ271" s="235"/>
      <c r="DR271" s="919"/>
      <c r="DS271" s="62"/>
      <c r="DT271" s="62"/>
      <c r="DU271" s="920"/>
      <c r="DV271" s="236"/>
      <c r="DW271" s="235"/>
      <c r="DX271" s="235"/>
      <c r="DY271" s="235"/>
      <c r="DZ271" s="919"/>
      <c r="EA271" s="62"/>
      <c r="EB271" s="62"/>
      <c r="EC271" s="920"/>
      <c r="ED271" s="236"/>
      <c r="EE271" s="235"/>
      <c r="EF271" s="235"/>
      <c r="EG271" s="235"/>
      <c r="EH271" s="919"/>
      <c r="EI271" s="62"/>
      <c r="EJ271" s="62"/>
      <c r="EK271" s="920"/>
      <c r="EL271" s="236"/>
      <c r="EM271" s="235"/>
      <c r="EN271" s="235"/>
      <c r="EO271" s="235"/>
      <c r="EP271" s="919"/>
      <c r="EQ271" s="62"/>
      <c r="ER271" s="62"/>
      <c r="ES271" s="920"/>
      <c r="ET271" s="236"/>
      <c r="EU271" s="235"/>
      <c r="EV271" s="235"/>
      <c r="EW271" s="235"/>
      <c r="EX271" s="919"/>
      <c r="EY271" s="62"/>
      <c r="EZ271" s="62"/>
      <c r="FA271" s="920"/>
      <c r="FB271" s="236"/>
      <c r="FC271" s="235"/>
      <c r="FD271" s="235"/>
      <c r="FE271" s="235"/>
      <c r="FF271" s="919"/>
      <c r="FG271" s="62"/>
      <c r="FH271" s="62"/>
      <c r="FI271" s="920"/>
      <c r="FJ271" s="236"/>
      <c r="FK271" s="235"/>
      <c r="FL271" s="235"/>
      <c r="FM271" s="235"/>
      <c r="FN271" s="919"/>
      <c r="FO271" s="62"/>
      <c r="FP271" s="62"/>
      <c r="FQ271" s="920"/>
      <c r="FR271" s="236"/>
      <c r="FS271" s="235"/>
      <c r="FT271" s="235"/>
      <c r="FU271" s="235"/>
      <c r="FV271" s="919"/>
      <c r="FW271" s="62"/>
      <c r="FX271" s="62"/>
      <c r="FY271" s="920"/>
      <c r="FZ271" s="236"/>
      <c r="GA271" s="235"/>
      <c r="GB271" s="235"/>
      <c r="GC271" s="235"/>
      <c r="GD271" s="919"/>
      <c r="GE271" s="62"/>
      <c r="GF271" s="62"/>
      <c r="GG271" s="920"/>
      <c r="GH271" s="236"/>
      <c r="GI271" s="235"/>
      <c r="GJ271" s="235"/>
      <c r="GK271" s="235"/>
      <c r="GL271" s="919"/>
      <c r="GM271" s="62"/>
      <c r="GN271" s="62"/>
      <c r="GO271" s="920"/>
      <c r="GP271" s="236"/>
      <c r="GQ271" s="235"/>
      <c r="GR271" s="235"/>
      <c r="GS271" s="235"/>
      <c r="GT271" s="919"/>
      <c r="GU271" s="62"/>
      <c r="GV271" s="62"/>
      <c r="GW271" s="920"/>
      <c r="GX271" s="236"/>
      <c r="GY271" s="235"/>
      <c r="GZ271" s="235"/>
      <c r="HA271" s="235"/>
      <c r="HB271" s="919"/>
      <c r="HC271" s="62"/>
      <c r="HD271" s="62"/>
      <c r="HE271" s="920"/>
      <c r="HF271" s="236"/>
      <c r="HG271" s="235"/>
      <c r="HH271" s="235"/>
      <c r="HI271" s="235"/>
      <c r="HJ271" s="919"/>
      <c r="HK271" s="62"/>
      <c r="HL271" s="62"/>
      <c r="HM271" s="920"/>
      <c r="HN271" s="236"/>
      <c r="HO271" s="235"/>
      <c r="HP271" s="235"/>
      <c r="HQ271" s="235"/>
      <c r="HR271" s="919"/>
      <c r="HS271" s="62"/>
      <c r="HT271" s="62"/>
      <c r="HU271" s="920"/>
      <c r="HV271" s="236"/>
      <c r="HW271" s="235"/>
      <c r="HX271" s="235"/>
      <c r="HY271" s="235"/>
      <c r="HZ271" s="919"/>
      <c r="IA271" s="62"/>
      <c r="IB271" s="62"/>
      <c r="IC271" s="920"/>
      <c r="ID271" s="236"/>
      <c r="IE271" s="235"/>
      <c r="IF271" s="235"/>
      <c r="IG271" s="235"/>
      <c r="IH271" s="919"/>
      <c r="II271" s="62"/>
      <c r="IJ271" s="62"/>
      <c r="IK271" s="920"/>
      <c r="IL271" s="236"/>
      <c r="IM271" s="235"/>
      <c r="IN271" s="235"/>
      <c r="IO271" s="235"/>
      <c r="IP271" s="919"/>
      <c r="IQ271" s="62"/>
      <c r="IR271" s="62"/>
      <c r="IS271" s="920"/>
      <c r="IT271" s="236"/>
    </row>
    <row r="272" spans="1:254">
      <c r="A272" s="282">
        <v>44</v>
      </c>
      <c r="B272" s="1" t="s">
        <v>2091</v>
      </c>
      <c r="C272" s="235"/>
      <c r="D272" s="919"/>
      <c r="E272" s="921">
        <f>H256+E269</f>
        <v>58664880.791078113</v>
      </c>
      <c r="F272" s="391" t="s">
        <v>2092</v>
      </c>
      <c r="G272" s="920"/>
      <c r="H272" s="236"/>
      <c r="I272" s="236"/>
      <c r="J272" s="1"/>
      <c r="K272" s="235"/>
      <c r="L272" s="919"/>
      <c r="M272" s="922"/>
      <c r="N272" s="391"/>
      <c r="O272" s="920"/>
      <c r="P272" s="236"/>
      <c r="Q272" s="235"/>
      <c r="R272" s="919"/>
      <c r="S272" s="922"/>
      <c r="T272" s="391"/>
      <c r="U272" s="920"/>
      <c r="V272" s="236"/>
      <c r="W272" s="236"/>
      <c r="X272" s="1"/>
      <c r="Y272" s="235"/>
      <c r="Z272" s="919"/>
      <c r="AA272" s="922"/>
      <c r="AB272" s="391"/>
      <c r="AC272" s="920"/>
      <c r="AD272" s="236"/>
      <c r="AE272" s="236"/>
      <c r="AF272" s="1"/>
      <c r="AG272" s="235"/>
      <c r="AH272" s="919"/>
      <c r="AI272" s="922"/>
      <c r="AJ272" s="391"/>
      <c r="AK272" s="920"/>
      <c r="AL272" s="236"/>
      <c r="AM272" s="282"/>
      <c r="AN272" s="1"/>
      <c r="AO272" s="235"/>
      <c r="AP272" s="919"/>
      <c r="AQ272" s="922"/>
      <c r="AR272" s="391"/>
      <c r="AS272" s="920"/>
      <c r="AT272" s="236"/>
      <c r="AU272" s="282"/>
      <c r="AV272" s="1"/>
      <c r="AW272" s="235"/>
      <c r="AX272" s="919"/>
      <c r="AY272" s="922"/>
      <c r="AZ272" s="391"/>
      <c r="BA272" s="920"/>
      <c r="BB272" s="236"/>
      <c r="BC272" s="282"/>
      <c r="BD272" s="1"/>
      <c r="BE272" s="235"/>
      <c r="BF272" s="919"/>
      <c r="BG272" s="922"/>
      <c r="BH272" s="391"/>
      <c r="BI272" s="920"/>
      <c r="BJ272" s="236"/>
      <c r="BK272" s="282"/>
      <c r="BL272" s="1"/>
      <c r="BM272" s="235"/>
      <c r="BN272" s="919"/>
      <c r="BO272" s="922"/>
      <c r="BP272" s="391"/>
      <c r="BQ272" s="920"/>
      <c r="BR272" s="236"/>
      <c r="BS272" s="282"/>
      <c r="BT272" s="1"/>
      <c r="BU272" s="235"/>
      <c r="BV272" s="919"/>
      <c r="BW272" s="922"/>
      <c r="BX272" s="391"/>
      <c r="BY272" s="920"/>
      <c r="BZ272" s="236"/>
      <c r="CA272" s="282"/>
      <c r="CB272" s="1"/>
      <c r="CC272" s="235"/>
      <c r="CD272" s="919"/>
      <c r="CE272" s="922"/>
      <c r="CF272" s="391"/>
      <c r="CG272" s="920"/>
      <c r="CH272" s="236"/>
      <c r="CI272" s="282"/>
      <c r="CJ272" s="1"/>
      <c r="CK272" s="235"/>
      <c r="CL272" s="919"/>
      <c r="CM272" s="922"/>
      <c r="CN272" s="391"/>
      <c r="CO272" s="920"/>
      <c r="CP272" s="236"/>
      <c r="CQ272" s="282"/>
      <c r="CR272" s="1"/>
      <c r="CS272" s="235"/>
      <c r="CT272" s="919"/>
      <c r="CU272" s="922"/>
      <c r="CV272" s="391"/>
      <c r="CW272" s="920"/>
      <c r="CX272" s="236"/>
      <c r="CY272" s="282"/>
      <c r="CZ272" s="1"/>
      <c r="DA272" s="235"/>
      <c r="DB272" s="919"/>
      <c r="DC272" s="922"/>
      <c r="DD272" s="391"/>
      <c r="DE272" s="920"/>
      <c r="DF272" s="236"/>
      <c r="DG272" s="282"/>
      <c r="DH272" s="1"/>
      <c r="DI272" s="235"/>
      <c r="DJ272" s="919"/>
      <c r="DK272" s="922"/>
      <c r="DL272" s="391"/>
      <c r="DM272" s="920"/>
      <c r="DN272" s="236"/>
      <c r="DO272" s="282"/>
      <c r="DP272" s="1"/>
      <c r="DQ272" s="235"/>
      <c r="DR272" s="919"/>
      <c r="DS272" s="922"/>
      <c r="DT272" s="391"/>
      <c r="DU272" s="920"/>
      <c r="DV272" s="236"/>
      <c r="DW272" s="282"/>
      <c r="DX272" s="1"/>
      <c r="DY272" s="235"/>
      <c r="DZ272" s="919"/>
      <c r="EA272" s="922"/>
      <c r="EB272" s="391"/>
      <c r="EC272" s="920"/>
      <c r="ED272" s="236"/>
      <c r="EE272" s="282"/>
      <c r="EF272" s="1"/>
      <c r="EG272" s="235"/>
      <c r="EH272" s="919"/>
      <c r="EI272" s="922"/>
      <c r="EJ272" s="391"/>
      <c r="EK272" s="920"/>
      <c r="EL272" s="236"/>
      <c r="EM272" s="282"/>
      <c r="EN272" s="1"/>
      <c r="EO272" s="235"/>
      <c r="EP272" s="919"/>
      <c r="EQ272" s="922"/>
      <c r="ER272" s="391"/>
      <c r="ES272" s="920"/>
      <c r="ET272" s="236"/>
      <c r="EU272" s="282"/>
      <c r="EV272" s="1"/>
      <c r="EW272" s="235"/>
      <c r="EX272" s="919"/>
      <c r="EY272" s="922"/>
      <c r="EZ272" s="391"/>
      <c r="FA272" s="920"/>
      <c r="FB272" s="236"/>
      <c r="FC272" s="282"/>
      <c r="FD272" s="1"/>
      <c r="FE272" s="235"/>
      <c r="FF272" s="919"/>
      <c r="FG272" s="922"/>
      <c r="FH272" s="391"/>
      <c r="FI272" s="920"/>
      <c r="FJ272" s="236"/>
      <c r="FK272" s="282"/>
      <c r="FL272" s="1"/>
      <c r="FM272" s="235"/>
      <c r="FN272" s="919"/>
      <c r="FO272" s="922"/>
      <c r="FP272" s="391"/>
      <c r="FQ272" s="920"/>
      <c r="FR272" s="236"/>
      <c r="FS272" s="282"/>
      <c r="FT272" s="1"/>
      <c r="FU272" s="235"/>
      <c r="FV272" s="919"/>
      <c r="FW272" s="922"/>
      <c r="FX272" s="391"/>
      <c r="FY272" s="920"/>
      <c r="FZ272" s="236"/>
      <c r="GA272" s="282"/>
      <c r="GB272" s="1"/>
      <c r="GC272" s="235"/>
      <c r="GD272" s="919"/>
      <c r="GE272" s="922"/>
      <c r="GF272" s="391"/>
      <c r="GG272" s="920"/>
      <c r="GH272" s="236"/>
      <c r="GI272" s="282"/>
      <c r="GJ272" s="1"/>
      <c r="GK272" s="235"/>
      <c r="GL272" s="919"/>
      <c r="GM272" s="922"/>
      <c r="GN272" s="391"/>
      <c r="GO272" s="920"/>
      <c r="GP272" s="236"/>
      <c r="GQ272" s="282"/>
      <c r="GR272" s="1"/>
      <c r="GS272" s="235"/>
      <c r="GT272" s="919"/>
      <c r="GU272" s="922"/>
      <c r="GV272" s="391"/>
      <c r="GW272" s="920"/>
      <c r="GX272" s="236"/>
      <c r="GY272" s="282"/>
      <c r="GZ272" s="1"/>
      <c r="HA272" s="235"/>
      <c r="HB272" s="919"/>
      <c r="HC272" s="922"/>
      <c r="HD272" s="391"/>
      <c r="HE272" s="920"/>
      <c r="HF272" s="236"/>
      <c r="HG272" s="282"/>
      <c r="HH272" s="1"/>
      <c r="HI272" s="235"/>
      <c r="HJ272" s="919"/>
      <c r="HK272" s="922"/>
      <c r="HL272" s="391"/>
      <c r="HM272" s="920"/>
      <c r="HN272" s="236"/>
      <c r="HO272" s="282"/>
      <c r="HP272" s="1"/>
      <c r="HQ272" s="235"/>
      <c r="HR272" s="919"/>
      <c r="HS272" s="922"/>
      <c r="HT272" s="391"/>
      <c r="HU272" s="920"/>
      <c r="HV272" s="236"/>
      <c r="HW272" s="282"/>
      <c r="HX272" s="1"/>
      <c r="HY272" s="235"/>
      <c r="HZ272" s="919"/>
      <c r="IA272" s="922"/>
      <c r="IB272" s="391"/>
      <c r="IC272" s="920"/>
      <c r="ID272" s="236"/>
      <c r="IE272" s="282"/>
      <c r="IF272" s="1"/>
      <c r="IG272" s="235"/>
      <c r="IH272" s="919"/>
      <c r="II272" s="922"/>
      <c r="IJ272" s="391"/>
      <c r="IK272" s="920"/>
      <c r="IL272" s="236"/>
      <c r="IM272" s="282"/>
      <c r="IN272" s="1"/>
      <c r="IO272" s="235"/>
      <c r="IP272" s="919"/>
      <c r="IQ272" s="922"/>
      <c r="IR272" s="391"/>
      <c r="IS272" s="920"/>
      <c r="IT272" s="236"/>
    </row>
    <row r="273" spans="1:15">
      <c r="A273" s="235"/>
      <c r="B273" s="235"/>
      <c r="C273" s="235"/>
      <c r="D273" s="904"/>
      <c r="E273" s="905"/>
      <c r="F273" s="913"/>
      <c r="G273" s="903"/>
      <c r="H273" s="236"/>
      <c r="I273" s="236"/>
      <c r="J273" s="903"/>
      <c r="K273" s="904"/>
      <c r="L273" s="905"/>
      <c r="M273" s="236"/>
      <c r="N273" s="903"/>
      <c r="O273" s="236"/>
    </row>
    <row r="275" spans="1:15">
      <c r="A275" s="235" t="s">
        <v>226</v>
      </c>
      <c r="B275" s="235"/>
      <c r="C275" s="235"/>
      <c r="D275" s="235"/>
      <c r="E275" s="903"/>
      <c r="F275" s="903"/>
      <c r="G275" s="903"/>
      <c r="H275" s="236"/>
      <c r="I275" s="236"/>
      <c r="J275" s="903"/>
      <c r="K275" s="904"/>
      <c r="L275" s="905"/>
      <c r="M275" s="236"/>
      <c r="N275" s="903"/>
      <c r="O275" s="236"/>
    </row>
    <row r="276" spans="1:15" ht="12.75" customHeight="1">
      <c r="A276" s="285" t="s">
        <v>2093</v>
      </c>
      <c r="B276" s="1143" t="s">
        <v>2094</v>
      </c>
      <c r="C276" s="1121"/>
      <c r="D276" s="1121"/>
      <c r="E276" s="903"/>
      <c r="F276" s="903"/>
      <c r="G276" s="903"/>
      <c r="H276" s="236"/>
      <c r="I276" s="236"/>
      <c r="J276" s="903"/>
      <c r="K276" s="904"/>
      <c r="L276" s="905"/>
      <c r="M276" s="236"/>
      <c r="N276" s="903"/>
      <c r="O276" s="236"/>
    </row>
    <row r="277" spans="1:15" ht="77.25" customHeight="1">
      <c r="A277" s="285" t="s">
        <v>2095</v>
      </c>
      <c r="B277" s="1118" t="s">
        <v>2096</v>
      </c>
      <c r="C277" s="1119"/>
      <c r="D277" s="1119"/>
      <c r="E277" s="1120"/>
      <c r="F277" s="1120"/>
      <c r="G277" s="903"/>
      <c r="H277" s="236"/>
      <c r="I277" s="236"/>
      <c r="J277" s="903"/>
      <c r="K277" s="904"/>
      <c r="L277" s="905"/>
      <c r="M277" s="236"/>
      <c r="N277" s="903"/>
      <c r="O277" s="236"/>
    </row>
    <row r="278" spans="1:15" ht="12.75" customHeight="1">
      <c r="A278" s="285" t="s">
        <v>2097</v>
      </c>
      <c r="B278" s="1118" t="s">
        <v>2098</v>
      </c>
      <c r="C278" s="1119"/>
      <c r="D278" s="1119"/>
      <c r="E278" s="1120"/>
      <c r="F278" s="1120"/>
      <c r="G278" s="903"/>
      <c r="H278" s="236"/>
      <c r="I278" s="236"/>
      <c r="J278" s="903"/>
      <c r="K278" s="904"/>
      <c r="L278" s="905"/>
      <c r="M278" s="236"/>
      <c r="N278" s="903"/>
      <c r="O278" s="236"/>
    </row>
    <row r="279" spans="1:15" ht="12.75" customHeight="1">
      <c r="A279" s="285" t="s">
        <v>2099</v>
      </c>
      <c r="B279" s="1118" t="s">
        <v>2100</v>
      </c>
      <c r="C279" s="1119"/>
      <c r="D279" s="1119"/>
      <c r="E279" s="1120"/>
      <c r="F279" s="1120"/>
      <c r="G279" s="903"/>
      <c r="H279" s="236"/>
      <c r="I279" s="236"/>
      <c r="J279" s="903"/>
      <c r="K279" s="904"/>
      <c r="L279" s="905"/>
      <c r="M279" s="236"/>
      <c r="N279" s="903"/>
      <c r="O279" s="236"/>
    </row>
    <row r="280" spans="1:15" ht="12.75" customHeight="1">
      <c r="A280" s="285" t="s">
        <v>2101</v>
      </c>
      <c r="B280" s="1118" t="s">
        <v>2102</v>
      </c>
      <c r="C280" s="1119"/>
      <c r="D280" s="1119"/>
      <c r="E280" s="1120"/>
      <c r="F280" s="1120"/>
      <c r="G280" s="903"/>
      <c r="H280" s="236"/>
      <c r="I280" s="236"/>
      <c r="J280" s="903"/>
      <c r="K280" s="904"/>
      <c r="L280" s="905"/>
      <c r="M280" s="236"/>
      <c r="N280" s="903"/>
      <c r="O280" s="236"/>
    </row>
    <row r="281" spans="1:15" ht="12.75" customHeight="1">
      <c r="A281" s="285" t="s">
        <v>2103</v>
      </c>
      <c r="B281" s="1118" t="s">
        <v>2104</v>
      </c>
      <c r="C281" s="1119"/>
      <c r="D281" s="1119"/>
      <c r="E281" s="1120"/>
      <c r="F281" s="1120"/>
      <c r="G281" s="903"/>
      <c r="H281" s="236"/>
      <c r="I281" s="236"/>
      <c r="J281" s="903"/>
      <c r="K281" s="904"/>
      <c r="L281" s="905"/>
      <c r="M281" s="236"/>
      <c r="N281" s="903"/>
      <c r="O281" s="236"/>
    </row>
    <row r="282" spans="1:15" ht="12.75" customHeight="1">
      <c r="A282" s="285" t="s">
        <v>2105</v>
      </c>
      <c r="B282" s="1118" t="s">
        <v>2106</v>
      </c>
      <c r="C282" s="1119"/>
      <c r="D282" s="1119"/>
      <c r="E282" s="1121"/>
      <c r="F282" s="1121"/>
      <c r="G282" s="903"/>
      <c r="H282" s="236"/>
      <c r="I282" s="236"/>
      <c r="J282" s="903"/>
      <c r="K282" s="904"/>
      <c r="L282" s="905"/>
      <c r="M282" s="236"/>
      <c r="N282" s="903"/>
      <c r="O282" s="236"/>
    </row>
    <row r="283" spans="1:15" ht="12.75" customHeight="1">
      <c r="A283" s="285"/>
      <c r="B283" s="1121"/>
      <c r="C283" s="1121"/>
      <c r="D283" s="1121"/>
      <c r="E283" s="1121"/>
      <c r="F283" s="1121"/>
      <c r="G283" s="903"/>
      <c r="H283" s="236"/>
      <c r="I283" s="236"/>
      <c r="J283" s="903"/>
      <c r="K283" s="904"/>
      <c r="L283" s="905"/>
      <c r="M283" s="236"/>
      <c r="N283" s="903"/>
      <c r="O283" s="236"/>
    </row>
    <row r="284" spans="1:15" ht="12.75" customHeight="1">
      <c r="A284" s="285"/>
      <c r="B284" s="1118" t="s">
        <v>2107</v>
      </c>
      <c r="C284" s="1119"/>
      <c r="D284" s="532">
        <v>6.6600000000000006E-2</v>
      </c>
      <c r="E284" s="813" t="s">
        <v>2108</v>
      </c>
      <c r="F284" s="242" t="s">
        <v>2777</v>
      </c>
      <c r="G284" s="923"/>
      <c r="H284" s="236"/>
      <c r="I284" s="236"/>
      <c r="J284" s="903"/>
      <c r="K284" s="904"/>
      <c r="L284" s="905"/>
      <c r="M284" s="236"/>
      <c r="N284" s="903"/>
      <c r="O284" s="236"/>
    </row>
    <row r="285" spans="1:15" ht="26.25" customHeight="1">
      <c r="A285" s="285" t="s">
        <v>2109</v>
      </c>
      <c r="B285" s="1118" t="s">
        <v>2110</v>
      </c>
      <c r="C285" s="1119"/>
      <c r="D285" s="1119"/>
      <c r="E285" s="1120"/>
      <c r="F285" s="1120"/>
      <c r="G285" s="903"/>
      <c r="H285" s="236"/>
      <c r="I285" s="236"/>
      <c r="J285" s="903"/>
      <c r="K285" s="904"/>
      <c r="L285" s="905"/>
      <c r="M285" s="236"/>
      <c r="N285" s="903"/>
      <c r="O285" s="236"/>
    </row>
    <row r="286" spans="1:15" ht="27.75" customHeight="1">
      <c r="A286" s="285" t="s">
        <v>2111</v>
      </c>
      <c r="B286" s="1118" t="s">
        <v>2112</v>
      </c>
      <c r="C286" s="1119"/>
      <c r="D286" s="1119"/>
      <c r="E286" s="1120"/>
      <c r="F286" s="1120"/>
      <c r="G286" s="903"/>
      <c r="H286" s="236"/>
      <c r="I286" s="236"/>
      <c r="J286" s="903"/>
      <c r="K286" s="904"/>
      <c r="L286" s="905"/>
      <c r="M286" s="236"/>
      <c r="N286" s="903"/>
      <c r="O286" s="236"/>
    </row>
    <row r="287" spans="1:15" ht="25.5" customHeight="1">
      <c r="A287" s="285" t="s">
        <v>2113</v>
      </c>
      <c r="B287" s="1118" t="s">
        <v>2114</v>
      </c>
      <c r="C287" s="1119"/>
      <c r="D287" s="1119"/>
      <c r="E287" s="1120"/>
      <c r="F287" s="1120"/>
      <c r="G287" s="903"/>
      <c r="H287" s="236"/>
      <c r="I287" s="236"/>
      <c r="J287" s="903"/>
      <c r="K287" s="904"/>
      <c r="L287" s="905"/>
      <c r="M287" s="236"/>
      <c r="N287" s="903"/>
      <c r="O287" s="236"/>
    </row>
    <row r="288" spans="1:15" ht="40.5" customHeight="1">
      <c r="A288" s="285" t="s">
        <v>2115</v>
      </c>
      <c r="B288" s="1118" t="s">
        <v>2116</v>
      </c>
      <c r="C288" s="1119"/>
      <c r="D288" s="1119"/>
      <c r="E288" s="1120"/>
      <c r="F288" s="1120"/>
      <c r="G288" s="904"/>
      <c r="H288" s="236"/>
      <c r="I288" s="236"/>
    </row>
    <row r="289" spans="1:9" ht="38.25" customHeight="1">
      <c r="A289" s="285" t="s">
        <v>2117</v>
      </c>
      <c r="B289" s="1118" t="s">
        <v>2118</v>
      </c>
      <c r="C289" s="1119"/>
      <c r="D289" s="1119"/>
      <c r="E289" s="1121"/>
      <c r="F289" s="1121"/>
      <c r="G289" s="1121"/>
      <c r="H289" s="236"/>
      <c r="I289" s="236"/>
    </row>
    <row r="290" spans="1:9" ht="12.75" customHeight="1">
      <c r="A290" s="285"/>
      <c r="B290" s="1118" t="s">
        <v>2107</v>
      </c>
      <c r="C290" s="1119"/>
      <c r="D290" s="532">
        <v>6.6600000000000006E-2</v>
      </c>
      <c r="E290" s="813" t="s">
        <v>2108</v>
      </c>
      <c r="F290" s="242" t="s">
        <v>2777</v>
      </c>
      <c r="G290" s="923"/>
      <c r="H290" s="236"/>
      <c r="I290" s="236"/>
    </row>
    <row r="291" spans="1:9" ht="12.75" customHeight="1">
      <c r="A291" s="285" t="s">
        <v>2119</v>
      </c>
      <c r="B291" s="1118" t="s">
        <v>2120</v>
      </c>
      <c r="C291" s="1119"/>
      <c r="D291" s="1119"/>
      <c r="E291" s="1121"/>
      <c r="F291" s="1121"/>
      <c r="G291" s="1121"/>
      <c r="H291" s="1121"/>
      <c r="I291" s="236"/>
    </row>
    <row r="292" spans="1:9" ht="12.75" customHeight="1">
      <c r="A292" s="285" t="s">
        <v>2121</v>
      </c>
      <c r="B292" s="1118" t="s">
        <v>2122</v>
      </c>
      <c r="C292" s="1119"/>
      <c r="D292" s="1119"/>
      <c r="E292" s="1121"/>
      <c r="F292" s="1121"/>
      <c r="G292" s="1121"/>
      <c r="H292" s="236"/>
      <c r="I292" s="236"/>
    </row>
    <row r="293" spans="1:9" ht="27" customHeight="1">
      <c r="A293" s="285" t="s">
        <v>2123</v>
      </c>
      <c r="B293" s="1118" t="s">
        <v>2124</v>
      </c>
      <c r="C293" s="1119"/>
      <c r="D293" s="1119"/>
      <c r="E293" s="1120"/>
      <c r="F293" s="1120"/>
      <c r="G293" s="904"/>
      <c r="H293" s="236"/>
      <c r="I293" s="236"/>
    </row>
    <row r="294" spans="1:9">
      <c r="A294" s="285" t="s">
        <v>2125</v>
      </c>
      <c r="B294" s="235" t="s">
        <v>2126</v>
      </c>
      <c r="C294" s="235"/>
      <c r="D294" s="235"/>
      <c r="E294" s="235"/>
      <c r="F294" s="235"/>
      <c r="G294" s="904"/>
      <c r="H294" s="236"/>
      <c r="I294" s="236"/>
    </row>
    <row r="295" spans="1:9">
      <c r="A295" s="285" t="s">
        <v>2127</v>
      </c>
      <c r="B295" s="235" t="s">
        <v>2128</v>
      </c>
      <c r="C295" s="235"/>
      <c r="D295" s="235"/>
      <c r="E295" s="904"/>
      <c r="F295" s="904"/>
      <c r="G295" s="904"/>
      <c r="H295" s="236"/>
      <c r="I295" s="236"/>
    </row>
    <row r="296" spans="1:9">
      <c r="A296" s="235"/>
      <c r="B296" s="235" t="s">
        <v>2129</v>
      </c>
      <c r="C296" s="235"/>
      <c r="D296" s="235"/>
      <c r="E296" s="904"/>
      <c r="F296" s="904"/>
      <c r="G296" s="904"/>
      <c r="H296" s="236"/>
      <c r="I296" s="236"/>
    </row>
    <row r="297" spans="1:9">
      <c r="A297" s="235"/>
      <c r="B297" s="235" t="s">
        <v>2130</v>
      </c>
      <c r="C297" s="235"/>
      <c r="D297" s="235"/>
      <c r="E297" s="904"/>
      <c r="F297" s="904"/>
      <c r="G297" s="904"/>
      <c r="H297" s="236"/>
      <c r="I297" s="236"/>
    </row>
    <row r="298" spans="1:9">
      <c r="A298" s="235"/>
      <c r="B298" s="235" t="s">
        <v>2131</v>
      </c>
      <c r="C298" s="235"/>
      <c r="D298" s="235"/>
      <c r="E298" s="904"/>
      <c r="F298" s="904"/>
      <c r="G298" s="904"/>
      <c r="H298" s="236"/>
      <c r="I298" s="236"/>
    </row>
    <row r="299" spans="1:9">
      <c r="A299" s="285" t="s">
        <v>2132</v>
      </c>
      <c r="B299" s="235" t="s">
        <v>2133</v>
      </c>
      <c r="C299" s="235"/>
      <c r="D299" s="235"/>
      <c r="E299" s="903"/>
      <c r="F299" s="827"/>
      <c r="G299" s="852"/>
      <c r="H299" s="853"/>
      <c r="I299" s="853"/>
    </row>
    <row r="300" spans="1:9">
      <c r="A300" s="235"/>
      <c r="B300" s="235" t="s">
        <v>2134</v>
      </c>
      <c r="C300" s="235"/>
      <c r="D300" s="235"/>
      <c r="E300" s="903"/>
      <c r="F300" s="903"/>
      <c r="G300" s="903"/>
      <c r="H300" s="236"/>
      <c r="I300" s="236"/>
    </row>
    <row r="301" spans="1:9">
      <c r="A301" s="235"/>
      <c r="B301" s="851"/>
      <c r="C301" s="235"/>
      <c r="D301" s="235"/>
      <c r="E301" s="827"/>
      <c r="F301" s="903"/>
      <c r="G301" s="903"/>
      <c r="H301" s="236"/>
      <c r="I301" s="236"/>
    </row>
  </sheetData>
  <autoFilter ref="A1:O298" xr:uid="{00000000-0009-0000-0000-00001A000000}"/>
  <mergeCells count="51">
    <mergeCell ref="B195:D195"/>
    <mergeCell ref="B189:D189"/>
    <mergeCell ref="B284:C284"/>
    <mergeCell ref="B282:F283"/>
    <mergeCell ref="B288:F288"/>
    <mergeCell ref="B250:C250"/>
    <mergeCell ref="B251:D251"/>
    <mergeCell ref="B196:D196"/>
    <mergeCell ref="B232:D232"/>
    <mergeCell ref="B201:D201"/>
    <mergeCell ref="B276:D276"/>
    <mergeCell ref="B237:C237"/>
    <mergeCell ref="B238:C238"/>
    <mergeCell ref="B240:C240"/>
    <mergeCell ref="B244:D244"/>
    <mergeCell ref="B246:D246"/>
    <mergeCell ref="B245:D245"/>
    <mergeCell ref="B239:C239"/>
    <mergeCell ref="B252:D252"/>
    <mergeCell ref="B253:D253"/>
    <mergeCell ref="B249:C249"/>
    <mergeCell ref="B241:C241"/>
    <mergeCell ref="J2:M2"/>
    <mergeCell ref="G2:I2"/>
    <mergeCell ref="B234:D234"/>
    <mergeCell ref="B190:D190"/>
    <mergeCell ref="B88:D88"/>
    <mergeCell ref="B51:D51"/>
    <mergeCell ref="B43:D43"/>
    <mergeCell ref="B233:D233"/>
    <mergeCell ref="B200:D200"/>
    <mergeCell ref="B8:D8"/>
    <mergeCell ref="B9:D9"/>
    <mergeCell ref="B50:D50"/>
    <mergeCell ref="B42:D42"/>
    <mergeCell ref="B87:D87"/>
    <mergeCell ref="B161:D161"/>
    <mergeCell ref="B160:D160"/>
    <mergeCell ref="B293:F293"/>
    <mergeCell ref="B286:F286"/>
    <mergeCell ref="B277:F277"/>
    <mergeCell ref="B278:F278"/>
    <mergeCell ref="B279:F279"/>
    <mergeCell ref="B281:F281"/>
    <mergeCell ref="B280:F280"/>
    <mergeCell ref="B285:F285"/>
    <mergeCell ref="B291:H291"/>
    <mergeCell ref="B292:G292"/>
    <mergeCell ref="B287:F287"/>
    <mergeCell ref="B290:C290"/>
    <mergeCell ref="B289:G289"/>
  </mergeCells>
  <conditionalFormatting sqref="A280:A286">
    <cfRule type="cellIs" dxfId="14" priority="20" stopIfTrue="1" operator="between">
      <formula>4990000</formula>
      <formula>4999999</formula>
    </cfRule>
  </conditionalFormatting>
  <conditionalFormatting sqref="A288:A295">
    <cfRule type="cellIs" dxfId="13" priority="17" stopIfTrue="1" operator="between">
      <formula>4990000</formula>
      <formula>4999999</formula>
    </cfRule>
  </conditionalFormatting>
  <conditionalFormatting sqref="A299">
    <cfRule type="cellIs" dxfId="12" priority="4" stopIfTrue="1" operator="between">
      <formula>4990000</formula>
      <formula>4999999</formula>
    </cfRule>
  </conditionalFormatting>
  <conditionalFormatting sqref="C2:C3 C6:C7 C44:C49 D93 C191:C194 C197:C199 C201:C203 C295:C298">
    <cfRule type="cellIs" dxfId="11" priority="22" stopIfTrue="1" operator="between">
      <formula>4990000</formula>
      <formula>4999999</formula>
    </cfRule>
  </conditionalFormatting>
  <conditionalFormatting sqref="C10 C39:C41">
    <cfRule type="cellIs" dxfId="10" priority="11" stopIfTrue="1" operator="between">
      <formula>4990000</formula>
      <formula>4999999</formula>
    </cfRule>
  </conditionalFormatting>
  <conditionalFormatting sqref="C52">
    <cfRule type="cellIs" dxfId="9" priority="16" stopIfTrue="1" operator="between">
      <formula>4990000</formula>
      <formula>4999999</formula>
    </cfRule>
  </conditionalFormatting>
  <conditionalFormatting sqref="C85:C86">
    <cfRule type="cellIs" dxfId="8" priority="8" stopIfTrue="1" operator="between">
      <formula>4990000</formula>
      <formula>4999999</formula>
    </cfRule>
  </conditionalFormatting>
  <conditionalFormatting sqref="C89">
    <cfRule type="cellIs" dxfId="7" priority="15" stopIfTrue="1" operator="between">
      <formula>4990000</formula>
      <formula>4999999</formula>
    </cfRule>
  </conditionalFormatting>
  <conditionalFormatting sqref="C158:C159">
    <cfRule type="cellIs" dxfId="6" priority="7" stopIfTrue="1" operator="between">
      <formula>4990000</formula>
      <formula>4999999</formula>
    </cfRule>
  </conditionalFormatting>
  <conditionalFormatting sqref="C162">
    <cfRule type="cellIs" dxfId="5" priority="13" stopIfTrue="1" operator="between">
      <formula>4990000</formula>
      <formula>4999999</formula>
    </cfRule>
  </conditionalFormatting>
  <conditionalFormatting sqref="C187:C188">
    <cfRule type="cellIs" dxfId="4" priority="9" stopIfTrue="1" operator="between">
      <formula>4990000</formula>
      <formula>4999999</formula>
    </cfRule>
  </conditionalFormatting>
  <conditionalFormatting sqref="C254">
    <cfRule type="cellIs" dxfId="3" priority="2" stopIfTrue="1" operator="between">
      <formula>4990000</formula>
      <formula>4999999</formula>
    </cfRule>
  </conditionalFormatting>
  <conditionalFormatting sqref="C256:C275">
    <cfRule type="cellIs" dxfId="2" priority="18" stopIfTrue="1" operator="between">
      <formula>4990000</formula>
      <formula>4999999</formula>
    </cfRule>
  </conditionalFormatting>
  <conditionalFormatting sqref="C301:C65604">
    <cfRule type="cellIs" dxfId="1" priority="5" stopIfTrue="1" operator="between">
      <formula>4990000</formula>
      <formula>4999999</formula>
    </cfRule>
  </conditionalFormatting>
  <conditionalFormatting sqref="K271:K272 Q271:Q272 Y271:Y272 AG271:AG272 AO271:AO272 AW271:AW272 BE271:BE272 BM271:BM272 BU271:BU272 CC271:CC272 CK271:CK272 CS271:CS272 DA271:DA272 DI271:DI272 DQ271:DQ272 DY271:DY272 EG271:EG272 EO271:EO272 EW271:EW272 FE271:FE272 FM271:FM272 FU271:FU272 GC271:GC272 GK271:GK272 GS271:GS272 HA271:HA272 HI271:HI272 HQ271:HQ272 HY271:HY272 IG271:IG272 IO271:IO272">
    <cfRule type="cellIs" dxfId="0" priority="19" stopIfTrue="1" operator="between">
      <formula>4990000</formula>
      <formula>4999999</formula>
    </cfRule>
  </conditionalFormatting>
  <pageMargins left="0.7" right="0.7" top="0.75" bottom="0.75" header="0.3" footer="0.3"/>
  <pageSetup scale="40" fitToHeight="0" orientation="landscape" cellComments="asDisplayed" r:id="rId1"/>
  <headerFooter>
    <oddHeader>&amp;CSchedule 21
Revenue Credits
&amp;RTO2025 Annual Update 
Attachment 1</oddHeader>
    <oddFooter>&amp;R&amp;A</oddFooter>
  </headerFooter>
  <rowBreaks count="2" manualBreakCount="2">
    <brk id="78" max="14" man="1"/>
    <brk id="224" max="14" man="1"/>
  </rowBreaks>
  <ignoredErrors>
    <ignoredError sqref="G143"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2578125" defaultRowHeight="12.75"/>
  <cols>
    <col min="1" max="1" width="4.5703125" style="236" customWidth="1"/>
    <col min="2" max="2" width="14" style="235" customWidth="1"/>
    <col min="3" max="3" width="26.5703125" style="235" customWidth="1"/>
    <col min="4" max="4" width="28.5703125" style="235" customWidth="1"/>
    <col min="5" max="5" width="16.42578125" style="235" bestFit="1" customWidth="1"/>
    <col min="6" max="6" width="20.5703125" style="600" customWidth="1"/>
    <col min="7" max="7" width="9.5703125" style="235" customWidth="1"/>
    <col min="8" max="16384" width="9.42578125" style="235"/>
  </cols>
  <sheetData>
    <row r="1" spans="1:8">
      <c r="A1" s="47" t="s">
        <v>2182</v>
      </c>
      <c r="C1" s="47"/>
      <c r="D1" s="47"/>
      <c r="E1" s="47"/>
    </row>
    <row r="2" spans="1:8">
      <c r="A2" s="47"/>
      <c r="C2" s="39" t="s">
        <v>193</v>
      </c>
      <c r="D2" s="242" t="s">
        <v>2183</v>
      </c>
      <c r="E2" s="114" t="s">
        <v>634</v>
      </c>
      <c r="F2" s="816">
        <v>2023</v>
      </c>
    </row>
    <row r="3" spans="1:8">
      <c r="B3" s="47" t="s">
        <v>2184</v>
      </c>
      <c r="C3" s="47"/>
      <c r="D3" s="665"/>
      <c r="E3" s="47"/>
    </row>
    <row r="4" spans="1:8">
      <c r="A4" s="30" t="s">
        <v>266</v>
      </c>
      <c r="C4" s="670"/>
      <c r="D4" s="665"/>
      <c r="E4" s="3" t="s">
        <v>781</v>
      </c>
      <c r="F4" s="608" t="s">
        <v>100</v>
      </c>
    </row>
    <row r="5" spans="1:8">
      <c r="A5" s="116">
        <v>1</v>
      </c>
      <c r="B5" s="278" t="s">
        <v>2185</v>
      </c>
      <c r="C5" s="278"/>
      <c r="E5" s="398">
        <v>37405734.116853178</v>
      </c>
      <c r="F5" s="555" t="s">
        <v>569</v>
      </c>
    </row>
    <row r="6" spans="1:8">
      <c r="A6" s="116">
        <v>2</v>
      </c>
      <c r="B6" s="235" t="s">
        <v>2186</v>
      </c>
      <c r="E6" s="36">
        <f>E7-E5</f>
        <v>229137810.88314682</v>
      </c>
      <c r="F6" s="555" t="s">
        <v>2187</v>
      </c>
      <c r="H6" s="555"/>
    </row>
    <row r="7" spans="1:8">
      <c r="A7" s="116">
        <v>3</v>
      </c>
      <c r="B7" s="235" t="s">
        <v>2188</v>
      </c>
      <c r="C7" s="278"/>
      <c r="D7" s="278"/>
      <c r="E7" s="265">
        <v>266543545</v>
      </c>
      <c r="F7" s="234" t="s">
        <v>2189</v>
      </c>
      <c r="H7" s="555"/>
    </row>
    <row r="8" spans="1:8" ht="14.25">
      <c r="A8" s="609"/>
      <c r="B8" s="601"/>
      <c r="C8" s="602"/>
      <c r="D8" s="602"/>
      <c r="E8" s="599"/>
      <c r="F8" s="603"/>
      <c r="G8" s="604"/>
    </row>
    <row r="9" spans="1:8" ht="14.25">
      <c r="A9" s="609"/>
      <c r="B9" s="47" t="s">
        <v>2190</v>
      </c>
      <c r="C9" s="602"/>
      <c r="D9" s="602"/>
      <c r="E9" s="599"/>
      <c r="F9" s="605"/>
      <c r="G9" s="604"/>
    </row>
    <row r="10" spans="1:8" ht="14.25">
      <c r="A10" s="2"/>
      <c r="B10" s="278"/>
      <c r="C10" s="278"/>
      <c r="D10" s="278"/>
      <c r="E10" s="263"/>
      <c r="F10" s="605"/>
      <c r="G10" s="604"/>
    </row>
    <row r="11" spans="1:8" ht="14.25">
      <c r="A11" s="2">
        <v>4</v>
      </c>
      <c r="B11" s="278" t="s">
        <v>2185</v>
      </c>
      <c r="C11" s="278"/>
      <c r="D11" s="278"/>
      <c r="E11" s="522">
        <v>40828269.768610984</v>
      </c>
      <c r="F11" s="555" t="s">
        <v>340</v>
      </c>
      <c r="G11" s="604"/>
    </row>
    <row r="12" spans="1:8" ht="14.25">
      <c r="A12" s="2">
        <v>5</v>
      </c>
      <c r="B12" s="278" t="s">
        <v>2186</v>
      </c>
      <c r="C12" s="278"/>
      <c r="D12" s="278"/>
      <c r="E12" s="36">
        <f>E13-E11</f>
        <v>286729043.23138905</v>
      </c>
      <c r="F12" s="555" t="s">
        <v>2191</v>
      </c>
      <c r="G12" s="604"/>
    </row>
    <row r="13" spans="1:8" ht="14.25">
      <c r="A13" s="2">
        <v>6</v>
      </c>
      <c r="B13" s="235" t="s">
        <v>2188</v>
      </c>
      <c r="C13" s="278"/>
      <c r="D13" s="278"/>
      <c r="E13" s="265">
        <v>327557313</v>
      </c>
      <c r="F13" s="234" t="s">
        <v>2192</v>
      </c>
      <c r="G13" s="604"/>
    </row>
    <row r="14" spans="1:8">
      <c r="A14" s="116"/>
      <c r="B14" s="278"/>
      <c r="C14" s="278"/>
      <c r="D14" s="278"/>
      <c r="E14" s="263"/>
      <c r="F14" s="555"/>
    </row>
    <row r="15" spans="1:8">
      <c r="A15" s="116">
        <v>7</v>
      </c>
      <c r="B15" s="278" t="s">
        <v>2193</v>
      </c>
      <c r="C15" s="278"/>
      <c r="D15" s="278"/>
      <c r="E15" s="263">
        <f>(E5+E11)/2</f>
        <v>39117001.942732081</v>
      </c>
      <c r="F15" s="234" t="str">
        <f>"(Line "&amp;A5&amp;" + Line "&amp;A11&amp;") / 2"</f>
        <v>(Line 1 + Line 4) / 2</v>
      </c>
      <c r="G15" s="363"/>
    </row>
    <row r="16" spans="1:8">
      <c r="A16" s="116"/>
      <c r="D16" s="194"/>
      <c r="E16" s="263"/>
      <c r="F16" s="555"/>
    </row>
    <row r="17" spans="1:6">
      <c r="A17" s="116">
        <v>8</v>
      </c>
      <c r="B17" s="235" t="s">
        <v>2194</v>
      </c>
      <c r="E17" s="1053">
        <f>4130444.91748201+73713.5334146167</f>
        <v>4204158.4508966263</v>
      </c>
      <c r="F17" s="555" t="s">
        <v>341</v>
      </c>
    </row>
    <row r="18" spans="1:6">
      <c r="A18" s="116">
        <v>9</v>
      </c>
      <c r="B18" s="235" t="s">
        <v>2195</v>
      </c>
      <c r="E18" s="36">
        <f>E19-E17</f>
        <v>766206902.54910338</v>
      </c>
      <c r="F18" s="555" t="s">
        <v>2196</v>
      </c>
    </row>
    <row r="19" spans="1:6">
      <c r="A19" s="116">
        <v>10</v>
      </c>
      <c r="B19" s="235" t="s">
        <v>2197</v>
      </c>
      <c r="E19" s="265">
        <v>770411061</v>
      </c>
      <c r="F19" s="234" t="s">
        <v>2198</v>
      </c>
    </row>
    <row r="22" spans="1:6">
      <c r="A22" s="30" t="s">
        <v>226</v>
      </c>
    </row>
    <row r="23" spans="1:6">
      <c r="A23" s="236">
        <v>1</v>
      </c>
      <c r="B23" s="235" t="s">
        <v>2199</v>
      </c>
    </row>
    <row r="24" spans="1:6">
      <c r="A24" s="236">
        <v>2</v>
      </c>
      <c r="B24" s="235" t="s">
        <v>2200</v>
      </c>
    </row>
    <row r="25" spans="1:6">
      <c r="A25" s="236">
        <v>3</v>
      </c>
      <c r="B25" s="235" t="s">
        <v>2201</v>
      </c>
    </row>
    <row r="26" spans="1:6">
      <c r="A26" s="236">
        <v>4</v>
      </c>
      <c r="B26" s="235" t="s">
        <v>2202</v>
      </c>
      <c r="E26" s="606"/>
    </row>
    <row r="27" spans="1:6">
      <c r="B27" s="235" t="s">
        <v>2203</v>
      </c>
      <c r="E27" s="606"/>
    </row>
    <row r="28" spans="1:6">
      <c r="E28" s="606"/>
    </row>
    <row r="29" spans="1:6">
      <c r="A29" s="235"/>
      <c r="E29" s="606"/>
    </row>
    <row r="30" spans="1:6">
      <c r="A30" s="235"/>
      <c r="E30" s="606"/>
    </row>
    <row r="31" spans="1:6">
      <c r="A31" s="235"/>
      <c r="E31" s="606"/>
    </row>
    <row r="32" spans="1:6">
      <c r="A32" s="235"/>
      <c r="E32" s="606"/>
    </row>
    <row r="36" spans="1:5">
      <c r="A36" s="235"/>
      <c r="C36" s="607"/>
      <c r="D36" s="607"/>
      <c r="E36" s="607"/>
    </row>
    <row r="37" spans="1:5">
      <c r="A37" s="235"/>
      <c r="C37" s="607"/>
      <c r="D37" s="607"/>
      <c r="E37" s="607"/>
    </row>
    <row r="38" spans="1:5">
      <c r="A38" s="235"/>
      <c r="C38" s="607"/>
      <c r="D38" s="607"/>
      <c r="E38" s="607"/>
    </row>
    <row r="39" spans="1:5">
      <c r="A39" s="235"/>
      <c r="C39" s="607"/>
      <c r="D39" s="607"/>
      <c r="E39" s="607"/>
    </row>
    <row r="40" spans="1:5">
      <c r="A40" s="235"/>
      <c r="C40" s="607"/>
      <c r="D40" s="607"/>
      <c r="E40" s="607"/>
    </row>
    <row r="41" spans="1:5">
      <c r="A41" s="235"/>
      <c r="C41" s="607"/>
      <c r="D41" s="607"/>
      <c r="E41" s="607"/>
    </row>
    <row r="42" spans="1:5">
      <c r="A42" s="235"/>
      <c r="C42" s="607"/>
      <c r="D42" s="607"/>
      <c r="E42" s="607"/>
    </row>
    <row r="43" spans="1:5">
      <c r="A43" s="235"/>
      <c r="C43" s="607"/>
      <c r="D43" s="607"/>
      <c r="E43" s="607"/>
    </row>
    <row r="44" spans="1:5">
      <c r="A44" s="235"/>
      <c r="C44" s="607"/>
      <c r="D44" s="607"/>
      <c r="E44" s="607"/>
    </row>
    <row r="45" spans="1:5">
      <c r="A45" s="235"/>
      <c r="C45" s="607"/>
      <c r="D45" s="607"/>
      <c r="E45" s="607"/>
    </row>
    <row r="46" spans="1:5">
      <c r="A46" s="235"/>
      <c r="C46" s="607"/>
      <c r="D46" s="607"/>
      <c r="E46" s="607"/>
    </row>
    <row r="47" spans="1:5">
      <c r="A47" s="235"/>
      <c r="C47" s="607"/>
      <c r="D47" s="607"/>
      <c r="E47" s="607"/>
    </row>
    <row r="48" spans="1:5">
      <c r="A48" s="235"/>
      <c r="C48" s="607"/>
      <c r="D48" s="607"/>
      <c r="E48" s="607"/>
    </row>
    <row r="51" spans="1:5">
      <c r="A51" s="235"/>
      <c r="E51" s="607"/>
    </row>
  </sheetData>
  <pageMargins left="0.7" right="0.7" top="0.75" bottom="0.75" header="0.3" footer="0.3"/>
  <pageSetup scale="75" orientation="portrait" cellComments="asDisplayed" r:id="rId1"/>
  <headerFooter>
    <oddHeader>&amp;CSchedule 22
Network Upgrade Credits and Interest Expense
&amp;RTO2025 Annual Update 
Attachment 1</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9"/>
  <sheetViews>
    <sheetView zoomScaleNormal="100" workbookViewId="0"/>
  </sheetViews>
  <sheetFormatPr defaultRowHeight="12.75"/>
  <cols>
    <col min="1" max="1" width="4.5703125" customWidth="1"/>
    <col min="2" max="2" width="30.5703125" customWidth="1"/>
    <col min="3" max="5" width="15.5703125" customWidth="1"/>
    <col min="6" max="6" width="3.5703125" customWidth="1"/>
    <col min="7" max="8" width="10.5703125" customWidth="1"/>
  </cols>
  <sheetData>
    <row r="1" spans="1:7">
      <c r="A1" s="290" t="s">
        <v>2204</v>
      </c>
      <c r="B1" s="291"/>
      <c r="C1" s="291"/>
      <c r="D1" s="291"/>
      <c r="E1" s="291"/>
      <c r="F1" s="291"/>
      <c r="G1" s="291"/>
    </row>
    <row r="3" spans="1:7">
      <c r="A3" s="292" t="s">
        <v>266</v>
      </c>
      <c r="B3" s="291"/>
      <c r="C3" s="291"/>
      <c r="D3" s="291"/>
      <c r="E3" s="291"/>
      <c r="F3" s="291"/>
      <c r="G3" s="291"/>
    </row>
    <row r="4" spans="1:7">
      <c r="A4" s="293">
        <v>1</v>
      </c>
      <c r="B4" s="291" t="s">
        <v>2205</v>
      </c>
      <c r="C4" s="291"/>
      <c r="D4" s="291"/>
      <c r="E4" s="291"/>
      <c r="F4" s="291"/>
      <c r="G4" s="291"/>
    </row>
    <row r="5" spans="1:7">
      <c r="A5" s="293">
        <v>2</v>
      </c>
      <c r="B5" s="291" t="s">
        <v>2206</v>
      </c>
      <c r="C5" s="291"/>
      <c r="D5" s="291"/>
      <c r="E5" s="291"/>
      <c r="F5" s="291"/>
      <c r="G5" s="291"/>
    </row>
    <row r="6" spans="1:7">
      <c r="A6" s="293">
        <v>3</v>
      </c>
      <c r="B6" s="291" t="s">
        <v>2207</v>
      </c>
      <c r="C6" s="291"/>
      <c r="D6" s="291"/>
      <c r="E6" s="291"/>
      <c r="F6" s="291"/>
      <c r="G6" s="291"/>
    </row>
    <row r="7" spans="1:7">
      <c r="A7" s="293">
        <v>4</v>
      </c>
      <c r="B7" s="291"/>
      <c r="C7" s="291"/>
      <c r="D7" s="291"/>
      <c r="E7" s="291"/>
      <c r="F7" s="291"/>
      <c r="G7" s="291"/>
    </row>
    <row r="8" spans="1:7">
      <c r="A8" s="293">
        <v>5</v>
      </c>
      <c r="B8" s="291" t="s">
        <v>2208</v>
      </c>
      <c r="C8" s="291"/>
      <c r="D8" s="291"/>
      <c r="E8" s="291"/>
      <c r="F8" s="291"/>
      <c r="G8" s="291"/>
    </row>
    <row r="9" spans="1:7">
      <c r="A9" s="293">
        <v>6</v>
      </c>
      <c r="B9" s="291" t="s">
        <v>2209</v>
      </c>
      <c r="C9" s="291"/>
      <c r="D9" s="291"/>
      <c r="E9" s="291"/>
      <c r="F9" s="291"/>
      <c r="G9" s="291"/>
    </row>
    <row r="10" spans="1:7">
      <c r="A10" s="293">
        <v>7</v>
      </c>
      <c r="B10" s="291"/>
      <c r="C10" s="291"/>
      <c r="D10" s="291"/>
      <c r="E10" s="291"/>
      <c r="F10" s="291"/>
      <c r="G10" s="291"/>
    </row>
    <row r="11" spans="1:7">
      <c r="A11" s="293">
        <v>8</v>
      </c>
      <c r="B11" s="291" t="s">
        <v>2210</v>
      </c>
      <c r="C11" s="291"/>
      <c r="D11" s="291"/>
      <c r="E11" s="291"/>
      <c r="F11" s="291"/>
      <c r="G11" s="291"/>
    </row>
    <row r="12" spans="1:7">
      <c r="A12" s="293">
        <v>9</v>
      </c>
      <c r="B12" s="291" t="s">
        <v>2211</v>
      </c>
      <c r="C12" s="291"/>
      <c r="D12" s="291"/>
      <c r="E12" s="291"/>
      <c r="F12" s="291"/>
      <c r="G12" s="291"/>
    </row>
    <row r="13" spans="1:7">
      <c r="A13" s="293">
        <v>10</v>
      </c>
      <c r="B13" s="291" t="s">
        <v>2212</v>
      </c>
      <c r="C13" s="291"/>
      <c r="D13" s="291"/>
      <c r="E13" s="291"/>
      <c r="F13" s="291"/>
      <c r="G13" s="291"/>
    </row>
    <row r="14" spans="1:7">
      <c r="A14" s="293">
        <v>11</v>
      </c>
      <c r="B14" s="291"/>
      <c r="C14" s="291"/>
      <c r="D14" s="291"/>
      <c r="E14" s="291"/>
      <c r="F14" s="291"/>
      <c r="G14" s="291"/>
    </row>
    <row r="15" spans="1:7">
      <c r="A15" s="293">
        <v>12</v>
      </c>
      <c r="B15" s="291"/>
      <c r="C15" s="291"/>
      <c r="D15" s="291"/>
      <c r="E15" s="293" t="s">
        <v>852</v>
      </c>
      <c r="F15" s="291"/>
      <c r="G15" s="291"/>
    </row>
    <row r="16" spans="1:7">
      <c r="A16" s="293">
        <v>13</v>
      </c>
      <c r="B16" s="291"/>
      <c r="C16" s="291"/>
      <c r="D16" s="291"/>
      <c r="E16" s="294" t="s">
        <v>79</v>
      </c>
      <c r="F16" s="291"/>
      <c r="G16" s="295" t="s">
        <v>2213</v>
      </c>
    </row>
    <row r="17" spans="1:8">
      <c r="A17" s="293">
        <v>14</v>
      </c>
      <c r="B17" s="291" t="s">
        <v>2214</v>
      </c>
      <c r="C17" s="291"/>
      <c r="D17" s="291"/>
      <c r="E17" s="296">
        <f>D29</f>
        <v>0</v>
      </c>
      <c r="F17" s="291"/>
      <c r="G17" s="291" t="s">
        <v>2215</v>
      </c>
    </row>
    <row r="18" spans="1:8">
      <c r="A18" s="293">
        <v>15</v>
      </c>
      <c r="B18" s="291" t="s">
        <v>2216</v>
      </c>
      <c r="C18" s="291"/>
      <c r="D18" s="291"/>
      <c r="E18" s="296">
        <f>(C29+D29)/2</f>
        <v>0</v>
      </c>
      <c r="F18" s="291"/>
      <c r="G18" s="291" t="s">
        <v>2217</v>
      </c>
    </row>
    <row r="19" spans="1:8">
      <c r="A19" s="293">
        <v>16</v>
      </c>
      <c r="B19" s="291" t="s">
        <v>2218</v>
      </c>
      <c r="C19" s="291"/>
      <c r="D19" s="291"/>
      <c r="E19" s="296">
        <f>E29</f>
        <v>0</v>
      </c>
      <c r="F19" s="291"/>
      <c r="G19" s="291" t="s">
        <v>2219</v>
      </c>
    </row>
    <row r="20" spans="1:8">
      <c r="A20" s="293"/>
      <c r="B20" s="291"/>
      <c r="C20" s="291"/>
      <c r="D20" s="291"/>
      <c r="E20" s="296"/>
      <c r="F20" s="291"/>
      <c r="G20" s="291"/>
    </row>
    <row r="21" spans="1:8">
      <c r="A21" s="293"/>
      <c r="B21" s="291"/>
      <c r="C21" s="373" t="s">
        <v>329</v>
      </c>
      <c r="D21" s="373" t="s">
        <v>330</v>
      </c>
      <c r="E21" s="373" t="s">
        <v>331</v>
      </c>
      <c r="F21" s="291"/>
      <c r="G21" s="291"/>
    </row>
    <row r="22" spans="1:8">
      <c r="A22" s="293"/>
      <c r="B22" s="291"/>
      <c r="C22" s="293" t="s">
        <v>852</v>
      </c>
      <c r="D22" s="293" t="s">
        <v>852</v>
      </c>
      <c r="E22" s="293" t="s">
        <v>852</v>
      </c>
      <c r="F22" s="291"/>
      <c r="G22" s="291"/>
    </row>
    <row r="23" spans="1:8" ht="15">
      <c r="A23" s="293"/>
      <c r="B23" s="293" t="s">
        <v>2220</v>
      </c>
      <c r="C23" s="293" t="s">
        <v>789</v>
      </c>
      <c r="D23" s="293" t="s">
        <v>1083</v>
      </c>
      <c r="E23" s="188" t="s">
        <v>2221</v>
      </c>
      <c r="F23" s="291"/>
      <c r="G23" s="290" t="s">
        <v>2222</v>
      </c>
      <c r="H23" s="235"/>
    </row>
    <row r="24" spans="1:8">
      <c r="A24" s="293"/>
      <c r="B24" s="293" t="s">
        <v>2223</v>
      </c>
      <c r="C24" s="293" t="s">
        <v>2224</v>
      </c>
      <c r="D24" s="293" t="s">
        <v>2224</v>
      </c>
      <c r="E24" s="293" t="s">
        <v>2225</v>
      </c>
      <c r="F24" s="291"/>
      <c r="G24" s="290" t="s">
        <v>2226</v>
      </c>
      <c r="H24" s="235"/>
    </row>
    <row r="25" spans="1:8">
      <c r="A25" s="293"/>
      <c r="B25" s="294" t="s">
        <v>2227</v>
      </c>
      <c r="C25" s="294" t="s">
        <v>2227</v>
      </c>
      <c r="D25" s="294" t="s">
        <v>2227</v>
      </c>
      <c r="E25" s="294" t="s">
        <v>2228</v>
      </c>
      <c r="F25" s="291"/>
      <c r="G25" s="292" t="s">
        <v>2229</v>
      </c>
      <c r="H25" s="235"/>
    </row>
    <row r="26" spans="1:8">
      <c r="A26" s="293">
        <v>17</v>
      </c>
      <c r="B26" s="297"/>
      <c r="C26" s="298"/>
      <c r="D26" s="298"/>
      <c r="E26" s="298"/>
      <c r="F26" s="291"/>
      <c r="G26" s="297"/>
      <c r="H26" s="54"/>
    </row>
    <row r="27" spans="1:8">
      <c r="A27" s="293">
        <v>18</v>
      </c>
      <c r="B27" s="297"/>
      <c r="C27" s="298"/>
      <c r="D27" s="298"/>
      <c r="E27" s="298"/>
      <c r="F27" s="291"/>
      <c r="G27" s="297"/>
      <c r="H27" s="54"/>
    </row>
    <row r="28" spans="1:8">
      <c r="A28" s="293">
        <v>19</v>
      </c>
      <c r="B28" s="297"/>
      <c r="C28" s="299"/>
      <c r="D28" s="299"/>
      <c r="E28" s="299"/>
      <c r="F28" s="291"/>
      <c r="G28" s="297"/>
      <c r="H28" s="54"/>
    </row>
    <row r="29" spans="1:8">
      <c r="A29" s="293">
        <v>20</v>
      </c>
      <c r="B29" s="291" t="s">
        <v>424</v>
      </c>
      <c r="C29" s="296">
        <f>SUM(C26:C28)</f>
        <v>0</v>
      </c>
      <c r="D29" s="296">
        <f>SUM(D26:D28)</f>
        <v>0</v>
      </c>
      <c r="E29" s="296">
        <f>SUM(E26:E28)</f>
        <v>0</v>
      </c>
      <c r="F29" s="291"/>
      <c r="G29" s="291" t="s">
        <v>2230</v>
      </c>
    </row>
    <row r="30" spans="1:8">
      <c r="A30" s="293"/>
      <c r="B30" s="291"/>
      <c r="C30" s="291"/>
      <c r="D30" s="291"/>
      <c r="E30" s="291"/>
      <c r="F30" s="291"/>
      <c r="G30" s="291"/>
    </row>
    <row r="31" spans="1:8">
      <c r="A31" s="293"/>
      <c r="B31" s="290" t="s">
        <v>426</v>
      </c>
      <c r="C31" s="291"/>
      <c r="D31" s="291"/>
      <c r="E31" s="291"/>
      <c r="F31" s="291"/>
      <c r="G31" s="291"/>
    </row>
    <row r="32" spans="1:8">
      <c r="A32" s="293"/>
      <c r="B32" s="291" t="s">
        <v>2231</v>
      </c>
      <c r="C32" s="291"/>
      <c r="D32" s="291"/>
      <c r="E32" s="291"/>
      <c r="F32" s="291"/>
      <c r="G32" s="291"/>
    </row>
    <row r="33" spans="1:5">
      <c r="A33" s="293"/>
      <c r="B33" s="291" t="s">
        <v>2232</v>
      </c>
    </row>
    <row r="34" spans="1:5">
      <c r="A34" s="293"/>
      <c r="B34" s="503" t="s">
        <v>2233</v>
      </c>
    </row>
    <row r="35" spans="1:5">
      <c r="A35" s="293"/>
      <c r="B35" s="503" t="s">
        <v>2234</v>
      </c>
      <c r="E35" s="235"/>
    </row>
    <row r="36" spans="1:5">
      <c r="A36" s="293"/>
      <c r="B36" s="291" t="s">
        <v>2235</v>
      </c>
    </row>
    <row r="37" spans="1:5">
      <c r="A37" s="293"/>
    </row>
    <row r="38" spans="1:5">
      <c r="A38" s="293"/>
      <c r="B38" s="291"/>
    </row>
    <row r="39" spans="1:5">
      <c r="A39" s="293"/>
      <c r="B39" s="291"/>
    </row>
  </sheetData>
  <pageMargins left="0.7" right="0.7" top="0.75" bottom="0.75" header="0.3" footer="0.3"/>
  <pageSetup orientation="landscape" cellComments="asDisplayed" r:id="rId1"/>
  <headerFooter>
    <oddHeader>&amp;CSchedule 23
Regulatory Assets and Liabilities
&amp;RTO2025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75"/>
  <cols>
    <col min="1" max="1" width="3.5703125" customWidth="1"/>
    <col min="2" max="2" width="45.5703125" customWidth="1"/>
    <col min="3" max="3" width="15.140625" customWidth="1"/>
  </cols>
  <sheetData>
    <row r="1" spans="1:5">
      <c r="A1" s="1" t="s">
        <v>76</v>
      </c>
    </row>
    <row r="3" spans="1:5">
      <c r="A3" s="235" t="s">
        <v>77</v>
      </c>
    </row>
    <row r="5" spans="1:5">
      <c r="B5" s="3" t="s">
        <v>78</v>
      </c>
      <c r="C5" s="3" t="s">
        <v>79</v>
      </c>
    </row>
    <row r="6" spans="1:5">
      <c r="B6" t="s">
        <v>80</v>
      </c>
      <c r="C6" s="6">
        <f>'1-BaseTRR'!K144</f>
        <v>1267356114.2774909</v>
      </c>
    </row>
    <row r="7" spans="1:5">
      <c r="B7" t="s">
        <v>81</v>
      </c>
      <c r="C7" s="6">
        <f>'1-BaseTRR'!K150</f>
        <v>75241491.781287596</v>
      </c>
    </row>
    <row r="8" spans="1:5">
      <c r="B8" t="s">
        <v>82</v>
      </c>
      <c r="C8" s="237">
        <f>'1-BaseTRR'!K151</f>
        <v>13247389.778997291</v>
      </c>
      <c r="E8" s="1"/>
    </row>
    <row r="9" spans="1:5">
      <c r="B9" s="235" t="s">
        <v>83</v>
      </c>
      <c r="C9" s="237">
        <f>'1-BaseTRR'!K152</f>
        <v>-11497999.826668495</v>
      </c>
      <c r="E9" s="1"/>
    </row>
    <row r="10" spans="1:5">
      <c r="B10" s="235" t="s">
        <v>84</v>
      </c>
      <c r="C10" s="53">
        <f>'1-BaseTRR'!K153</f>
        <v>0</v>
      </c>
      <c r="E10" s="1"/>
    </row>
    <row r="11" spans="1:5">
      <c r="B11" t="s">
        <v>85</v>
      </c>
      <c r="C11" s="6">
        <f>SUM(C6:C10)</f>
        <v>1344346996.0111072</v>
      </c>
    </row>
    <row r="13" spans="1:5">
      <c r="A13" t="s">
        <v>86</v>
      </c>
    </row>
    <row r="15" spans="1:5">
      <c r="B15" t="s">
        <v>87</v>
      </c>
    </row>
    <row r="16" spans="1:5">
      <c r="B16" s="234" t="s">
        <v>88</v>
      </c>
    </row>
    <row r="17" spans="2:7">
      <c r="B17" s="12"/>
    </row>
    <row r="18" spans="2:7">
      <c r="B18" t="s">
        <v>89</v>
      </c>
    </row>
    <row r="19" spans="2:7">
      <c r="B19" s="235" t="s">
        <v>90</v>
      </c>
    </row>
    <row r="20" spans="2:7">
      <c r="B20" s="12"/>
    </row>
    <row r="21" spans="2:7">
      <c r="B21" s="38" t="s">
        <v>91</v>
      </c>
    </row>
    <row r="22" spans="2:7">
      <c r="B22" s="234" t="s">
        <v>92</v>
      </c>
    </row>
    <row r="23" spans="2:7">
      <c r="B23" s="234"/>
    </row>
    <row r="24" spans="2:7">
      <c r="B24" s="278" t="s">
        <v>93</v>
      </c>
      <c r="C24" s="235"/>
      <c r="D24" s="235"/>
      <c r="E24" s="235"/>
      <c r="F24" s="235"/>
      <c r="G24" s="235"/>
    </row>
    <row r="25" spans="2:7">
      <c r="B25" s="234" t="s">
        <v>94</v>
      </c>
      <c r="C25" s="235"/>
      <c r="D25" s="235"/>
      <c r="E25" s="235"/>
      <c r="F25" s="235"/>
      <c r="G25" s="235"/>
    </row>
    <row r="27" spans="2:7">
      <c r="B27" s="235" t="s">
        <v>2745</v>
      </c>
    </row>
  </sheetData>
  <phoneticPr fontId="23" type="noConversion"/>
  <pageMargins left="0.75" right="0.75" top="1.25" bottom="1" header="0.5" footer="0.5"/>
  <pageSetup orientation="landscape" r:id="rId1"/>
  <headerFooter alignWithMargins="0">
    <oddHeader>&amp;COverview
&amp;RTO2025 Annual Update 
Attachment 1</oddHead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01"/>
  <sheetViews>
    <sheetView zoomScaleNormal="100" workbookViewId="0"/>
  </sheetViews>
  <sheetFormatPr defaultRowHeight="12.75"/>
  <cols>
    <col min="1" max="2" width="4.5703125" customWidth="1"/>
    <col min="3" max="3" width="28.5703125" customWidth="1"/>
    <col min="4" max="8" width="14.5703125" customWidth="1"/>
  </cols>
  <sheetData>
    <row r="1" spans="1:9" ht="15">
      <c r="A1" s="1" t="s">
        <v>2236</v>
      </c>
      <c r="I1" s="188"/>
    </row>
    <row r="3" spans="1:9">
      <c r="B3" s="1" t="s">
        <v>2237</v>
      </c>
    </row>
    <row r="4" spans="1:9">
      <c r="B4" s="1"/>
    </row>
    <row r="5" spans="1:9">
      <c r="B5" s="1"/>
      <c r="C5" s="1" t="s">
        <v>2238</v>
      </c>
      <c r="D5" s="48" t="s">
        <v>329</v>
      </c>
      <c r="E5" s="48" t="s">
        <v>330</v>
      </c>
      <c r="F5" s="48" t="s">
        <v>331</v>
      </c>
    </row>
    <row r="6" spans="1:9" ht="15">
      <c r="D6" s="121" t="s">
        <v>852</v>
      </c>
      <c r="E6" s="121" t="s">
        <v>852</v>
      </c>
      <c r="F6" s="121" t="s">
        <v>976</v>
      </c>
    </row>
    <row r="7" spans="1:9" ht="15">
      <c r="C7" s="1"/>
      <c r="D7" s="121" t="s">
        <v>1083</v>
      </c>
      <c r="E7" s="121" t="s">
        <v>791</v>
      </c>
      <c r="F7" s="121" t="s">
        <v>612</v>
      </c>
    </row>
    <row r="8" spans="1:9">
      <c r="A8" s="3" t="s">
        <v>266</v>
      </c>
      <c r="C8" s="3" t="s">
        <v>1065</v>
      </c>
      <c r="D8" s="3" t="s">
        <v>79</v>
      </c>
      <c r="E8" s="3" t="s">
        <v>79</v>
      </c>
      <c r="F8" s="3" t="s">
        <v>79</v>
      </c>
      <c r="G8" s="3" t="s">
        <v>644</v>
      </c>
    </row>
    <row r="9" spans="1:9">
      <c r="A9" s="2">
        <v>1</v>
      </c>
      <c r="C9" s="233" t="s">
        <v>2239</v>
      </c>
      <c r="D9" s="6">
        <f>'10-CWIP'!E25</f>
        <v>614003.74</v>
      </c>
      <c r="E9" s="6">
        <f>'10-CWIP'!E26</f>
        <v>575485.73846153845</v>
      </c>
      <c r="F9" s="6">
        <f>'10-CWIP'!K113</f>
        <v>-425079.51230769238</v>
      </c>
      <c r="G9" s="234" t="str">
        <f>"10-CWIP, Lines "&amp;'10-CWIP'!A25&amp;", "&amp;'10-CWIP'!A26&amp;", "&amp;'10-CWIP'!A113&amp;""</f>
        <v>10-CWIP, Lines 13, 14, 80</v>
      </c>
    </row>
    <row r="10" spans="1:9">
      <c r="A10" s="2">
        <f>A9+1</f>
        <v>2</v>
      </c>
      <c r="C10" s="233" t="s">
        <v>2240</v>
      </c>
      <c r="D10" s="6">
        <f>'10-CWIP'!F25</f>
        <v>0</v>
      </c>
      <c r="E10" s="6">
        <f>'10-CWIP'!F26</f>
        <v>0</v>
      </c>
      <c r="F10" s="6">
        <f>'10-CWIP'!K146</f>
        <v>0</v>
      </c>
      <c r="G10" s="234" t="str">
        <f>"10-CWIP, Lines "&amp;'10-CWIP'!A25&amp;", "&amp;'10-CWIP'!A26&amp;", "&amp;'10-CWIP'!A146&amp;""</f>
        <v>10-CWIP, Lines 13, 14, 106</v>
      </c>
    </row>
    <row r="11" spans="1:9">
      <c r="A11" s="2">
        <f t="shared" ref="A11:A21" si="0">A10+1</f>
        <v>3</v>
      </c>
      <c r="C11" s="233" t="s">
        <v>2241</v>
      </c>
      <c r="D11" s="6">
        <f>'10-CWIP'!G25</f>
        <v>6574677.9400000004</v>
      </c>
      <c r="E11" s="6">
        <f>'10-CWIP'!G26</f>
        <v>6420387.616923077</v>
      </c>
      <c r="F11" s="6">
        <f>'10-CWIP'!K179</f>
        <v>2567430.769230769</v>
      </c>
      <c r="G11" s="234" t="str">
        <f>"10-CWIP, Lines "&amp;'10-CWIP'!A25&amp;", "&amp;'10-CWIP'!A26&amp;", "&amp;'10-CWIP'!A179&amp;""</f>
        <v>10-CWIP, Lines 13, 14, 132</v>
      </c>
    </row>
    <row r="12" spans="1:9">
      <c r="A12" s="2">
        <f t="shared" si="0"/>
        <v>4</v>
      </c>
      <c r="C12" s="233" t="s">
        <v>2242</v>
      </c>
      <c r="D12" s="6">
        <f>'10-CWIP'!H25</f>
        <v>6858895.8200000003</v>
      </c>
      <c r="E12" s="6">
        <f>'10-CWIP'!H26</f>
        <v>1559345.7638461539</v>
      </c>
      <c r="F12" s="6">
        <f>'10-CWIP'!K212</f>
        <v>-6858895.8199999994</v>
      </c>
      <c r="G12" s="234" t="str">
        <f>"10-CWIP, Lines "&amp;'10-CWIP'!A25&amp;", "&amp;'10-CWIP'!A26&amp;", "&amp;'10-CWIP'!A212&amp;""</f>
        <v>10-CWIP, Lines 13, 14, 158</v>
      </c>
    </row>
    <row r="13" spans="1:9">
      <c r="A13" s="2">
        <f t="shared" si="0"/>
        <v>5</v>
      </c>
      <c r="C13" s="233" t="s">
        <v>2243</v>
      </c>
      <c r="D13" s="6">
        <f>'10-CWIP'!I25</f>
        <v>0</v>
      </c>
      <c r="E13" s="6">
        <f>'10-CWIP'!I26</f>
        <v>0</v>
      </c>
      <c r="F13" s="6">
        <f>'10-CWIP'!K245</f>
        <v>0</v>
      </c>
      <c r="G13" s="234" t="str">
        <f>"10-CWIP, Lines "&amp;'10-CWIP'!A25&amp;", "&amp;'10-CWIP'!A26&amp;", "&amp;'10-CWIP'!A245&amp;""</f>
        <v>10-CWIP, Lines 13, 14, 184</v>
      </c>
    </row>
    <row r="14" spans="1:9">
      <c r="A14" s="2">
        <f t="shared" si="0"/>
        <v>6</v>
      </c>
      <c r="C14" s="233" t="s">
        <v>2244</v>
      </c>
      <c r="D14" s="6">
        <f>'10-CWIP'!D45</f>
        <v>0</v>
      </c>
      <c r="E14" s="6">
        <f>'10-CWIP'!D46</f>
        <v>0</v>
      </c>
      <c r="F14" s="6">
        <f>'10-CWIP'!K278</f>
        <v>0</v>
      </c>
      <c r="G14" s="234" t="str">
        <f>"10-CWIP, Lines "&amp;'10-CWIP'!A45&amp;", "&amp;'10-CWIP'!A46&amp;", "&amp;'10-CWIP'!A278&amp;""</f>
        <v>10-CWIP, Lines 27, 28, 210</v>
      </c>
    </row>
    <row r="15" spans="1:9">
      <c r="A15" s="2">
        <f t="shared" si="0"/>
        <v>7</v>
      </c>
      <c r="C15" s="233" t="s">
        <v>2245</v>
      </c>
      <c r="D15" s="6">
        <f>'10-CWIP'!E45</f>
        <v>0</v>
      </c>
      <c r="E15" s="6">
        <f>'10-CWIP'!E46</f>
        <v>1.1784615384615384</v>
      </c>
      <c r="F15" s="6">
        <f>'10-CWIP'!K311</f>
        <v>0</v>
      </c>
      <c r="G15" s="234" t="str">
        <f>"10-CWIP, Lines "&amp;'10-CWIP'!A45&amp;", "&amp;'10-CWIP'!A46&amp;", "&amp;'10-CWIP'!A311&amp;""</f>
        <v>10-CWIP, Lines 27, 28, 236</v>
      </c>
    </row>
    <row r="16" spans="1:9">
      <c r="A16" s="2">
        <f t="shared" si="0"/>
        <v>8</v>
      </c>
      <c r="C16" s="233" t="s">
        <v>2246</v>
      </c>
      <c r="D16" s="6">
        <f>'10-CWIP'!F45</f>
        <v>0</v>
      </c>
      <c r="E16" s="6">
        <f>'10-CWIP'!F46</f>
        <v>1192.9884615384615</v>
      </c>
      <c r="F16" s="6">
        <f>'10-CWIP'!K344</f>
        <v>2860326.923076923</v>
      </c>
      <c r="G16" s="234" t="str">
        <f>"10-CWIP, Lines "&amp;'10-CWIP'!A45&amp;", "&amp;'10-CWIP'!A46&amp;", "&amp;'10-CWIP'!A344&amp;""</f>
        <v>10-CWIP, Lines 27, 28, 262</v>
      </c>
    </row>
    <row r="17" spans="1:7">
      <c r="A17" s="2">
        <f t="shared" si="0"/>
        <v>9</v>
      </c>
      <c r="C17" s="233" t="s">
        <v>2247</v>
      </c>
      <c r="D17" s="6">
        <f>'10-CWIP'!G45</f>
        <v>27427584.16</v>
      </c>
      <c r="E17" s="6">
        <f>'10-CWIP'!G46</f>
        <v>26960755.510000005</v>
      </c>
      <c r="F17" s="6">
        <f>'10-CWIP'!K377</f>
        <v>1776561.5384615385</v>
      </c>
      <c r="G17" s="234" t="str">
        <f>"10-CWIP, Lines "&amp;'10-CWIP'!A45&amp;", "&amp;'10-CWIP'!A46&amp;", "&amp;'10-CWIP'!A377&amp;""</f>
        <v>10-CWIP, Lines 27, 28, 288</v>
      </c>
    </row>
    <row r="18" spans="1:7">
      <c r="A18" s="2">
        <f t="shared" si="0"/>
        <v>10</v>
      </c>
      <c r="C18" s="233" t="s">
        <v>2248</v>
      </c>
      <c r="D18" s="491">
        <f>'10-CWIP'!H45</f>
        <v>235446401.27000001</v>
      </c>
      <c r="E18" s="491">
        <f>'10-CWIP'!H46</f>
        <v>225661352.90769228</v>
      </c>
      <c r="F18" s="491">
        <f>'10-CWIP'!K410</f>
        <v>-225389773.38538456</v>
      </c>
      <c r="G18" s="234" t="str">
        <f>"10-CWIP, Lines "&amp;'10-CWIP'!A45&amp;", "&amp;'10-CWIP'!A46&amp;", "&amp;'10-CWIP'!A410&amp;""</f>
        <v>10-CWIP, Lines 27, 28, 314</v>
      </c>
    </row>
    <row r="19" spans="1:7">
      <c r="A19" s="2">
        <f t="shared" si="0"/>
        <v>11</v>
      </c>
      <c r="C19" s="233" t="s">
        <v>2249</v>
      </c>
      <c r="D19" s="263">
        <f>'10-CWIP'!I45</f>
        <v>33737373.600000001</v>
      </c>
      <c r="E19" s="263">
        <f>'10-CWIP'!I46</f>
        <v>35141402.340000004</v>
      </c>
      <c r="F19" s="263">
        <f>'10-CWIP'!K443</f>
        <v>41384923.507807657</v>
      </c>
      <c r="G19" s="234" t="str">
        <f>"10-CWIP, Lines "&amp;'10-CWIP'!A45&amp;", "&amp;'10-CWIP'!A46&amp;", "&amp;'10-CWIP'!A443&amp;""</f>
        <v>10-CWIP, Lines 27, 28, 340</v>
      </c>
    </row>
    <row r="20" spans="1:7">
      <c r="A20" s="2">
        <f t="shared" si="0"/>
        <v>12</v>
      </c>
      <c r="C20" s="801"/>
      <c r="D20" s="36">
        <f>'10-CWIP'!J45</f>
        <v>0</v>
      </c>
      <c r="E20" s="36">
        <f>'10-CWIP'!L46</f>
        <v>0</v>
      </c>
      <c r="F20" s="36">
        <f>'10-CWIP'!K476</f>
        <v>0</v>
      </c>
      <c r="G20" s="234" t="str">
        <f>"10-CWIP, Lines "&amp;'10-CWIP'!A45&amp;", "&amp;'10-CWIP'!A46&amp;", "&amp;'10-CWIP'!A476&amp;""</f>
        <v>10-CWIP, Lines 27, 28, 366</v>
      </c>
    </row>
    <row r="21" spans="1:7">
      <c r="A21" s="2">
        <f t="shared" si="0"/>
        <v>13</v>
      </c>
      <c r="C21" s="233" t="s">
        <v>424</v>
      </c>
      <c r="D21" s="6">
        <f>SUM(D9:D20)</f>
        <v>310658936.53000003</v>
      </c>
      <c r="E21" s="6">
        <f>SUM(E9:E20)</f>
        <v>296319924.04384613</v>
      </c>
      <c r="F21" s="6">
        <f>SUM(F9:F20)</f>
        <v>-184084505.97911537</v>
      </c>
      <c r="G21" s="234" t="str">
        <f>"Sum of Lines "&amp;A9&amp;" to "&amp;A20&amp;""</f>
        <v>Sum of Lines 1 to 12</v>
      </c>
    </row>
    <row r="22" spans="1:7">
      <c r="A22" s="2"/>
      <c r="C22" s="1"/>
    </row>
    <row r="23" spans="1:7" ht="15">
      <c r="A23" s="2"/>
      <c r="C23" s="1" t="s">
        <v>2250</v>
      </c>
      <c r="D23" s="121" t="s">
        <v>1083</v>
      </c>
      <c r="E23" s="121" t="s">
        <v>791</v>
      </c>
      <c r="F23" s="234"/>
    </row>
    <row r="24" spans="1:7">
      <c r="D24" s="3" t="s">
        <v>79</v>
      </c>
      <c r="E24" s="3" t="s">
        <v>79</v>
      </c>
      <c r="F24" s="3" t="s">
        <v>644</v>
      </c>
    </row>
    <row r="25" spans="1:7">
      <c r="A25" s="2">
        <f>A21+1</f>
        <v>14</v>
      </c>
      <c r="C25" s="233" t="s">
        <v>2251</v>
      </c>
      <c r="D25" s="6">
        <f>D21</f>
        <v>310658936.53000003</v>
      </c>
      <c r="E25" s="6">
        <f>E21</f>
        <v>296319924.04384613</v>
      </c>
      <c r="F25" s="12" t="str">
        <f>"Line "&amp;A21&amp;""</f>
        <v>Line 13</v>
      </c>
    </row>
    <row r="26" spans="1:7">
      <c r="A26" s="2">
        <f>A25+1</f>
        <v>15</v>
      </c>
      <c r="C26" s="233" t="s">
        <v>2252</v>
      </c>
      <c r="D26" s="7">
        <f>'1-BaseTRR'!K93</f>
        <v>7.1706275961064034E-2</v>
      </c>
      <c r="E26" s="7">
        <f>'1-BaseTRR'!K93</f>
        <v>7.1706275961064034E-2</v>
      </c>
      <c r="F26" s="12" t="str">
        <f>"1-BaseTRR, Line "&amp;'1-BaseTRR'!A93&amp;""</f>
        <v>1-BaseTRR, Line 54</v>
      </c>
    </row>
    <row r="27" spans="1:7">
      <c r="A27" s="2">
        <f>A26+1</f>
        <v>16</v>
      </c>
      <c r="C27" s="25" t="s">
        <v>2253</v>
      </c>
      <c r="D27" s="6">
        <f>D25*D26</f>
        <v>22276195.432590857</v>
      </c>
      <c r="E27" s="6">
        <f>E25*E26</f>
        <v>21247998.246249564</v>
      </c>
      <c r="F27" s="12" t="str">
        <f>"Line "&amp;A25&amp;" * Line "&amp;A26&amp;""</f>
        <v>Line 14 * Line 15</v>
      </c>
    </row>
    <row r="29" spans="1:7">
      <c r="C29" s="1" t="s">
        <v>2254</v>
      </c>
    </row>
    <row r="30" spans="1:7" ht="15">
      <c r="D30" s="121" t="s">
        <v>1083</v>
      </c>
      <c r="E30" s="121" t="s">
        <v>791</v>
      </c>
    </row>
    <row r="31" spans="1:7">
      <c r="D31" s="3" t="s">
        <v>79</v>
      </c>
      <c r="E31" s="3" t="s">
        <v>79</v>
      </c>
      <c r="F31" s="3" t="s">
        <v>644</v>
      </c>
    </row>
    <row r="32" spans="1:7" ht="15">
      <c r="A32" s="121">
        <f>A27+1</f>
        <v>17</v>
      </c>
      <c r="C32" s="233" t="s">
        <v>2251</v>
      </c>
      <c r="D32" s="6">
        <f>D21</f>
        <v>310658936.53000003</v>
      </c>
      <c r="E32" s="6">
        <f>E21</f>
        <v>296319924.04384613</v>
      </c>
      <c r="F32" s="12" t="str">
        <f>"Line "&amp;A21&amp;""</f>
        <v>Line 13</v>
      </c>
    </row>
    <row r="33" spans="1:7">
      <c r="A33" s="2">
        <f t="shared" ref="A33:A39" si="1">A32+1</f>
        <v>18</v>
      </c>
      <c r="C33" s="233" t="s">
        <v>2255</v>
      </c>
      <c r="D33" s="7">
        <f>'1-BaseTRR'!K95</f>
        <v>5.1610574592930752E-2</v>
      </c>
      <c r="E33" s="7">
        <f>'1-BaseTRR'!K95</f>
        <v>5.1610574592930752E-2</v>
      </c>
      <c r="F33" s="12" t="str">
        <f>"1-BaseTRR, Line "&amp;'1-BaseTRR'!A95&amp;""</f>
        <v>1-BaseTRR, Line 55</v>
      </c>
    </row>
    <row r="34" spans="1:7">
      <c r="A34" s="2">
        <f t="shared" si="1"/>
        <v>19</v>
      </c>
      <c r="C34" s="233" t="s">
        <v>276</v>
      </c>
      <c r="D34" s="7">
        <f>'1-BaseTRR'!K104</f>
        <v>0.27983599999999997</v>
      </c>
      <c r="E34" s="7">
        <f>'1-BaseTRR'!K104</f>
        <v>0.27983599999999997</v>
      </c>
      <c r="F34" s="12" t="str">
        <f>"1-BaseTRR, Line "&amp;'1-BaseTRR'!A104&amp;""</f>
        <v>1-BaseTRR, Line 59</v>
      </c>
    </row>
    <row r="35" spans="1:7">
      <c r="A35" s="2">
        <f t="shared" si="1"/>
        <v>20</v>
      </c>
      <c r="C35" s="233" t="s">
        <v>185</v>
      </c>
      <c r="D35" s="6">
        <f>((D25*D33)*(D34/(1-D34)))</f>
        <v>6230095.75839426</v>
      </c>
      <c r="E35" s="6">
        <f>((E25*E33)*(E34/(1-E34)))</f>
        <v>5942534.6733426377</v>
      </c>
      <c r="F35" s="234" t="str">
        <f>"Formula on Line "&amp;A37&amp;""</f>
        <v>Formula on Line 22</v>
      </c>
    </row>
    <row r="36" spans="1:7">
      <c r="A36" s="2">
        <f t="shared" si="1"/>
        <v>21</v>
      </c>
    </row>
    <row r="37" spans="1:7">
      <c r="A37" s="2">
        <f t="shared" si="1"/>
        <v>22</v>
      </c>
      <c r="C37" s="234" t="str">
        <f>"Income Taxes = [(RB * ER) * (CTR/(1 – CTR)], or [(L"&amp;A25&amp;" * L"&amp;A33&amp;") * (L"&amp;A34&amp;" / (1 - L"&amp;A34&amp;")]"</f>
        <v>Income Taxes = [(RB * ER) * (CTR/(1 – CTR)], or [(L14 * L18) * (L19 / (1 - L19)]</v>
      </c>
      <c r="E37" s="6"/>
      <c r="F37" s="235"/>
    </row>
    <row r="38" spans="1:7">
      <c r="A38" s="2">
        <f t="shared" si="1"/>
        <v>23</v>
      </c>
      <c r="C38" s="234" t="s">
        <v>2256</v>
      </c>
      <c r="E38" s="6"/>
      <c r="F38" s="235"/>
    </row>
    <row r="39" spans="1:7">
      <c r="A39" s="2">
        <f t="shared" si="1"/>
        <v>24</v>
      </c>
      <c r="D39" s="234"/>
      <c r="E39" s="6"/>
      <c r="F39" s="235"/>
      <c r="G39" s="234"/>
    </row>
    <row r="40" spans="1:7">
      <c r="C40" s="1" t="s">
        <v>2257</v>
      </c>
    </row>
    <row r="41" spans="1:7">
      <c r="D41" s="3" t="s">
        <v>102</v>
      </c>
      <c r="E41" s="3" t="s">
        <v>644</v>
      </c>
    </row>
    <row r="42" spans="1:7">
      <c r="A42" s="2">
        <f>A39+1</f>
        <v>25</v>
      </c>
      <c r="C42" s="233" t="s">
        <v>1256</v>
      </c>
      <c r="D42" s="6">
        <f>'15-IncentiveAdder'!G17</f>
        <v>6595.7198638087975</v>
      </c>
      <c r="E42" s="12" t="str">
        <f>"15-IncentiveAdder, Line "&amp;'15-IncentiveAdder'!A17&amp;""</f>
        <v>15-IncentiveAdder, Line 3</v>
      </c>
    </row>
    <row r="44" spans="1:7">
      <c r="C44" s="34" t="s">
        <v>1151</v>
      </c>
    </row>
    <row r="45" spans="1:7" ht="15">
      <c r="D45" s="121" t="s">
        <v>1083</v>
      </c>
      <c r="E45" s="121" t="s">
        <v>791</v>
      </c>
    </row>
    <row r="46" spans="1:7">
      <c r="D46" s="3" t="s">
        <v>79</v>
      </c>
      <c r="E46" s="3" t="s">
        <v>79</v>
      </c>
    </row>
    <row r="47" spans="1:7">
      <c r="A47" s="2">
        <f>A42+1</f>
        <v>26</v>
      </c>
      <c r="C47" s="233" t="s">
        <v>296</v>
      </c>
      <c r="D47" s="6">
        <f>D9</f>
        <v>614003.74</v>
      </c>
      <c r="E47" s="6">
        <f>E9</f>
        <v>575485.73846153845</v>
      </c>
      <c r="F47" s="12" t="str">
        <f>"Line "&amp;A9&amp;""</f>
        <v>Line 1</v>
      </c>
    </row>
    <row r="48" spans="1:7">
      <c r="A48" s="2">
        <f>A47+1</f>
        <v>27</v>
      </c>
      <c r="C48" s="233" t="s">
        <v>2258</v>
      </c>
      <c r="D48" s="26">
        <f>'15-IncentiveAdder'!E26</f>
        <v>1.2500000000000001E-2</v>
      </c>
      <c r="E48" s="26">
        <f>'15-IncentiveAdder'!E26</f>
        <v>1.2500000000000001E-2</v>
      </c>
      <c r="F48" s="12" t="str">
        <f>"15-IncentiveAdder, Line "&amp;'15-IncentiveAdder'!A26&amp;""</f>
        <v>15-IncentiveAdder, Line 5</v>
      </c>
    </row>
    <row r="49" spans="1:6">
      <c r="A49" s="2">
        <f>A48+1</f>
        <v>28</v>
      </c>
      <c r="C49" s="233" t="s">
        <v>2259</v>
      </c>
      <c r="D49" s="6">
        <f>(D47/1000000)*($D$42*(D48/0.01))</f>
        <v>5062.2458304636166</v>
      </c>
      <c r="E49" s="6">
        <f>(E47/1000000)*($D$42*(E48/0.01))</f>
        <v>4744.6783956368054</v>
      </c>
      <c r="F49" s="234" t="str">
        <f>"Formula on Line "&amp;A58&amp;""</f>
        <v>Formula on Line 33</v>
      </c>
    </row>
    <row r="50" spans="1:6">
      <c r="C50" s="190"/>
    </row>
    <row r="51" spans="1:6">
      <c r="C51" s="34" t="s">
        <v>2260</v>
      </c>
      <c r="E51" s="3"/>
      <c r="F51" s="3"/>
    </row>
    <row r="52" spans="1:6" ht="15">
      <c r="D52" s="121" t="s">
        <v>1083</v>
      </c>
      <c r="E52" s="121" t="s">
        <v>791</v>
      </c>
    </row>
    <row r="53" spans="1:6">
      <c r="D53" s="3" t="s">
        <v>79</v>
      </c>
      <c r="E53" s="3" t="s">
        <v>79</v>
      </c>
    </row>
    <row r="54" spans="1:6">
      <c r="A54" s="2">
        <f>A49+1</f>
        <v>29</v>
      </c>
      <c r="C54" s="233" t="s">
        <v>299</v>
      </c>
      <c r="D54" s="6">
        <f>D10</f>
        <v>0</v>
      </c>
      <c r="E54" s="6">
        <f>E10</f>
        <v>0</v>
      </c>
      <c r="F54" s="12" t="str">
        <f>"Line "&amp;A10&amp;""</f>
        <v>Line 2</v>
      </c>
    </row>
    <row r="55" spans="1:6">
      <c r="A55" s="2">
        <f>A54+1</f>
        <v>30</v>
      </c>
      <c r="C55" s="233" t="s">
        <v>2258</v>
      </c>
      <c r="D55" s="26">
        <f>'15-IncentiveAdder'!E27</f>
        <v>0.01</v>
      </c>
      <c r="E55" s="26">
        <f>'15-IncentiveAdder'!E27</f>
        <v>0.01</v>
      </c>
      <c r="F55" s="12" t="str">
        <f>"15-IncentiveAdder, Line "&amp;'15-IncentiveAdder'!A27&amp;""</f>
        <v>15-IncentiveAdder, Line 6</v>
      </c>
    </row>
    <row r="56" spans="1:6">
      <c r="A56" s="2">
        <f>A55+1</f>
        <v>31</v>
      </c>
      <c r="C56" s="233" t="s">
        <v>2259</v>
      </c>
      <c r="D56" s="6">
        <f>(D54/1000000)*($D$42*(D55/0.01))</f>
        <v>0</v>
      </c>
      <c r="E56" s="6">
        <f>(E54/1000000)*($D$42*(E55/0.01))</f>
        <v>0</v>
      </c>
      <c r="F56" s="234" t="str">
        <f>"Formula on Line "&amp;A58&amp;""</f>
        <v>Formula on Line 33</v>
      </c>
    </row>
    <row r="57" spans="1:6">
      <c r="A57" s="2">
        <f>A56+1</f>
        <v>32</v>
      </c>
      <c r="D57" s="278"/>
      <c r="E57" s="6"/>
      <c r="F57" s="234"/>
    </row>
    <row r="58" spans="1:6">
      <c r="A58" s="2">
        <f>A57+1</f>
        <v>33</v>
      </c>
      <c r="C58" s="278" t="s">
        <v>2261</v>
      </c>
      <c r="D58" s="6"/>
      <c r="E58" s="234"/>
    </row>
    <row r="60" spans="1:6">
      <c r="C60" s="1" t="s">
        <v>2262</v>
      </c>
    </row>
    <row r="61" spans="1:6">
      <c r="C61" s="1"/>
    </row>
    <row r="62" spans="1:6" ht="15">
      <c r="C62" s="1"/>
      <c r="E62" s="121" t="s">
        <v>359</v>
      </c>
    </row>
    <row r="63" spans="1:6" ht="15">
      <c r="C63" s="1"/>
      <c r="D63" s="121" t="s">
        <v>2263</v>
      </c>
      <c r="E63" s="121" t="s">
        <v>366</v>
      </c>
    </row>
    <row r="64" spans="1:6">
      <c r="D64" s="3" t="s">
        <v>79</v>
      </c>
      <c r="E64" s="3" t="s">
        <v>79</v>
      </c>
      <c r="F64" s="3" t="s">
        <v>644</v>
      </c>
    </row>
    <row r="65" spans="1:9">
      <c r="A65" s="2">
        <f>A58+1</f>
        <v>34</v>
      </c>
      <c r="C65" s="233" t="s">
        <v>2264</v>
      </c>
      <c r="D65" s="6">
        <f>D27</f>
        <v>22276195.432590857</v>
      </c>
      <c r="E65" s="6">
        <f>E27</f>
        <v>21247998.246249564</v>
      </c>
      <c r="F65" s="12" t="str">
        <f>"Line "&amp;A27&amp;""</f>
        <v>Line 16</v>
      </c>
    </row>
    <row r="66" spans="1:9">
      <c r="A66" s="2">
        <f>A65+1</f>
        <v>35</v>
      </c>
      <c r="C66" s="233" t="s">
        <v>185</v>
      </c>
      <c r="D66" s="6">
        <f>D35</f>
        <v>6230095.75839426</v>
      </c>
      <c r="E66" s="6">
        <f>E35</f>
        <v>5942534.6733426377</v>
      </c>
      <c r="F66" s="12" t="str">
        <f>"Line "&amp;A35&amp;""</f>
        <v>Line 20</v>
      </c>
    </row>
    <row r="67" spans="1:9">
      <c r="A67" s="2">
        <f>A66+1</f>
        <v>36</v>
      </c>
      <c r="C67" s="233" t="s">
        <v>2265</v>
      </c>
      <c r="D67" s="6">
        <f>D49</f>
        <v>5062.2458304636166</v>
      </c>
      <c r="E67" s="6">
        <f>E49</f>
        <v>4744.6783956368054</v>
      </c>
      <c r="F67" s="12" t="str">
        <f>"Line "&amp;A49&amp;""</f>
        <v>Line 28</v>
      </c>
    </row>
    <row r="68" spans="1:9">
      <c r="A68" s="2">
        <f>A67+1</f>
        <v>37</v>
      </c>
      <c r="C68" s="233" t="s">
        <v>2266</v>
      </c>
      <c r="D68" s="237">
        <f>D56</f>
        <v>0</v>
      </c>
      <c r="E68" s="115">
        <f>E56</f>
        <v>0</v>
      </c>
      <c r="F68" s="12" t="str">
        <f>"Line "&amp;A56&amp;""</f>
        <v>Line 31</v>
      </c>
    </row>
    <row r="69" spans="1:9">
      <c r="A69" s="2">
        <f t="shared" ref="A69:A70" si="2">A68+1</f>
        <v>38</v>
      </c>
      <c r="C69" s="233" t="s">
        <v>2267</v>
      </c>
      <c r="D69" s="53">
        <f>SUM(D65:D68)*('28-FFU'!D22+'28-FFU'!E22)</f>
        <v>485275.75193697988</v>
      </c>
      <c r="E69" s="53">
        <f>SUM(E65:E68)*('28-FFU'!D22)</f>
        <v>254672.39722062266</v>
      </c>
      <c r="F69" s="234" t="s">
        <v>144</v>
      </c>
    </row>
    <row r="70" spans="1:9">
      <c r="A70" s="2">
        <f t="shared" si="2"/>
        <v>39</v>
      </c>
      <c r="C70" s="233" t="s">
        <v>402</v>
      </c>
      <c r="D70" s="6">
        <f>SUM(D65:D69)</f>
        <v>28996629.188752562</v>
      </c>
      <c r="E70" s="6">
        <f>SUM(E65:E69)</f>
        <v>27449949.995208461</v>
      </c>
      <c r="F70" s="234" t="str">
        <f>"Sum Lines "&amp;A65&amp;" to "&amp;A69&amp;""</f>
        <v>Sum Lines 34 to 38</v>
      </c>
    </row>
    <row r="71" spans="1:9">
      <c r="A71" s="2"/>
      <c r="D71" s="233"/>
      <c r="E71" s="6"/>
      <c r="F71" s="234"/>
    </row>
    <row r="72" spans="1:9" ht="12.75" customHeight="1">
      <c r="A72" s="2"/>
      <c r="C72" s="188" t="s">
        <v>2268</v>
      </c>
      <c r="D72" s="233"/>
      <c r="E72" s="6"/>
      <c r="F72" s="234"/>
    </row>
    <row r="73" spans="1:9">
      <c r="A73" s="2"/>
      <c r="D73" s="233"/>
      <c r="E73" s="6"/>
      <c r="F73" s="234"/>
    </row>
    <row r="74" spans="1:9" ht="12.75" customHeight="1">
      <c r="A74" s="2"/>
      <c r="C74" s="188" t="s">
        <v>2269</v>
      </c>
      <c r="D74" s="233"/>
      <c r="E74" s="6"/>
      <c r="F74" s="234"/>
    </row>
    <row r="75" spans="1:9" ht="15">
      <c r="A75" s="2"/>
      <c r="C75" s="188"/>
      <c r="D75" s="48" t="s">
        <v>329</v>
      </c>
      <c r="E75" s="48" t="s">
        <v>330</v>
      </c>
      <c r="F75" s="48" t="s">
        <v>331</v>
      </c>
      <c r="G75" s="48" t="s">
        <v>332</v>
      </c>
      <c r="H75" s="48" t="s">
        <v>333</v>
      </c>
    </row>
    <row r="76" spans="1:9" ht="15">
      <c r="A76" s="2"/>
      <c r="C76" s="188"/>
      <c r="D76" s="2" t="s">
        <v>2270</v>
      </c>
      <c r="E76" s="232" t="s">
        <v>2271</v>
      </c>
      <c r="F76" s="2"/>
      <c r="H76" s="241" t="s">
        <v>2272</v>
      </c>
    </row>
    <row r="77" spans="1:9" ht="15">
      <c r="A77" s="2"/>
      <c r="C77" s="3" t="s">
        <v>1065</v>
      </c>
      <c r="D77" s="3" t="s">
        <v>2273</v>
      </c>
      <c r="E77" s="204" t="s">
        <v>2274</v>
      </c>
      <c r="F77" s="3" t="s">
        <v>1262</v>
      </c>
      <c r="G77" s="3" t="s">
        <v>2275</v>
      </c>
      <c r="H77" s="3" t="s">
        <v>244</v>
      </c>
      <c r="I77" s="3" t="s">
        <v>644</v>
      </c>
    </row>
    <row r="78" spans="1:9">
      <c r="A78" s="2">
        <f>A70+1</f>
        <v>40</v>
      </c>
      <c r="C78" s="233" t="s">
        <v>2239</v>
      </c>
      <c r="D78" s="237">
        <f t="shared" ref="D78:D88" si="3">$D$27*(D9/$D$21)</f>
        <v>44027.921621565409</v>
      </c>
      <c r="E78" s="237">
        <f t="shared" ref="E78:E87" si="4">$D$35*(D9/$D$21)</f>
        <v>12313.510562226515</v>
      </c>
      <c r="F78" s="237">
        <f>D49</f>
        <v>5062.2458304636166</v>
      </c>
      <c r="G78" s="6">
        <f>(D78+E78+F78)*('28-FFU'!$D$22+'28-FFU'!$E$22)</f>
        <v>1045.1175559272976</v>
      </c>
      <c r="H78" s="6">
        <f>SUM(D78:G78)</f>
        <v>62448.79557018284</v>
      </c>
      <c r="I78" s="234" t="s">
        <v>165</v>
      </c>
    </row>
    <row r="79" spans="1:9">
      <c r="A79" s="2">
        <f t="shared" ref="A79:A90" si="5">A78+1</f>
        <v>41</v>
      </c>
      <c r="C79" s="233" t="s">
        <v>2240</v>
      </c>
      <c r="D79" s="237">
        <f t="shared" si="3"/>
        <v>0</v>
      </c>
      <c r="E79" s="237">
        <f t="shared" si="4"/>
        <v>0</v>
      </c>
      <c r="F79" s="237">
        <f>D56</f>
        <v>0</v>
      </c>
      <c r="G79" s="6">
        <f>(D79+E79+F79)*('28-FFU'!$D$22+'28-FFU'!$E$22)</f>
        <v>0</v>
      </c>
      <c r="H79" s="6">
        <f t="shared" ref="H79:H87" si="6">SUM(D79:G79)</f>
        <v>0</v>
      </c>
      <c r="I79" s="234" t="s">
        <v>165</v>
      </c>
    </row>
    <row r="80" spans="1:9">
      <c r="A80" s="2">
        <f t="shared" si="5"/>
        <v>42</v>
      </c>
      <c r="C80" s="233" t="s">
        <v>2241</v>
      </c>
      <c r="D80" s="237">
        <f t="shared" si="3"/>
        <v>471445.67072076001</v>
      </c>
      <c r="E80" s="237">
        <f t="shared" si="4"/>
        <v>131851.58490635199</v>
      </c>
      <c r="F80" s="237">
        <v>0</v>
      </c>
      <c r="G80" s="6">
        <f>(D80+E80+F80)*('28-FFU'!$D$22+'28-FFU'!$E$22)</f>
        <v>10268.384137384604</v>
      </c>
      <c r="H80" s="6">
        <f t="shared" si="6"/>
        <v>613565.63976449659</v>
      </c>
      <c r="I80" s="234" t="s">
        <v>165</v>
      </c>
    </row>
    <row r="81" spans="1:9">
      <c r="A81" s="2">
        <f t="shared" si="5"/>
        <v>43</v>
      </c>
      <c r="C81" s="233" t="s">
        <v>2242</v>
      </c>
      <c r="D81" s="237">
        <f t="shared" si="3"/>
        <v>491825.87645710853</v>
      </c>
      <c r="E81" s="237">
        <f t="shared" si="4"/>
        <v>137551.41967829267</v>
      </c>
      <c r="F81" s="237">
        <v>0</v>
      </c>
      <c r="G81" s="6">
        <f>(D81+E81+F81)*('28-FFU'!$D$22+'28-FFU'!$E$22)</f>
        <v>10712.277875935253</v>
      </c>
      <c r="H81" s="6">
        <f t="shared" si="6"/>
        <v>640089.57401133655</v>
      </c>
      <c r="I81" s="234" t="s">
        <v>165</v>
      </c>
    </row>
    <row r="82" spans="1:9">
      <c r="A82" s="2">
        <f t="shared" si="5"/>
        <v>44</v>
      </c>
      <c r="C82" s="233" t="s">
        <v>2243</v>
      </c>
      <c r="D82" s="237">
        <f t="shared" si="3"/>
        <v>0</v>
      </c>
      <c r="E82" s="237">
        <f t="shared" si="4"/>
        <v>0</v>
      </c>
      <c r="F82" s="237">
        <v>0</v>
      </c>
      <c r="G82" s="6">
        <f>(D82+E82+F82)*('28-FFU'!$D$22+'28-FFU'!$E$22)</f>
        <v>0</v>
      </c>
      <c r="H82" s="6">
        <f t="shared" si="6"/>
        <v>0</v>
      </c>
      <c r="I82" s="234" t="s">
        <v>165</v>
      </c>
    </row>
    <row r="83" spans="1:9">
      <c r="A83" s="2">
        <f t="shared" si="5"/>
        <v>45</v>
      </c>
      <c r="C83" s="233" t="s">
        <v>2244</v>
      </c>
      <c r="D83" s="237">
        <f t="shared" si="3"/>
        <v>0</v>
      </c>
      <c r="E83" s="237">
        <f t="shared" si="4"/>
        <v>0</v>
      </c>
      <c r="F83" s="237">
        <v>0</v>
      </c>
      <c r="G83" s="6">
        <f>(D83+E83+F83)*('28-FFU'!$D$22+'28-FFU'!$E$22)</f>
        <v>0</v>
      </c>
      <c r="H83" s="6">
        <f t="shared" si="6"/>
        <v>0</v>
      </c>
      <c r="I83" s="234" t="s">
        <v>165</v>
      </c>
    </row>
    <row r="84" spans="1:9">
      <c r="A84" s="2">
        <f t="shared" si="5"/>
        <v>46</v>
      </c>
      <c r="C84" s="233" t="s">
        <v>2245</v>
      </c>
      <c r="D84" s="237">
        <f t="shared" si="3"/>
        <v>0</v>
      </c>
      <c r="E84" s="237">
        <f t="shared" si="4"/>
        <v>0</v>
      </c>
      <c r="F84" s="237">
        <v>0</v>
      </c>
      <c r="G84" s="6">
        <f>(D84+E84+F84)*('28-FFU'!$D$22+'28-FFU'!$E$22)</f>
        <v>0</v>
      </c>
      <c r="H84" s="6">
        <f t="shared" si="6"/>
        <v>0</v>
      </c>
      <c r="I84" s="234" t="s">
        <v>165</v>
      </c>
    </row>
    <row r="85" spans="1:9">
      <c r="A85" s="2">
        <f t="shared" si="5"/>
        <v>47</v>
      </c>
      <c r="C85" s="233" t="s">
        <v>2246</v>
      </c>
      <c r="D85" s="237">
        <f t="shared" si="3"/>
        <v>0</v>
      </c>
      <c r="E85" s="237">
        <f t="shared" si="4"/>
        <v>0</v>
      </c>
      <c r="F85" s="237">
        <v>0</v>
      </c>
      <c r="G85" s="6">
        <f>(D85+E85+F85)*('28-FFU'!$D$22+'28-FFU'!$E$22)</f>
        <v>0</v>
      </c>
      <c r="H85" s="6">
        <f t="shared" si="6"/>
        <v>0</v>
      </c>
      <c r="I85" s="234" t="s">
        <v>165</v>
      </c>
    </row>
    <row r="86" spans="1:9">
      <c r="A86" s="2">
        <f t="shared" si="5"/>
        <v>48</v>
      </c>
      <c r="C86" s="233" t="s">
        <v>2247</v>
      </c>
      <c r="D86" s="237">
        <f t="shared" si="3"/>
        <v>1966729.9187222687</v>
      </c>
      <c r="E86" s="237">
        <f t="shared" si="4"/>
        <v>550045.26071863447</v>
      </c>
      <c r="F86" s="237">
        <v>0</v>
      </c>
      <c r="G86" s="6">
        <f>(D86+E86+F86)*('28-FFU'!$D$22+'28-FFU'!$E$22)</f>
        <v>42836.6184146999</v>
      </c>
      <c r="H86" s="6">
        <f t="shared" si="6"/>
        <v>2559611.797855603</v>
      </c>
      <c r="I86" s="234" t="s">
        <v>165</v>
      </c>
    </row>
    <row r="87" spans="1:9">
      <c r="A87" s="2">
        <f t="shared" si="5"/>
        <v>49</v>
      </c>
      <c r="C87" s="233" t="s">
        <v>2248</v>
      </c>
      <c r="D87" s="237">
        <f t="shared" si="3"/>
        <v>16882984.623506036</v>
      </c>
      <c r="E87" s="237">
        <f t="shared" si="4"/>
        <v>4721749.3314883839</v>
      </c>
      <c r="F87" s="237">
        <v>0</v>
      </c>
      <c r="G87" s="6">
        <f>(D87+E87+F87)*('28-FFU'!$D$22+'28-FFU'!$E$22)</f>
        <v>367722.05636055197</v>
      </c>
      <c r="H87" s="6">
        <f t="shared" si="6"/>
        <v>21972456.011354968</v>
      </c>
      <c r="I87" s="234" t="s">
        <v>165</v>
      </c>
    </row>
    <row r="88" spans="1:9">
      <c r="A88" s="2">
        <f t="shared" si="5"/>
        <v>50</v>
      </c>
      <c r="C88" s="233" t="s">
        <v>2249</v>
      </c>
      <c r="D88" s="237">
        <f t="shared" si="3"/>
        <v>2419181.4215631164</v>
      </c>
      <c r="E88" s="237">
        <f t="shared" ref="E88" si="7">$D$35*(D19/$D$21)</f>
        <v>676584.65104036988</v>
      </c>
      <c r="F88" s="237">
        <v>0</v>
      </c>
      <c r="G88" s="6">
        <f>(D88+E88+F88)*('28-FFU'!$D$22+'28-FFU'!$E$22)</f>
        <v>52691.297592480725</v>
      </c>
      <c r="H88" s="6">
        <f t="shared" ref="H88" si="8">SUM(D88:G88)</f>
        <v>3148457.3701959671</v>
      </c>
      <c r="I88" s="234" t="s">
        <v>165</v>
      </c>
    </row>
    <row r="89" spans="1:9">
      <c r="A89" s="2">
        <f t="shared" si="5"/>
        <v>51</v>
      </c>
      <c r="C89" s="801"/>
      <c r="D89" s="335" t="s">
        <v>373</v>
      </c>
      <c r="E89" s="335" t="s">
        <v>373</v>
      </c>
      <c r="F89" s="335" t="s">
        <v>373</v>
      </c>
      <c r="G89" s="335" t="s">
        <v>373</v>
      </c>
      <c r="H89" s="335" t="s">
        <v>373</v>
      </c>
      <c r="I89" s="234" t="s">
        <v>165</v>
      </c>
    </row>
    <row r="90" spans="1:9">
      <c r="A90" s="2">
        <f t="shared" si="5"/>
        <v>52</v>
      </c>
      <c r="C90" s="233" t="s">
        <v>424</v>
      </c>
      <c r="D90" s="263">
        <f>SUM(D78:D89)</f>
        <v>22276195.432590853</v>
      </c>
      <c r="E90" s="263">
        <f>SUM(E78:E89)</f>
        <v>6230095.758394259</v>
      </c>
      <c r="F90" s="263">
        <f>SUM(F78:F89)</f>
        <v>5062.2458304636166</v>
      </c>
      <c r="G90" s="263">
        <f>SUM(G78:G89)</f>
        <v>485275.75193697977</v>
      </c>
      <c r="H90" s="263">
        <f>SUM(H78:H89)</f>
        <v>28996629.188752554</v>
      </c>
      <c r="I90" s="234" t="str">
        <f>"Sum L "&amp;A78&amp;" to L "&amp;A89&amp;""</f>
        <v>Sum L 40 to L 51</v>
      </c>
    </row>
    <row r="91" spans="1:9">
      <c r="A91" s="2"/>
      <c r="C91" s="233"/>
      <c r="D91" s="233"/>
      <c r="E91" s="6"/>
      <c r="F91" s="234"/>
    </row>
    <row r="92" spans="1:9" ht="15">
      <c r="A92" s="2"/>
      <c r="C92" s="188" t="s">
        <v>2276</v>
      </c>
      <c r="D92" s="233"/>
      <c r="E92" s="6"/>
      <c r="F92" s="234"/>
    </row>
    <row r="93" spans="1:9" ht="15">
      <c r="A93" s="2"/>
      <c r="C93" s="188"/>
      <c r="D93" s="48" t="s">
        <v>329</v>
      </c>
      <c r="E93" s="48" t="s">
        <v>330</v>
      </c>
      <c r="F93" s="48" t="s">
        <v>331</v>
      </c>
      <c r="G93" s="48" t="s">
        <v>332</v>
      </c>
      <c r="H93" s="48" t="s">
        <v>333</v>
      </c>
    </row>
    <row r="94" spans="1:9" ht="15">
      <c r="A94" s="2"/>
      <c r="C94" s="188"/>
      <c r="D94" s="2" t="s">
        <v>2270</v>
      </c>
      <c r="E94" s="232" t="s">
        <v>2271</v>
      </c>
      <c r="F94" s="2"/>
      <c r="H94" s="241" t="s">
        <v>2272</v>
      </c>
    </row>
    <row r="95" spans="1:9" ht="15">
      <c r="A95" s="2"/>
      <c r="C95" s="3" t="s">
        <v>1065</v>
      </c>
      <c r="D95" s="3" t="s">
        <v>2273</v>
      </c>
      <c r="E95" s="204" t="s">
        <v>2274</v>
      </c>
      <c r="F95" s="3" t="s">
        <v>1262</v>
      </c>
      <c r="G95" s="3" t="s">
        <v>2275</v>
      </c>
      <c r="H95" s="3" t="s">
        <v>244</v>
      </c>
      <c r="I95" s="3" t="s">
        <v>644</v>
      </c>
    </row>
    <row r="96" spans="1:9">
      <c r="A96" s="2">
        <f>A90+1</f>
        <v>53</v>
      </c>
      <c r="C96" s="233" t="s">
        <v>2239</v>
      </c>
      <c r="D96" s="263">
        <f t="shared" ref="D96:D104" si="9">$E$27*(E9/$E$21)</f>
        <v>41265.9391737798</v>
      </c>
      <c r="E96" s="263">
        <f t="shared" ref="E96:E106" si="10">$E$35*(E9/$E$21)</f>
        <v>11541.053021854361</v>
      </c>
      <c r="F96" s="924">
        <f>E49</f>
        <v>4744.6783956368054</v>
      </c>
      <c r="G96" s="6">
        <f>(D96+E96+F96)*('28-FFU'!$D$22+'28-FFU'!$E$22)</f>
        <v>979.5546985624859</v>
      </c>
      <c r="H96" s="491">
        <f>SUM(D96:G96)</f>
        <v>58531.225289833441</v>
      </c>
      <c r="I96" s="234" t="s">
        <v>183</v>
      </c>
    </row>
    <row r="97" spans="1:9">
      <c r="A97" s="2">
        <f t="shared" ref="A97:A108" si="11">A96+1</f>
        <v>54</v>
      </c>
      <c r="C97" s="233" t="s">
        <v>2240</v>
      </c>
      <c r="D97" s="263">
        <f t="shared" si="9"/>
        <v>0</v>
      </c>
      <c r="E97" s="263">
        <f t="shared" si="10"/>
        <v>0</v>
      </c>
      <c r="F97" s="924">
        <f>E56</f>
        <v>0</v>
      </c>
      <c r="G97" s="6">
        <f>(D97+E97+F97)*('28-FFU'!$D$22+'28-FFU'!$E$22)</f>
        <v>0</v>
      </c>
      <c r="H97" s="491">
        <f t="shared" ref="H97:H104" si="12">SUM(D97:G97)</f>
        <v>0</v>
      </c>
      <c r="I97" s="234" t="s">
        <v>183</v>
      </c>
    </row>
    <row r="98" spans="1:9">
      <c r="A98" s="2">
        <f t="shared" si="11"/>
        <v>55</v>
      </c>
      <c r="C98" s="233" t="s">
        <v>2241</v>
      </c>
      <c r="D98" s="263">
        <f t="shared" si="9"/>
        <v>460382.0862360844</v>
      </c>
      <c r="E98" s="263">
        <f t="shared" si="10"/>
        <v>128757.37651788673</v>
      </c>
      <c r="F98" s="924">
        <v>0</v>
      </c>
      <c r="G98" s="6">
        <f>(D98+E98+F98)*('28-FFU'!$D$22+'28-FFU'!$E$22)</f>
        <v>10027.412287433421</v>
      </c>
      <c r="H98" s="491">
        <f t="shared" si="12"/>
        <v>599166.87504140451</v>
      </c>
      <c r="I98" s="234" t="s">
        <v>183</v>
      </c>
    </row>
    <row r="99" spans="1:9">
      <c r="A99" s="2">
        <f t="shared" si="11"/>
        <v>56</v>
      </c>
      <c r="C99" s="233" t="s">
        <v>2242</v>
      </c>
      <c r="D99" s="263">
        <f t="shared" si="9"/>
        <v>111814.87766106849</v>
      </c>
      <c r="E99" s="263">
        <f t="shared" si="10"/>
        <v>31271.829929379237</v>
      </c>
      <c r="F99" s="924">
        <v>0</v>
      </c>
      <c r="G99" s="6">
        <f>(D99+E99+F99)*('28-FFU'!$D$22+'28-FFU'!$E$22)</f>
        <v>2435.3985780443754</v>
      </c>
      <c r="H99" s="491">
        <f t="shared" si="12"/>
        <v>145522.10616849212</v>
      </c>
      <c r="I99" s="234" t="s">
        <v>183</v>
      </c>
    </row>
    <row r="100" spans="1:9">
      <c r="A100" s="2">
        <f t="shared" si="11"/>
        <v>57</v>
      </c>
      <c r="C100" s="233" t="s">
        <v>2243</v>
      </c>
      <c r="D100" s="263">
        <f t="shared" si="9"/>
        <v>0</v>
      </c>
      <c r="E100" s="263">
        <f t="shared" si="10"/>
        <v>0</v>
      </c>
      <c r="F100" s="924">
        <v>0</v>
      </c>
      <c r="G100" s="6">
        <f>(D100+E100+F100)*('28-FFU'!$D$22+'28-FFU'!$E$22)</f>
        <v>0</v>
      </c>
      <c r="H100" s="491">
        <f t="shared" si="12"/>
        <v>0</v>
      </c>
      <c r="I100" s="234" t="s">
        <v>183</v>
      </c>
    </row>
    <row r="101" spans="1:9">
      <c r="A101" s="2">
        <f t="shared" si="11"/>
        <v>58</v>
      </c>
      <c r="C101" s="233" t="s">
        <v>2244</v>
      </c>
      <c r="D101" s="263">
        <f t="shared" si="9"/>
        <v>0</v>
      </c>
      <c r="E101" s="263">
        <f t="shared" si="10"/>
        <v>0</v>
      </c>
      <c r="F101" s="924">
        <v>0</v>
      </c>
      <c r="G101" s="6">
        <f>(D101+E101+F101)*('28-FFU'!$D$22+'28-FFU'!$E$22)</f>
        <v>0</v>
      </c>
      <c r="H101" s="491">
        <f t="shared" si="12"/>
        <v>0</v>
      </c>
      <c r="I101" s="234" t="s">
        <v>183</v>
      </c>
    </row>
    <row r="102" spans="1:9">
      <c r="A102" s="2">
        <f t="shared" si="11"/>
        <v>59</v>
      </c>
      <c r="C102" s="233" t="s">
        <v>2245</v>
      </c>
      <c r="D102" s="263">
        <f t="shared" si="9"/>
        <v>8.4503088286423153E-2</v>
      </c>
      <c r="E102" s="263">
        <f t="shared" si="10"/>
        <v>2.3633404254221418E-2</v>
      </c>
      <c r="F102" s="924">
        <v>0</v>
      </c>
      <c r="G102" s="6">
        <f>(D102+E102+F102)*('28-FFU'!$D$22+'28-FFU'!$E$22)</f>
        <v>1.8405305748035344E-3</v>
      </c>
      <c r="H102" s="491">
        <f t="shared" si="12"/>
        <v>0.1099770231154481</v>
      </c>
      <c r="I102" s="234" t="s">
        <v>183</v>
      </c>
    </row>
    <row r="103" spans="1:9">
      <c r="A103" s="2">
        <f t="shared" si="11"/>
        <v>60</v>
      </c>
      <c r="C103" s="233" t="s">
        <v>2246</v>
      </c>
      <c r="D103" s="263">
        <f t="shared" si="9"/>
        <v>85.544759841442144</v>
      </c>
      <c r="E103" s="263">
        <f t="shared" si="10"/>
        <v>23.924733783817352</v>
      </c>
      <c r="F103" s="924">
        <v>0</v>
      </c>
      <c r="G103" s="6">
        <f>(D103+E103+F103)*('28-FFU'!$D$22+'28-FFU'!$E$22)</f>
        <v>1.8632188384492032</v>
      </c>
      <c r="H103" s="491">
        <f t="shared" si="12"/>
        <v>111.3327124637087</v>
      </c>
      <c r="I103" s="234" t="s">
        <v>183</v>
      </c>
    </row>
    <row r="104" spans="1:9">
      <c r="A104" s="2">
        <f t="shared" si="11"/>
        <v>61</v>
      </c>
      <c r="C104" s="233" t="s">
        <v>2247</v>
      </c>
      <c r="D104" s="263">
        <f t="shared" si="9"/>
        <v>1933255.3747188381</v>
      </c>
      <c r="E104" s="263">
        <f t="shared" si="10"/>
        <v>540683.26642113249</v>
      </c>
      <c r="F104" s="924">
        <v>0</v>
      </c>
      <c r="G104" s="6">
        <f>(D104+E104+F104)*('28-FFU'!$D$22+'28-FFU'!$E$22)</f>
        <v>42107.521727640487</v>
      </c>
      <c r="H104" s="491">
        <f t="shared" si="12"/>
        <v>2516046.1628676113</v>
      </c>
      <c r="I104" s="234" t="s">
        <v>183</v>
      </c>
    </row>
    <row r="105" spans="1:9">
      <c r="A105" s="2">
        <f t="shared" si="11"/>
        <v>62</v>
      </c>
      <c r="C105" s="233" t="s">
        <v>2248</v>
      </c>
      <c r="D105" s="263">
        <f t="shared" ref="D105" si="13">$E$27*(E18/$E$21)</f>
        <v>16181335.245346043</v>
      </c>
      <c r="E105" s="263">
        <f t="shared" si="10"/>
        <v>4525515.5164286038</v>
      </c>
      <c r="F105" s="924">
        <v>0</v>
      </c>
      <c r="G105" s="6">
        <f>(D105+E105+F105)*('28-FFU'!$D$22+'28-FFU'!$E$22)</f>
        <v>352439.69024254545</v>
      </c>
      <c r="H105" s="491">
        <f t="shared" ref="H105" si="14">SUM(D105:G105)</f>
        <v>21059290.452017192</v>
      </c>
      <c r="I105" s="234" t="s">
        <v>183</v>
      </c>
    </row>
    <row r="106" spans="1:9">
      <c r="A106" s="2">
        <f t="shared" si="11"/>
        <v>63</v>
      </c>
      <c r="C106" s="233" t="s">
        <v>2249</v>
      </c>
      <c r="D106" s="263">
        <f>$E$27*(E19/$E$21)</f>
        <v>2519859.0938508217</v>
      </c>
      <c r="E106" s="263">
        <f t="shared" si="10"/>
        <v>704741.68265659362</v>
      </c>
      <c r="F106" s="924">
        <v>0</v>
      </c>
      <c r="G106" s="6">
        <f>(D106+E106+F106)*('28-FFU'!$D$22+'28-FFU'!$E$22)</f>
        <v>54884.120811171815</v>
      </c>
      <c r="H106" s="491">
        <f t="shared" ref="H106" si="15">SUM(D106:G106)</f>
        <v>3279484.8973185872</v>
      </c>
      <c r="I106" s="234" t="s">
        <v>183</v>
      </c>
    </row>
    <row r="107" spans="1:9">
      <c r="A107" s="2">
        <f t="shared" si="11"/>
        <v>64</v>
      </c>
      <c r="C107" s="801"/>
      <c r="D107" s="335" t="s">
        <v>373</v>
      </c>
      <c r="E107" s="335" t="s">
        <v>373</v>
      </c>
      <c r="F107" s="335" t="s">
        <v>373</v>
      </c>
      <c r="G107" s="335" t="s">
        <v>373</v>
      </c>
      <c r="H107" s="335" t="s">
        <v>373</v>
      </c>
      <c r="I107" s="234" t="s">
        <v>183</v>
      </c>
    </row>
    <row r="108" spans="1:9">
      <c r="A108" s="2">
        <f t="shared" si="11"/>
        <v>65</v>
      </c>
      <c r="C108" s="233" t="s">
        <v>424</v>
      </c>
      <c r="D108" s="6">
        <f>SUM(D96:D107)</f>
        <v>21247998.246249564</v>
      </c>
      <c r="E108" s="6">
        <f>SUM(E96:E107)</f>
        <v>5942534.6733426386</v>
      </c>
      <c r="F108" s="6">
        <f>SUM(F96:F107)</f>
        <v>4744.6783956368054</v>
      </c>
      <c r="G108" s="263">
        <f>SUM(G96:G107)</f>
        <v>462875.56340476708</v>
      </c>
      <c r="H108" s="6">
        <f>SUM(H96:H107)</f>
        <v>27658153.161392607</v>
      </c>
      <c r="I108" s="234" t="str">
        <f>"Sum of L "&amp;A96&amp;" to "&amp;A107&amp;""</f>
        <v>Sum of L 53 to 64</v>
      </c>
    </row>
    <row r="109" spans="1:9">
      <c r="C109" s="233"/>
    </row>
    <row r="110" spans="1:9">
      <c r="B110" s="1" t="s">
        <v>2277</v>
      </c>
    </row>
    <row r="111" spans="1:9">
      <c r="B111" s="1"/>
    </row>
    <row r="112" spans="1:9" ht="15">
      <c r="B112" s="1"/>
      <c r="C112" s="188" t="s">
        <v>2278</v>
      </c>
    </row>
    <row r="113" spans="1:6">
      <c r="E113" s="3" t="s">
        <v>102</v>
      </c>
      <c r="F113" s="3" t="s">
        <v>644</v>
      </c>
    </row>
    <row r="114" spans="1:6">
      <c r="A114" s="2">
        <f>A108+1</f>
        <v>66</v>
      </c>
      <c r="D114" s="233" t="s">
        <v>314</v>
      </c>
      <c r="E114" s="6">
        <f>F21</f>
        <v>-184084505.97911537</v>
      </c>
      <c r="F114" s="12" t="str">
        <f>"Line "&amp;A21&amp;", Col 3"</f>
        <v>Line 13, Col 3</v>
      </c>
    </row>
    <row r="115" spans="1:6">
      <c r="A115" s="2">
        <f>A114+1</f>
        <v>67</v>
      </c>
      <c r="D115" s="233" t="s">
        <v>292</v>
      </c>
      <c r="E115" s="192">
        <f>'2-IFPTRR'!D25</f>
        <v>9.1760731268170984E-2</v>
      </c>
      <c r="F115" s="234" t="str">
        <f>"2-IFPTRR, Line "&amp;'2-IFPTRR'!A25&amp;""</f>
        <v>2-IFPTRR, Line 16</v>
      </c>
    </row>
    <row r="116" spans="1:6">
      <c r="A116" s="2">
        <f>A115+1</f>
        <v>68</v>
      </c>
      <c r="D116" s="233" t="s">
        <v>2279</v>
      </c>
      <c r="E116" s="6">
        <f>E114*E115</f>
        <v>-16891728.88378362</v>
      </c>
      <c r="F116" s="12" t="str">
        <f>"Line "&amp;A114&amp;" * Line "&amp;A115&amp;""</f>
        <v>Line 66 * Line 67</v>
      </c>
    </row>
    <row r="117" spans="1:6">
      <c r="A117" s="2">
        <f>A116+1</f>
        <v>69</v>
      </c>
      <c r="D117" s="233" t="s">
        <v>2267</v>
      </c>
      <c r="E117" s="53">
        <f>E116*('28-FFU'!D22+'28-FFU'!E22)</f>
        <v>-287504.64104622428</v>
      </c>
      <c r="F117" s="234" t="str">
        <f>"Line "&amp;A116&amp;" * (28-FFU, L"&amp;'28-FFU'!A22&amp;" FF Factor + U Factor)"</f>
        <v>Line 68 * (28-FFU, L5 FF Factor + U Factor)</v>
      </c>
    </row>
    <row r="118" spans="1:6">
      <c r="A118" s="2">
        <f>A117+1</f>
        <v>70</v>
      </c>
      <c r="D118" s="233" t="s">
        <v>2280</v>
      </c>
      <c r="E118" s="6">
        <f>SUM(E116:E117)</f>
        <v>-17179233.524829846</v>
      </c>
      <c r="F118" s="12" t="str">
        <f>"Line "&amp;A116&amp;" + Line "&amp;A117&amp;""</f>
        <v>Line 68 + Line 69</v>
      </c>
    </row>
    <row r="119" spans="1:6">
      <c r="A119" s="2"/>
      <c r="D119" s="233"/>
      <c r="E119" s="6"/>
    </row>
    <row r="120" spans="1:6" ht="15">
      <c r="A120" s="2"/>
      <c r="C120" s="188" t="s">
        <v>2281</v>
      </c>
      <c r="D120" s="233"/>
      <c r="E120" s="6"/>
      <c r="F120" s="12"/>
    </row>
    <row r="121" spans="1:6">
      <c r="A121" s="2"/>
      <c r="D121" s="2" t="s">
        <v>79</v>
      </c>
      <c r="E121" s="2" t="s">
        <v>79</v>
      </c>
    </row>
    <row r="122" spans="1:6">
      <c r="A122" s="2"/>
      <c r="C122" s="3" t="s">
        <v>1065</v>
      </c>
      <c r="D122" s="3" t="s">
        <v>2282</v>
      </c>
      <c r="E122" s="3" t="s">
        <v>2283</v>
      </c>
      <c r="F122" s="3" t="s">
        <v>644</v>
      </c>
    </row>
    <row r="123" spans="1:6">
      <c r="A123" s="2">
        <f>A118+1</f>
        <v>71</v>
      </c>
      <c r="C123" s="233" t="s">
        <v>2239</v>
      </c>
      <c r="D123" s="263">
        <f t="shared" ref="D123:D131" si="16">$E$116*(F9/$F$21)</f>
        <v>-39005.606896471341</v>
      </c>
      <c r="E123" s="263">
        <f t="shared" ref="E123:E131" si="17">$E$118*(F9/$F$21)</f>
        <v>-39669.499449253555</v>
      </c>
      <c r="F123" s="234" t="s">
        <v>220</v>
      </c>
    </row>
    <row r="124" spans="1:6">
      <c r="A124" s="2">
        <f t="shared" ref="A124:A135" si="18">A123+1</f>
        <v>72</v>
      </c>
      <c r="C124" s="233" t="s">
        <v>2240</v>
      </c>
      <c r="D124" s="263">
        <f t="shared" si="16"/>
        <v>0</v>
      </c>
      <c r="E124" s="263">
        <f t="shared" si="17"/>
        <v>0</v>
      </c>
      <c r="F124" s="234" t="s">
        <v>220</v>
      </c>
    </row>
    <row r="125" spans="1:6">
      <c r="A125" s="2">
        <f t="shared" si="18"/>
        <v>73</v>
      </c>
      <c r="C125" s="233" t="s">
        <v>2241</v>
      </c>
      <c r="D125" s="263">
        <f t="shared" si="16"/>
        <v>235589.32486501813</v>
      </c>
      <c r="E125" s="263">
        <f t="shared" si="17"/>
        <v>239599.15859758915</v>
      </c>
      <c r="F125" s="234" t="s">
        <v>220</v>
      </c>
    </row>
    <row r="126" spans="1:6">
      <c r="A126" s="2">
        <f t="shared" si="18"/>
        <v>74</v>
      </c>
      <c r="C126" s="233" t="s">
        <v>2242</v>
      </c>
      <c r="D126" s="263">
        <f t="shared" si="16"/>
        <v>-629377.29613540112</v>
      </c>
      <c r="E126" s="263">
        <f t="shared" si="17"/>
        <v>-640089.57401133643</v>
      </c>
      <c r="F126" s="234" t="s">
        <v>220</v>
      </c>
    </row>
    <row r="127" spans="1:6">
      <c r="A127" s="2">
        <f t="shared" si="18"/>
        <v>75</v>
      </c>
      <c r="C127" s="233" t="s">
        <v>2243</v>
      </c>
      <c r="D127" s="263">
        <f t="shared" si="16"/>
        <v>0</v>
      </c>
      <c r="E127" s="263">
        <f t="shared" si="17"/>
        <v>0</v>
      </c>
      <c r="F127" s="234" t="s">
        <v>220</v>
      </c>
    </row>
    <row r="128" spans="1:6">
      <c r="A128" s="2">
        <f t="shared" si="18"/>
        <v>76</v>
      </c>
      <c r="C128" s="233" t="s">
        <v>2244</v>
      </c>
      <c r="D128" s="263">
        <f t="shared" si="16"/>
        <v>0</v>
      </c>
      <c r="E128" s="263">
        <f t="shared" si="17"/>
        <v>0</v>
      </c>
      <c r="F128" s="234" t="s">
        <v>220</v>
      </c>
    </row>
    <row r="129" spans="1:8">
      <c r="A129" s="2">
        <f t="shared" si="18"/>
        <v>77</v>
      </c>
      <c r="C129" s="233" t="s">
        <v>2245</v>
      </c>
      <c r="D129" s="263">
        <f t="shared" si="16"/>
        <v>0</v>
      </c>
      <c r="E129" s="263">
        <f t="shared" si="17"/>
        <v>0</v>
      </c>
      <c r="F129" s="234" t="s">
        <v>220</v>
      </c>
    </row>
    <row r="130" spans="1:8">
      <c r="A130" s="2">
        <f t="shared" si="18"/>
        <v>78</v>
      </c>
      <c r="C130" s="233" t="s">
        <v>2246</v>
      </c>
      <c r="D130" s="263">
        <f t="shared" si="16"/>
        <v>262465.69012757594</v>
      </c>
      <c r="E130" s="263">
        <f t="shared" si="17"/>
        <v>266932.97139560065</v>
      </c>
      <c r="F130" s="234" t="s">
        <v>220</v>
      </c>
    </row>
    <row r="131" spans="1:8">
      <c r="A131" s="2">
        <f t="shared" si="18"/>
        <v>79</v>
      </c>
      <c r="C131" s="233" t="s">
        <v>2247</v>
      </c>
      <c r="D131" s="263">
        <f t="shared" si="16"/>
        <v>163018.58591213767</v>
      </c>
      <c r="E131" s="263">
        <f t="shared" si="17"/>
        <v>165793.2338092826</v>
      </c>
      <c r="F131" s="234" t="s">
        <v>220</v>
      </c>
    </row>
    <row r="132" spans="1:8">
      <c r="A132" s="2">
        <f t="shared" si="18"/>
        <v>80</v>
      </c>
      <c r="C132" s="233" t="s">
        <v>2248</v>
      </c>
      <c r="D132" s="263">
        <f t="shared" ref="D132" si="19">$E$116*(F18/$F$21)</f>
        <v>-20681930.426210228</v>
      </c>
      <c r="E132" s="263">
        <f t="shared" ref="E132" si="20">$E$118*(F18/$F$21)</f>
        <v>-21033945.961401481</v>
      </c>
      <c r="F132" s="234" t="s">
        <v>220</v>
      </c>
    </row>
    <row r="133" spans="1:8">
      <c r="A133" s="2">
        <f t="shared" si="18"/>
        <v>81</v>
      </c>
      <c r="C133" s="233" t="s">
        <v>2249</v>
      </c>
      <c r="D133" s="263">
        <f t="shared" ref="D133" si="21">$E$116*(F19/$F$21)</f>
        <v>3797510.8445537505</v>
      </c>
      <c r="E133" s="263">
        <f t="shared" ref="E133" si="22">$E$118*(F19/$F$21)</f>
        <v>3862146.1462297514</v>
      </c>
      <c r="F133" s="234" t="s">
        <v>220</v>
      </c>
    </row>
    <row r="134" spans="1:8">
      <c r="A134" s="2">
        <f t="shared" si="18"/>
        <v>82</v>
      </c>
      <c r="C134" s="801"/>
      <c r="D134" s="1014" t="s">
        <v>373</v>
      </c>
      <c r="E134" s="1014" t="s">
        <v>373</v>
      </c>
      <c r="F134" s="234" t="s">
        <v>220</v>
      </c>
    </row>
    <row r="135" spans="1:8">
      <c r="A135" s="2">
        <f t="shared" si="18"/>
        <v>83</v>
      </c>
      <c r="C135" s="233" t="s">
        <v>424</v>
      </c>
      <c r="D135" s="6">
        <f>SUM(D123:D134)</f>
        <v>-16891728.88378362</v>
      </c>
      <c r="E135" s="6">
        <f>SUM(E123:E134)</f>
        <v>-17179233.524829846</v>
      </c>
      <c r="F135" s="234" t="str">
        <f>"Sum of Lines "&amp;A123&amp;" to "&amp;A134&amp;""</f>
        <v>Sum of Lines 71 to 82</v>
      </c>
    </row>
    <row r="137" spans="1:8">
      <c r="B137" s="1" t="s">
        <v>2284</v>
      </c>
    </row>
    <row r="138" spans="1:8">
      <c r="B138" s="1"/>
    </row>
    <row r="139" spans="1:8" ht="15">
      <c r="C139" s="188" t="s">
        <v>2278</v>
      </c>
    </row>
    <row r="140" spans="1:8">
      <c r="E140" s="3" t="s">
        <v>102</v>
      </c>
      <c r="F140" s="3" t="s">
        <v>644</v>
      </c>
      <c r="H140" s="1"/>
    </row>
    <row r="141" spans="1:8">
      <c r="A141" s="2">
        <f>A135+1</f>
        <v>84</v>
      </c>
      <c r="D141" s="233" t="s">
        <v>2285</v>
      </c>
      <c r="E141" s="6">
        <f>SUM(D65:D68)</f>
        <v>28511353.436815582</v>
      </c>
      <c r="F141" s="12" t="str">
        <f>"Sum Line "&amp;A65&amp;" to "&amp;A68&amp;""</f>
        <v>Sum Line 34 to 37</v>
      </c>
    </row>
    <row r="142" spans="1:8">
      <c r="A142" s="2">
        <f t="shared" ref="A142:A149" si="23">A141+1</f>
        <v>85</v>
      </c>
      <c r="D142" s="233" t="s">
        <v>2286</v>
      </c>
      <c r="E142" s="6">
        <f>E116</f>
        <v>-16891728.88378362</v>
      </c>
      <c r="F142" s="12" t="str">
        <f>"Line "&amp;A116&amp;""</f>
        <v>Line 68</v>
      </c>
    </row>
    <row r="143" spans="1:8">
      <c r="A143" s="2">
        <f t="shared" si="23"/>
        <v>86</v>
      </c>
      <c r="D143" s="233" t="s">
        <v>2287</v>
      </c>
      <c r="E143" s="6">
        <f>SUM(E141:E142)</f>
        <v>11619624.553031962</v>
      </c>
      <c r="F143" s="12" t="str">
        <f>"Line "&amp;A141&amp;" + Line "&amp;A142&amp;""</f>
        <v>Line 84 + Line 85</v>
      </c>
    </row>
    <row r="144" spans="1:8">
      <c r="A144" s="2">
        <f t="shared" si="23"/>
        <v>87</v>
      </c>
      <c r="D144" s="233" t="s">
        <v>2288</v>
      </c>
      <c r="E144" s="7">
        <f>'28-FFU'!D22</f>
        <v>9.3645816374923023E-3</v>
      </c>
      <c r="F144" s="234" t="str">
        <f>"28-FFU, Line "&amp;'28-FFU'!A22&amp;""</f>
        <v>28-FFU, Line 5</v>
      </c>
    </row>
    <row r="145" spans="1:8">
      <c r="A145" s="2">
        <f t="shared" si="23"/>
        <v>88</v>
      </c>
      <c r="D145" s="233" t="s">
        <v>2289</v>
      </c>
      <c r="E145" s="7">
        <f>'28-FFU'!E22</f>
        <v>7.6558573610423109E-3</v>
      </c>
      <c r="F145" s="234" t="str">
        <f>"28-FFU, Line "&amp;'28-FFU'!A22&amp;""</f>
        <v>28-FFU, Line 5</v>
      </c>
    </row>
    <row r="146" spans="1:8">
      <c r="A146" s="2">
        <f t="shared" si="23"/>
        <v>89</v>
      </c>
      <c r="D146" s="233" t="s">
        <v>2290</v>
      </c>
      <c r="E146" s="6">
        <f>E143*E144</f>
        <v>108812.92272387781</v>
      </c>
      <c r="F146" s="12" t="str">
        <f>"Line "&amp;A143&amp;" * Line "&amp;A144&amp;""</f>
        <v>Line 86 * Line 87</v>
      </c>
    </row>
    <row r="147" spans="1:8">
      <c r="A147" s="2">
        <f t="shared" si="23"/>
        <v>90</v>
      </c>
      <c r="D147" s="233" t="s">
        <v>2291</v>
      </c>
      <c r="E147" s="6">
        <f>E143*E145</f>
        <v>88958.188166877721</v>
      </c>
      <c r="F147" s="12" t="str">
        <f>"Line "&amp;A143&amp;" * Line "&amp;A145&amp;""</f>
        <v>Line 86 * Line 88</v>
      </c>
    </row>
    <row r="148" spans="1:8">
      <c r="A148" s="2">
        <f t="shared" si="23"/>
        <v>91</v>
      </c>
      <c r="D148" s="233" t="s">
        <v>2292</v>
      </c>
      <c r="E148" s="6">
        <f>E143+E146+E147</f>
        <v>11817395.663922718</v>
      </c>
      <c r="F148" s="234" t="str">
        <f>"Line "&amp;A143&amp;" + Line "&amp;A146&amp;" + Line "&amp;A147&amp;""</f>
        <v>Line 86 + Line 89 + Line 90</v>
      </c>
    </row>
    <row r="149" spans="1:8">
      <c r="A149" s="2">
        <f t="shared" si="23"/>
        <v>92</v>
      </c>
      <c r="D149" s="233" t="s">
        <v>2293</v>
      </c>
      <c r="E149" s="6">
        <f>E143+E146</f>
        <v>11728437.475755841</v>
      </c>
      <c r="F149" s="234" t="str">
        <f>"Line "&amp;A143&amp;" + Line "&amp;A146&amp;""</f>
        <v>Line 86 + Line 89</v>
      </c>
    </row>
    <row r="151" spans="1:8" ht="15">
      <c r="C151" s="188" t="s">
        <v>2294</v>
      </c>
    </row>
    <row r="152" spans="1:8" ht="15">
      <c r="C152" s="188"/>
      <c r="D152" s="48" t="s">
        <v>329</v>
      </c>
      <c r="E152" s="48" t="s">
        <v>330</v>
      </c>
      <c r="F152" s="48" t="s">
        <v>331</v>
      </c>
      <c r="G152" s="48" t="s">
        <v>332</v>
      </c>
    </row>
    <row r="153" spans="1:8" ht="12.75" customHeight="1">
      <c r="D153" s="121" t="s">
        <v>2263</v>
      </c>
      <c r="E153" s="121" t="s">
        <v>8</v>
      </c>
    </row>
    <row r="154" spans="1:8" ht="12.75" customHeight="1">
      <c r="D154" s="3" t="s">
        <v>2282</v>
      </c>
      <c r="E154" s="3" t="s">
        <v>2282</v>
      </c>
      <c r="F154" s="3" t="s">
        <v>2275</v>
      </c>
      <c r="G154" s="122" t="s">
        <v>244</v>
      </c>
      <c r="H154" s="3" t="s">
        <v>644</v>
      </c>
    </row>
    <row r="155" spans="1:8">
      <c r="A155" s="2">
        <f>A149+1</f>
        <v>93</v>
      </c>
      <c r="C155" s="233" t="s">
        <v>2239</v>
      </c>
      <c r="D155" s="6">
        <f t="shared" ref="D155:D163" si="24">D78+E78+F78</f>
        <v>61403.678014255544</v>
      </c>
      <c r="E155" s="6">
        <f t="shared" ref="E155:E163" si="25">D123</f>
        <v>-39005.606896471341</v>
      </c>
      <c r="F155" s="6">
        <f>(D155+E155)*('28-FFU'!$D$22+'28-FFU'!$E$22)</f>
        <v>381.22500314508602</v>
      </c>
      <c r="G155" s="6">
        <f>SUM(D155:F155)</f>
        <v>22779.296120929288</v>
      </c>
      <c r="H155" s="234" t="s">
        <v>211</v>
      </c>
    </row>
    <row r="156" spans="1:8">
      <c r="A156" s="2">
        <f t="shared" ref="A156:A167" si="26">A155+1</f>
        <v>94</v>
      </c>
      <c r="C156" s="233" t="s">
        <v>2240</v>
      </c>
      <c r="D156" s="6">
        <f t="shared" si="24"/>
        <v>0</v>
      </c>
      <c r="E156" s="6">
        <f t="shared" si="25"/>
        <v>0</v>
      </c>
      <c r="F156" s="6">
        <f>(D156+E156)*('28-FFU'!$D$22+'28-FFU'!$E$22)</f>
        <v>0</v>
      </c>
      <c r="G156" s="6">
        <f t="shared" ref="G156:G163" si="27">SUM(D156:F156)</f>
        <v>0</v>
      </c>
      <c r="H156" s="234" t="s">
        <v>211</v>
      </c>
    </row>
    <row r="157" spans="1:8">
      <c r="A157" s="2">
        <f t="shared" si="26"/>
        <v>95</v>
      </c>
      <c r="C157" s="233" t="s">
        <v>2241</v>
      </c>
      <c r="D157" s="6">
        <f t="shared" si="24"/>
        <v>603297.255627112</v>
      </c>
      <c r="E157" s="6">
        <f t="shared" si="25"/>
        <v>235589.32486501813</v>
      </c>
      <c r="F157" s="6">
        <f>(D157+E157)*('28-FFU'!$D$22+'28-FFU'!$E$22)</f>
        <v>14278.217869955599</v>
      </c>
      <c r="G157" s="6">
        <f t="shared" si="27"/>
        <v>853164.79836208571</v>
      </c>
      <c r="H157" s="234" t="s">
        <v>211</v>
      </c>
    </row>
    <row r="158" spans="1:8">
      <c r="A158" s="2">
        <f t="shared" si="26"/>
        <v>96</v>
      </c>
      <c r="C158" s="233" t="s">
        <v>2242</v>
      </c>
      <c r="D158" s="6">
        <f t="shared" si="24"/>
        <v>629377.29613540124</v>
      </c>
      <c r="E158" s="6">
        <f t="shared" si="25"/>
        <v>-629377.29613540112</v>
      </c>
      <c r="F158" s="6">
        <f>(D158+E158)*('28-FFU'!$D$22+'28-FFU'!$E$22)</f>
        <v>1.9814398836501193E-12</v>
      </c>
      <c r="G158" s="6">
        <f t="shared" si="27"/>
        <v>1.1839676171058494E-10</v>
      </c>
      <c r="H158" s="234" t="s">
        <v>211</v>
      </c>
    </row>
    <row r="159" spans="1:8">
      <c r="A159" s="2">
        <f t="shared" si="26"/>
        <v>97</v>
      </c>
      <c r="C159" s="233" t="s">
        <v>2243</v>
      </c>
      <c r="D159" s="6">
        <f t="shared" si="24"/>
        <v>0</v>
      </c>
      <c r="E159" s="6">
        <f t="shared" si="25"/>
        <v>0</v>
      </c>
      <c r="F159" s="6">
        <f>(D159+E159)*('28-FFU'!$D$22+'28-FFU'!$E$22)</f>
        <v>0</v>
      </c>
      <c r="G159" s="6">
        <f t="shared" si="27"/>
        <v>0</v>
      </c>
      <c r="H159" s="234" t="s">
        <v>211</v>
      </c>
    </row>
    <row r="160" spans="1:8">
      <c r="A160" s="2">
        <f t="shared" si="26"/>
        <v>98</v>
      </c>
      <c r="C160" s="233" t="s">
        <v>2244</v>
      </c>
      <c r="D160" s="6">
        <f t="shared" si="24"/>
        <v>0</v>
      </c>
      <c r="E160" s="6">
        <f t="shared" si="25"/>
        <v>0</v>
      </c>
      <c r="F160" s="6">
        <f>(D160+E160)*('28-FFU'!$D$22+'28-FFU'!$E$22)</f>
        <v>0</v>
      </c>
      <c r="G160" s="6">
        <f t="shared" si="27"/>
        <v>0</v>
      </c>
      <c r="H160" s="234" t="s">
        <v>211</v>
      </c>
    </row>
    <row r="161" spans="1:8">
      <c r="A161" s="2">
        <f t="shared" si="26"/>
        <v>99</v>
      </c>
      <c r="C161" s="233" t="s">
        <v>2245</v>
      </c>
      <c r="D161" s="6">
        <f t="shared" si="24"/>
        <v>0</v>
      </c>
      <c r="E161" s="6">
        <f t="shared" si="25"/>
        <v>0</v>
      </c>
      <c r="F161" s="6">
        <f>(D161+E161)*('28-FFU'!$D$22+'28-FFU'!$E$22)</f>
        <v>0</v>
      </c>
      <c r="G161" s="6">
        <f t="shared" si="27"/>
        <v>0</v>
      </c>
      <c r="H161" s="234" t="s">
        <v>211</v>
      </c>
    </row>
    <row r="162" spans="1:8">
      <c r="A162" s="2">
        <f t="shared" si="26"/>
        <v>100</v>
      </c>
      <c r="C162" s="233" t="s">
        <v>2246</v>
      </c>
      <c r="D162" s="6">
        <f t="shared" si="24"/>
        <v>0</v>
      </c>
      <c r="E162" s="6">
        <f t="shared" si="25"/>
        <v>262465.69012757594</v>
      </c>
      <c r="F162" s="6">
        <f>(D162+E162)*('28-FFU'!$D$22+'28-FFU'!$E$22)</f>
        <v>4467.2812680246952</v>
      </c>
      <c r="G162" s="6">
        <f t="shared" si="27"/>
        <v>266932.97139560065</v>
      </c>
      <c r="H162" s="234" t="s">
        <v>211</v>
      </c>
    </row>
    <row r="163" spans="1:8">
      <c r="A163" s="2">
        <f t="shared" si="26"/>
        <v>101</v>
      </c>
      <c r="C163" s="233" t="s">
        <v>2247</v>
      </c>
      <c r="D163" s="6">
        <f t="shared" si="24"/>
        <v>2516775.179440903</v>
      </c>
      <c r="E163" s="6">
        <f t="shared" si="25"/>
        <v>163018.58591213767</v>
      </c>
      <c r="F163" s="6">
        <f>(D163+E163)*('28-FFU'!$D$22+'28-FFU'!$E$22)</f>
        <v>45611.266311844811</v>
      </c>
      <c r="G163" s="6">
        <f t="shared" si="27"/>
        <v>2725405.0316648856</v>
      </c>
      <c r="H163" s="234" t="s">
        <v>211</v>
      </c>
    </row>
    <row r="164" spans="1:8">
      <c r="A164" s="2">
        <f t="shared" si="26"/>
        <v>102</v>
      </c>
      <c r="C164" s="233" t="s">
        <v>2248</v>
      </c>
      <c r="D164" s="6">
        <f t="shared" ref="D164:D165" si="28">D87+E87+F87</f>
        <v>21604733.954994418</v>
      </c>
      <c r="E164" s="6">
        <f t="shared" ref="E164" si="29">D132</f>
        <v>-20681930.426210228</v>
      </c>
      <c r="F164" s="6">
        <f>(D164+E164)*('28-FFU'!$D$22+'28-FFU'!$E$22)</f>
        <v>15706.521169303776</v>
      </c>
      <c r="G164" s="6">
        <f t="shared" ref="G164" si="30">SUM(D164:F164)</f>
        <v>938510.04995349317</v>
      </c>
      <c r="H164" s="234" t="s">
        <v>211</v>
      </c>
    </row>
    <row r="165" spans="1:8">
      <c r="A165" s="2">
        <f t="shared" si="26"/>
        <v>103</v>
      </c>
      <c r="C165" s="233" t="s">
        <v>2249</v>
      </c>
      <c r="D165" s="6">
        <f t="shared" si="28"/>
        <v>3095766.0726034865</v>
      </c>
      <c r="E165" s="6">
        <f t="shared" ref="E165" si="31">D133</f>
        <v>3797510.8445537505</v>
      </c>
      <c r="F165" s="6">
        <f>(D165+E165)*('28-FFU'!$D$22+'28-FFU'!$E$22)</f>
        <v>117326.5992684815</v>
      </c>
      <c r="G165" s="6">
        <f t="shared" ref="G165" si="32">SUM(D165:F165)</f>
        <v>7010603.5164257176</v>
      </c>
      <c r="H165" s="234" t="s">
        <v>211</v>
      </c>
    </row>
    <row r="166" spans="1:8">
      <c r="A166" s="2">
        <f t="shared" si="26"/>
        <v>104</v>
      </c>
      <c r="C166" s="801"/>
      <c r="D166" s="1014" t="s">
        <v>373</v>
      </c>
      <c r="E166" s="1014" t="s">
        <v>373</v>
      </c>
      <c r="F166" s="1014" t="s">
        <v>373</v>
      </c>
      <c r="G166" s="1014" t="s">
        <v>373</v>
      </c>
      <c r="H166" s="234" t="s">
        <v>211</v>
      </c>
    </row>
    <row r="167" spans="1:8">
      <c r="A167" s="2">
        <f t="shared" si="26"/>
        <v>105</v>
      </c>
      <c r="C167" s="233" t="s">
        <v>424</v>
      </c>
      <c r="D167" s="6">
        <f>SUM(D155:D166)</f>
        <v>28511353.436815575</v>
      </c>
      <c r="E167" s="6">
        <f>SUM(E155:E166)</f>
        <v>-16891728.88378362</v>
      </c>
      <c r="F167" s="6">
        <f>SUM(F155:F166)</f>
        <v>197771.11089075546</v>
      </c>
      <c r="G167" s="6">
        <f>SUM(G155:G166)</f>
        <v>11817395.663922712</v>
      </c>
    </row>
    <row r="169" spans="1:8" ht="15">
      <c r="C169" s="188" t="s">
        <v>2295</v>
      </c>
    </row>
    <row r="170" spans="1:8" ht="15">
      <c r="C170" s="188"/>
    </row>
    <row r="171" spans="1:8">
      <c r="D171" s="48" t="s">
        <v>329</v>
      </c>
      <c r="E171" s="48" t="s">
        <v>330</v>
      </c>
      <c r="F171" s="48" t="s">
        <v>331</v>
      </c>
      <c r="G171" s="48" t="s">
        <v>332</v>
      </c>
    </row>
    <row r="172" spans="1:8" ht="12.75" customHeight="1">
      <c r="D172" s="121" t="s">
        <v>2263</v>
      </c>
      <c r="E172" s="121" t="s">
        <v>8</v>
      </c>
      <c r="F172" s="48"/>
      <c r="G172" s="48"/>
    </row>
    <row r="173" spans="1:8" ht="12.75" customHeight="1">
      <c r="D173" s="3" t="s">
        <v>2282</v>
      </c>
      <c r="E173" s="3" t="s">
        <v>2282</v>
      </c>
      <c r="F173" s="3" t="s">
        <v>2296</v>
      </c>
      <c r="G173" s="122" t="s">
        <v>244</v>
      </c>
      <c r="H173" s="3" t="s">
        <v>644</v>
      </c>
    </row>
    <row r="174" spans="1:8">
      <c r="A174" s="2">
        <f>A167+1</f>
        <v>106</v>
      </c>
      <c r="C174" s="233" t="s">
        <v>2239</v>
      </c>
      <c r="D174" s="6">
        <f t="shared" ref="D174:D182" si="33">D78+E78+F78</f>
        <v>61403.678014255544</v>
      </c>
      <c r="E174" s="6">
        <f t="shared" ref="E174:E182" si="34">D123</f>
        <v>-39005.606896471341</v>
      </c>
      <c r="F174" s="6">
        <f>(D174+E174)*('28-FFU'!$D$22)</f>
        <v>209.74856550484861</v>
      </c>
      <c r="G174" s="6">
        <f>SUM(D174:F174)</f>
        <v>22607.81968328905</v>
      </c>
      <c r="H174" s="234" t="s">
        <v>126</v>
      </c>
    </row>
    <row r="175" spans="1:8">
      <c r="A175" s="2">
        <f t="shared" ref="A175:A186" si="35">A174+1</f>
        <v>107</v>
      </c>
      <c r="C175" s="233" t="s">
        <v>2240</v>
      </c>
      <c r="D175" s="6">
        <f t="shared" si="33"/>
        <v>0</v>
      </c>
      <c r="E175" s="6">
        <f t="shared" si="34"/>
        <v>0</v>
      </c>
      <c r="F175" s="6">
        <f>(D175+E175)*('28-FFU'!$D$22)</f>
        <v>0</v>
      </c>
      <c r="G175" s="6">
        <f t="shared" ref="G175:G182" si="36">SUM(D175:F175)</f>
        <v>0</v>
      </c>
      <c r="H175" s="234" t="s">
        <v>126</v>
      </c>
    </row>
    <row r="176" spans="1:8">
      <c r="A176" s="2">
        <f t="shared" si="35"/>
        <v>108</v>
      </c>
      <c r="C176" s="233" t="s">
        <v>2241</v>
      </c>
      <c r="D176" s="6">
        <f t="shared" si="33"/>
        <v>603297.255627112</v>
      </c>
      <c r="E176" s="6">
        <f t="shared" si="34"/>
        <v>235589.32486501813</v>
      </c>
      <c r="F176" s="6">
        <f>(D176+E176)*('28-FFU'!$D$22)</f>
        <v>7855.8218676153101</v>
      </c>
      <c r="G176" s="6">
        <f t="shared" si="36"/>
        <v>846742.40235974547</v>
      </c>
      <c r="H176" s="234" t="s">
        <v>126</v>
      </c>
    </row>
    <row r="177" spans="1:8">
      <c r="A177" s="2">
        <f t="shared" si="35"/>
        <v>109</v>
      </c>
      <c r="C177" s="233" t="s">
        <v>2242</v>
      </c>
      <c r="D177" s="6">
        <f t="shared" si="33"/>
        <v>629377.29613540124</v>
      </c>
      <c r="E177" s="6">
        <f t="shared" si="34"/>
        <v>-629377.29613540112</v>
      </c>
      <c r="F177" s="6">
        <f>(D177+E177)*('28-FFU'!$D$22)</f>
        <v>1.0901807851032706E-12</v>
      </c>
      <c r="G177" s="6">
        <f t="shared" si="36"/>
        <v>1.1750550261203809E-10</v>
      </c>
      <c r="H177" s="234" t="s">
        <v>126</v>
      </c>
    </row>
    <row r="178" spans="1:8">
      <c r="A178" s="2">
        <f t="shared" si="35"/>
        <v>110</v>
      </c>
      <c r="C178" s="233" t="s">
        <v>2243</v>
      </c>
      <c r="D178" s="6">
        <f t="shared" si="33"/>
        <v>0</v>
      </c>
      <c r="E178" s="6">
        <f t="shared" si="34"/>
        <v>0</v>
      </c>
      <c r="F178" s="6">
        <f>(D178+E178)*('28-FFU'!$D$22)</f>
        <v>0</v>
      </c>
      <c r="G178" s="6">
        <f t="shared" si="36"/>
        <v>0</v>
      </c>
      <c r="H178" s="234" t="s">
        <v>126</v>
      </c>
    </row>
    <row r="179" spans="1:8">
      <c r="A179" s="2">
        <f t="shared" si="35"/>
        <v>111</v>
      </c>
      <c r="C179" s="233" t="s">
        <v>2244</v>
      </c>
      <c r="D179" s="6">
        <f t="shared" si="33"/>
        <v>0</v>
      </c>
      <c r="E179" s="6">
        <f t="shared" si="34"/>
        <v>0</v>
      </c>
      <c r="F179" s="6">
        <f>(D179+E179)*('28-FFU'!$D$22)</f>
        <v>0</v>
      </c>
      <c r="G179" s="6">
        <f t="shared" si="36"/>
        <v>0</v>
      </c>
      <c r="H179" s="234" t="s">
        <v>126</v>
      </c>
    </row>
    <row r="180" spans="1:8">
      <c r="A180" s="2">
        <f t="shared" si="35"/>
        <v>112</v>
      </c>
      <c r="C180" s="233" t="s">
        <v>2245</v>
      </c>
      <c r="D180" s="6">
        <f t="shared" si="33"/>
        <v>0</v>
      </c>
      <c r="E180" s="6">
        <f t="shared" si="34"/>
        <v>0</v>
      </c>
      <c r="F180" s="6">
        <f>(D180+E180)*('28-FFU'!$D$22)</f>
        <v>0</v>
      </c>
      <c r="G180" s="6">
        <f t="shared" si="36"/>
        <v>0</v>
      </c>
      <c r="H180" s="234" t="s">
        <v>126</v>
      </c>
    </row>
    <row r="181" spans="1:8">
      <c r="A181" s="2">
        <f t="shared" si="35"/>
        <v>113</v>
      </c>
      <c r="C181" s="233" t="s">
        <v>2246</v>
      </c>
      <c r="D181" s="6">
        <f t="shared" si="33"/>
        <v>0</v>
      </c>
      <c r="E181" s="6">
        <f t="shared" si="34"/>
        <v>262465.69012757594</v>
      </c>
      <c r="F181" s="6">
        <f>(D181+E181)*('28-FFU'!$D$22)</f>
        <v>2457.8813822404422</v>
      </c>
      <c r="G181" s="6">
        <f t="shared" si="36"/>
        <v>264923.57150981639</v>
      </c>
      <c r="H181" s="234" t="s">
        <v>126</v>
      </c>
    </row>
    <row r="182" spans="1:8">
      <c r="A182" s="2">
        <f t="shared" si="35"/>
        <v>114</v>
      </c>
      <c r="C182" s="233" t="s">
        <v>2247</v>
      </c>
      <c r="D182" s="6">
        <f t="shared" si="33"/>
        <v>2516775.179440903</v>
      </c>
      <c r="E182" s="6">
        <f t="shared" si="34"/>
        <v>163018.58591213767</v>
      </c>
      <c r="F182" s="6">
        <f>(D182+E182)*('28-FFU'!$D$22)</f>
        <v>25095.14748729144</v>
      </c>
      <c r="G182" s="6">
        <f t="shared" si="36"/>
        <v>2704888.9128403324</v>
      </c>
      <c r="H182" s="234" t="s">
        <v>126</v>
      </c>
    </row>
    <row r="183" spans="1:8">
      <c r="A183" s="2">
        <f t="shared" si="35"/>
        <v>115</v>
      </c>
      <c r="C183" s="233" t="s">
        <v>2248</v>
      </c>
      <c r="D183" s="6">
        <f t="shared" ref="D183" si="37">D87+E87+F87</f>
        <v>21604733.954994418</v>
      </c>
      <c r="E183" s="6">
        <f t="shared" ref="E183" si="38">D132</f>
        <v>-20681930.426210228</v>
      </c>
      <c r="F183" s="6">
        <f>(D183+E183)*('28-FFU'!$D$22)</f>
        <v>8641.6689806655195</v>
      </c>
      <c r="G183" s="6">
        <f t="shared" ref="G183" si="39">SUM(D183:F183)</f>
        <v>931445.19776485488</v>
      </c>
      <c r="H183" s="234" t="s">
        <v>126</v>
      </c>
    </row>
    <row r="184" spans="1:8">
      <c r="A184" s="2">
        <f t="shared" si="35"/>
        <v>116</v>
      </c>
      <c r="C184" s="233" t="s">
        <v>2249</v>
      </c>
      <c r="D184" s="6">
        <f t="shared" ref="D184" si="40">D88+E88+F88</f>
        <v>3095766.0726034865</v>
      </c>
      <c r="E184" s="6">
        <f t="shared" ref="E184" si="41">D133</f>
        <v>3797510.8445537505</v>
      </c>
      <c r="F184" s="6">
        <f>(D184+E184)*('28-FFU'!$D$22)</f>
        <v>64552.654440560204</v>
      </c>
      <c r="G184" s="6">
        <f t="shared" ref="G184" si="42">SUM(D184:F184)</f>
        <v>6957829.5715977969</v>
      </c>
      <c r="H184" s="234" t="s">
        <v>126</v>
      </c>
    </row>
    <row r="185" spans="1:8">
      <c r="A185" s="2">
        <f t="shared" si="35"/>
        <v>117</v>
      </c>
      <c r="C185" s="801"/>
      <c r="D185" s="1014" t="s">
        <v>373</v>
      </c>
      <c r="E185" s="1014" t="s">
        <v>373</v>
      </c>
      <c r="F185" s="1014" t="s">
        <v>373</v>
      </c>
      <c r="G185" s="1014" t="s">
        <v>373</v>
      </c>
      <c r="H185" s="234" t="s">
        <v>126</v>
      </c>
    </row>
    <row r="186" spans="1:8">
      <c r="A186" s="2">
        <f t="shared" si="35"/>
        <v>118</v>
      </c>
      <c r="C186" s="233" t="s">
        <v>424</v>
      </c>
      <c r="D186" s="6">
        <f>SUM(D174:D185)</f>
        <v>28511353.436815575</v>
      </c>
      <c r="E186" s="6">
        <f>SUM(E174:E185)</f>
        <v>-16891728.88378362</v>
      </c>
      <c r="F186" s="6">
        <f>SUM(F174:F185)</f>
        <v>108812.92272387777</v>
      </c>
      <c r="G186" s="6">
        <f>SUM(G174:G185)</f>
        <v>11728437.475755835</v>
      </c>
    </row>
    <row r="188" spans="1:8">
      <c r="B188" s="1" t="s">
        <v>226</v>
      </c>
    </row>
    <row r="189" spans="1:8">
      <c r="B189" s="278" t="str">
        <f>"1) (Sum Lines "&amp;A65&amp;" to "&amp;A68&amp;") * (FF + U Factors from 28-FFU) for Prior Year TRR"</f>
        <v>1) (Sum Lines 34 to 37) * (FF + U Factors from 28-FFU) for Prior Year TRR</v>
      </c>
    </row>
    <row r="190" spans="1:8">
      <c r="B190" s="234" t="str">
        <f>"(Sum Lines "&amp;A65&amp;" to "&amp;A68&amp;") * (FF Factor from 28-FFU) for True Up TRR"</f>
        <v>(Sum Lines 34 to 37) * (FF Factor from 28-FFU) for True Up TRR</v>
      </c>
    </row>
    <row r="191" spans="1:8">
      <c r="B191" s="235"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row>
    <row r="192" spans="1:8">
      <c r="B192" s="234"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row>
    <row r="193" spans="2:2">
      <c r="B193" s="12" t="str">
        <f>"ROE Adder is from Lines "&amp;A67&amp;" and "&amp;A68&amp;".  FF&amp;U Expenses are based on FF&amp;U Factors on 28-FFU."</f>
        <v>ROE Adder is from Lines 36 and 37.  FF&amp;U Expenses are based on FF&amp;U Factors on 28-FFU.</v>
      </c>
    </row>
    <row r="194" spans="2:2">
      <c r="B194" s="235"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row>
    <row r="195" spans="2:2">
      <c r="B195" s="234"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row>
    <row r="196" spans="2:2">
      <c r="B196" s="12" t="str">
        <f>"ROE Adder is from Lines "&amp;A67&amp;" and "&amp;A68&amp;".  FF&amp;U Expenses are based on FF&amp;U Factors on 28-FFU."</f>
        <v>ROE Adder is from Lines 36 and 37.  FF&amp;U Expenses are based on FF&amp;U Factors on 28-FFU.</v>
      </c>
    </row>
    <row r="197" spans="2:2">
      <c r="B197" s="235" t="str">
        <f>"4) Project contribution to total IFPTRR is based on fraction of Forecast Period CWIP Balances on Lines "&amp;A9&amp;" to "&amp;A21&amp;", Col 3."</f>
        <v>4) Project contribution to total IFPTRR is based on fraction of Forecast Period CWIP Balances on Lines 1 to 13, Col 3.</v>
      </c>
    </row>
    <row r="198" spans="2:2">
      <c r="B198" s="235" t="str">
        <f>"5) Column 1 is from Lines "&amp;A78&amp;" to "&amp;A89&amp;", Sum of Column 1-3 (no FF&amp;U)."</f>
        <v>5) Column 1 is from Lines 40 to 51, Sum of Column 1-3 (no FF&amp;U).</v>
      </c>
    </row>
    <row r="199" spans="2:2">
      <c r="B199" s="234" t="str">
        <f>"Column 2 is from Lines "&amp;A123&amp;" to "&amp;A134&amp;" (no FF&amp;U)."</f>
        <v>Column 2 is from Lines 71 to 82 (no FF&amp;U).</v>
      </c>
    </row>
    <row r="200" spans="2:2">
      <c r="B200" s="234" t="str">
        <f>"Column 3 is the product of (C1 + C2) and the sum of FF and U factors (28-FFU, L"&amp;'28-FFU'!A22&amp;")"</f>
        <v>Column 3 is the product of (C1 + C2) and the sum of FF and U factors (28-FFU, L5)</v>
      </c>
    </row>
    <row r="201" spans="2:2">
      <c r="B201" s="235" t="s">
        <v>2297</v>
      </c>
    </row>
  </sheetData>
  <phoneticPr fontId="23" type="noConversion"/>
  <pageMargins left="0.7" right="0.7" top="0.75" bottom="0.75" header="0.3" footer="0.3"/>
  <pageSetup scale="70" orientation="portrait" cellComments="asDisplayed" r:id="rId1"/>
  <headerFooter>
    <oddHeader>&amp;CSchedule 24
CWIP TRR
&amp;RTO2025 Annual Update 
Attachment 1</oddHeader>
    <oddFooter>&amp;R&amp;A</oddFooter>
  </headerFooter>
  <rowBreaks count="2" manualBreakCount="2">
    <brk id="71" max="16383" man="1"/>
    <brk id="1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8CE9-C0C2-442D-954D-5650409D9AAC}">
  <dimension ref="A1:L80"/>
  <sheetViews>
    <sheetView zoomScaleNormal="100" workbookViewId="0"/>
  </sheetViews>
  <sheetFormatPr defaultRowHeight="12.75"/>
  <cols>
    <col min="1" max="1" width="4.5703125" customWidth="1"/>
    <col min="6" max="6" width="17.85546875" customWidth="1"/>
    <col min="7" max="7" width="23.140625" customWidth="1"/>
    <col min="8" max="8" width="15.5703125" customWidth="1"/>
    <col min="9" max="9" width="16.7109375" bestFit="1" customWidth="1"/>
    <col min="10" max="10" width="1.5703125" customWidth="1"/>
  </cols>
  <sheetData>
    <row r="1" spans="1:12">
      <c r="A1" s="1" t="s">
        <v>2298</v>
      </c>
      <c r="B1" s="113"/>
      <c r="C1" s="113"/>
      <c r="D1" s="113"/>
      <c r="E1" s="113"/>
      <c r="F1" s="113"/>
      <c r="G1" s="113"/>
      <c r="H1" s="113"/>
      <c r="I1" s="113"/>
      <c r="J1" s="113"/>
      <c r="K1" s="113"/>
      <c r="L1" s="113"/>
    </row>
    <row r="2" spans="1:12">
      <c r="A2" s="1"/>
      <c r="B2" s="113"/>
      <c r="C2" s="39" t="s">
        <v>193</v>
      </c>
      <c r="D2" s="242" t="s">
        <v>2299</v>
      </c>
      <c r="E2" s="806"/>
      <c r="F2" s="200"/>
      <c r="G2" s="113"/>
      <c r="H2" s="228" t="s">
        <v>628</v>
      </c>
      <c r="I2" s="200"/>
      <c r="J2" s="113"/>
      <c r="K2" s="113"/>
      <c r="L2" s="113"/>
    </row>
    <row r="3" spans="1:12">
      <c r="A3" s="1"/>
      <c r="B3" s="113" t="s">
        <v>2300</v>
      </c>
      <c r="C3" s="113"/>
      <c r="D3" s="113"/>
      <c r="E3" s="113"/>
      <c r="F3" s="113"/>
      <c r="G3" s="113"/>
      <c r="H3" s="113"/>
      <c r="I3" s="113"/>
      <c r="J3" s="113"/>
      <c r="K3" s="113"/>
      <c r="L3" s="113"/>
    </row>
    <row r="4" spans="1:12">
      <c r="A4" s="1"/>
      <c r="B4" s="113" t="s">
        <v>2877</v>
      </c>
      <c r="C4" s="113"/>
      <c r="D4" s="113"/>
      <c r="E4" s="113"/>
      <c r="F4" s="113"/>
      <c r="G4" s="113"/>
      <c r="H4" s="113"/>
      <c r="I4" s="113"/>
      <c r="J4" s="113"/>
      <c r="K4" s="113"/>
      <c r="L4" s="113"/>
    </row>
    <row r="5" spans="1:12">
      <c r="A5" s="1"/>
      <c r="B5" s="113"/>
      <c r="C5" s="113"/>
      <c r="D5" s="113"/>
      <c r="E5" s="113"/>
      <c r="F5" s="113"/>
      <c r="G5" s="113"/>
      <c r="H5" s="113"/>
      <c r="I5" s="113"/>
      <c r="J5" s="113"/>
      <c r="K5" s="113"/>
      <c r="L5" s="113"/>
    </row>
    <row r="6" spans="1:12">
      <c r="A6" s="1"/>
      <c r="B6" s="113"/>
      <c r="C6" s="113"/>
      <c r="D6" s="113"/>
      <c r="E6" s="113"/>
      <c r="F6" s="113"/>
      <c r="G6" s="113"/>
      <c r="H6" s="113"/>
      <c r="I6" s="113"/>
      <c r="J6" s="113"/>
      <c r="K6" s="113"/>
      <c r="L6" s="113"/>
    </row>
    <row r="7" spans="1:12">
      <c r="A7" s="30" t="s">
        <v>266</v>
      </c>
      <c r="B7" s="40" t="s">
        <v>2878</v>
      </c>
      <c r="G7" s="234"/>
      <c r="H7" s="6"/>
    </row>
    <row r="8" spans="1:12">
      <c r="A8" s="4">
        <v>1</v>
      </c>
      <c r="B8" s="124"/>
      <c r="G8" s="18" t="s">
        <v>644</v>
      </c>
      <c r="H8" s="6"/>
      <c r="I8" s="32" t="s">
        <v>2301</v>
      </c>
    </row>
    <row r="9" spans="1:12">
      <c r="A9" s="4">
        <v>2</v>
      </c>
      <c r="B9" s="124" t="s">
        <v>2302</v>
      </c>
      <c r="G9" s="234" t="s">
        <v>887</v>
      </c>
      <c r="H9" s="59">
        <v>944532.16</v>
      </c>
      <c r="I9" s="234" t="s">
        <v>144</v>
      </c>
    </row>
    <row r="10" spans="1:12">
      <c r="A10" s="4">
        <v>3</v>
      </c>
      <c r="B10" s="124" t="s">
        <v>2303</v>
      </c>
      <c r="G10" s="234" t="s">
        <v>887</v>
      </c>
      <c r="H10" s="61">
        <v>43758</v>
      </c>
      <c r="I10" s="234" t="s">
        <v>144</v>
      </c>
    </row>
    <row r="11" spans="1:12">
      <c r="A11" s="4">
        <v>4</v>
      </c>
      <c r="B11" s="124" t="s">
        <v>2304</v>
      </c>
      <c r="G11" s="281" t="s">
        <v>2898</v>
      </c>
      <c r="H11" s="237">
        <f>SUM(H9:H10)</f>
        <v>988290.16</v>
      </c>
    </row>
    <row r="12" spans="1:12">
      <c r="A12" s="4">
        <v>5</v>
      </c>
      <c r="B12" s="124" t="s">
        <v>142</v>
      </c>
      <c r="G12" s="124" t="str">
        <f>"27-Allocators, Line "&amp;'27-Allocators'!A15&amp;""</f>
        <v>27-Allocators, Line 9</v>
      </c>
      <c r="H12" s="29">
        <f>'27-Allocators'!G15</f>
        <v>5.8811663225218191E-2</v>
      </c>
    </row>
    <row r="13" spans="1:12">
      <c r="A13" s="4">
        <v>6</v>
      </c>
      <c r="B13" s="124" t="s">
        <v>2305</v>
      </c>
      <c r="G13" s="281" t="s">
        <v>2881</v>
      </c>
      <c r="H13" s="6">
        <f>H11*H12</f>
        <v>58122.988058717005</v>
      </c>
    </row>
    <row r="14" spans="1:12">
      <c r="A14" s="2">
        <v>7</v>
      </c>
      <c r="B14" s="234" t="s">
        <v>2873</v>
      </c>
      <c r="C14" s="618"/>
      <c r="D14" s="618"/>
      <c r="E14" s="618"/>
      <c r="F14" s="618"/>
      <c r="G14" s="1040"/>
      <c r="H14" s="117">
        <f>15204.4493177246+1876735.85791181</f>
        <v>1891940.3072295347</v>
      </c>
      <c r="I14" s="234" t="s">
        <v>165</v>
      </c>
    </row>
    <row r="15" spans="1:12">
      <c r="A15" s="2">
        <v>8</v>
      </c>
      <c r="B15" s="124"/>
      <c r="G15" s="233" t="s">
        <v>2306</v>
      </c>
      <c r="H15" s="237">
        <f>SUM(H13:H14)</f>
        <v>1950063.2952882517</v>
      </c>
      <c r="I15" s="234" t="s">
        <v>2875</v>
      </c>
    </row>
    <row r="16" spans="1:12">
      <c r="A16" s="235"/>
      <c r="B16" s="113"/>
      <c r="C16" s="113"/>
      <c r="D16" s="113"/>
      <c r="E16" s="113"/>
      <c r="F16" s="113"/>
      <c r="G16" s="113"/>
      <c r="H16" s="113"/>
      <c r="I16" s="113"/>
      <c r="J16" s="113"/>
      <c r="K16" s="113"/>
      <c r="L16" s="113"/>
    </row>
    <row r="17" spans="1:12">
      <c r="A17" s="235"/>
      <c r="B17" s="40" t="s">
        <v>2879</v>
      </c>
      <c r="C17" s="113"/>
      <c r="D17" s="113"/>
      <c r="E17" s="113"/>
      <c r="F17" s="113"/>
      <c r="G17" s="113"/>
      <c r="H17" s="113"/>
      <c r="I17" s="113"/>
      <c r="J17" s="113"/>
      <c r="K17" s="113"/>
      <c r="L17" s="113"/>
    </row>
    <row r="18" spans="1:12">
      <c r="A18" s="235"/>
      <c r="C18" s="113"/>
      <c r="D18" s="113"/>
      <c r="E18" s="113"/>
      <c r="F18" s="113"/>
      <c r="G18" s="18" t="s">
        <v>644</v>
      </c>
      <c r="H18" s="3" t="s">
        <v>102</v>
      </c>
      <c r="I18" s="32" t="s">
        <v>2301</v>
      </c>
      <c r="J18" s="113"/>
      <c r="K18" s="113"/>
      <c r="L18" s="113"/>
    </row>
    <row r="19" spans="1:12">
      <c r="A19" s="4">
        <v>9</v>
      </c>
      <c r="B19" s="113" t="s">
        <v>2307</v>
      </c>
      <c r="C19" s="113"/>
      <c r="D19" s="113"/>
      <c r="E19" s="113"/>
      <c r="F19" s="113"/>
      <c r="G19" s="281" t="s">
        <v>2901</v>
      </c>
      <c r="H19" s="115">
        <f>-H15</f>
        <v>-1950063.2952882517</v>
      </c>
      <c r="I19" s="113"/>
      <c r="J19" s="113"/>
      <c r="K19" s="113"/>
      <c r="L19" s="113"/>
    </row>
    <row r="20" spans="1:12">
      <c r="A20" s="4">
        <v>10</v>
      </c>
      <c r="B20" s="235" t="s">
        <v>2308</v>
      </c>
      <c r="C20" s="113"/>
      <c r="D20" s="113"/>
      <c r="E20" s="113"/>
      <c r="F20" s="113"/>
      <c r="G20" s="124" t="s">
        <v>2887</v>
      </c>
      <c r="H20" s="115">
        <f>-'1-BaseTRR'!K142</f>
        <v>-9540317.2487935498</v>
      </c>
      <c r="I20" s="113"/>
      <c r="J20" s="113"/>
      <c r="K20" s="113"/>
      <c r="L20" s="113"/>
    </row>
    <row r="21" spans="1:12">
      <c r="A21" s="4">
        <v>11</v>
      </c>
      <c r="B21" s="235" t="s">
        <v>2309</v>
      </c>
      <c r="C21" s="113"/>
      <c r="D21" s="113"/>
      <c r="E21" s="113"/>
      <c r="F21" s="113"/>
      <c r="G21" s="124" t="s">
        <v>2888</v>
      </c>
      <c r="H21" s="185">
        <f>-'2-IFPTRR'!D89</f>
        <v>-566397.78968139808</v>
      </c>
      <c r="I21" s="113"/>
      <c r="J21" s="113"/>
      <c r="K21" s="113"/>
      <c r="L21" s="113"/>
    </row>
    <row r="22" spans="1:12">
      <c r="A22" s="4">
        <v>12</v>
      </c>
      <c r="B22" s="235" t="s">
        <v>2310</v>
      </c>
      <c r="C22" s="113"/>
      <c r="D22" s="113"/>
      <c r="E22" s="113"/>
      <c r="F22" s="113"/>
      <c r="G22" s="234" t="s">
        <v>2902</v>
      </c>
      <c r="H22" s="115">
        <f>SUM(H19:H21)</f>
        <v>-12056778.333763199</v>
      </c>
      <c r="I22" s="113"/>
      <c r="J22" s="113"/>
      <c r="K22" s="113"/>
      <c r="L22" s="113"/>
    </row>
    <row r="23" spans="1:12">
      <c r="A23" s="4">
        <v>13</v>
      </c>
      <c r="B23" s="235" t="s">
        <v>2311</v>
      </c>
      <c r="C23" s="113"/>
      <c r="D23" s="113"/>
      <c r="E23" s="113"/>
      <c r="F23" s="113"/>
      <c r="H23" s="185">
        <f>'28-FFU'!D22*H19</f>
        <v>-18261.526927004092</v>
      </c>
      <c r="I23" s="234" t="s">
        <v>183</v>
      </c>
      <c r="J23" s="113"/>
      <c r="K23" s="113"/>
      <c r="L23" s="113"/>
    </row>
    <row r="24" spans="1:12">
      <c r="A24" s="4">
        <v>14</v>
      </c>
      <c r="B24" t="s">
        <v>2312</v>
      </c>
      <c r="C24" s="113"/>
      <c r="D24" s="113"/>
      <c r="E24" s="113"/>
      <c r="F24" s="113"/>
      <c r="G24" s="234" t="s">
        <v>2880</v>
      </c>
      <c r="H24" s="115">
        <f>H22+H23</f>
        <v>-12075039.860690203</v>
      </c>
      <c r="I24" s="1041"/>
      <c r="J24" s="113"/>
      <c r="K24" s="113"/>
      <c r="L24" s="113"/>
    </row>
    <row r="25" spans="1:12">
      <c r="A25" s="113"/>
      <c r="C25" s="113"/>
      <c r="D25" s="113"/>
      <c r="E25" s="113"/>
      <c r="F25" s="113"/>
      <c r="G25" s="113"/>
      <c r="H25" s="113"/>
      <c r="I25" s="113"/>
      <c r="J25" s="113"/>
      <c r="K25" s="113"/>
      <c r="L25" s="113"/>
    </row>
    <row r="26" spans="1:12">
      <c r="A26" s="113"/>
      <c r="B26" s="199" t="s">
        <v>2313</v>
      </c>
      <c r="C26" s="113"/>
      <c r="D26" s="113"/>
      <c r="E26" s="113"/>
      <c r="F26" s="113"/>
      <c r="G26" s="113"/>
      <c r="H26" s="113"/>
      <c r="I26" s="113"/>
      <c r="J26" s="113"/>
      <c r="K26" s="113"/>
      <c r="L26" s="113"/>
    </row>
    <row r="27" spans="1:12">
      <c r="A27" s="113"/>
      <c r="B27" s="234" t="s">
        <v>2874</v>
      </c>
      <c r="C27" s="618"/>
      <c r="D27" s="618"/>
      <c r="E27" s="618"/>
      <c r="F27" s="618"/>
      <c r="G27" s="618"/>
      <c r="H27" s="825"/>
      <c r="I27" s="113"/>
      <c r="J27" s="593"/>
      <c r="K27" s="113"/>
      <c r="L27" s="113"/>
    </row>
    <row r="28" spans="1:12">
      <c r="A28" s="113"/>
      <c r="B28" s="234" t="s">
        <v>2892</v>
      </c>
      <c r="C28" s="618"/>
      <c r="D28" s="618"/>
      <c r="E28" s="618"/>
      <c r="F28" s="618"/>
      <c r="G28" s="670"/>
      <c r="I28" s="113"/>
      <c r="J28" s="113"/>
      <c r="K28" s="113"/>
      <c r="L28" s="113"/>
    </row>
    <row r="29" spans="1:12">
      <c r="A29" s="113"/>
      <c r="B29" s="234" t="s">
        <v>2876</v>
      </c>
      <c r="C29" s="618"/>
      <c r="D29" s="618"/>
      <c r="E29" s="618"/>
      <c r="F29" s="618"/>
      <c r="G29" s="618"/>
      <c r="I29" s="113"/>
      <c r="J29" s="113"/>
      <c r="K29" s="113"/>
      <c r="L29" s="113"/>
    </row>
    <row r="30" spans="1:12">
      <c r="A30" s="113"/>
      <c r="B30" s="249" t="s">
        <v>2883</v>
      </c>
      <c r="C30" s="618"/>
      <c r="D30" s="618"/>
      <c r="E30" s="618"/>
      <c r="F30" s="618"/>
      <c r="G30" s="618"/>
      <c r="I30" s="113"/>
      <c r="J30" s="113"/>
      <c r="K30" s="113"/>
      <c r="L30" s="113"/>
    </row>
    <row r="31" spans="1:12">
      <c r="A31" s="113"/>
      <c r="B31" s="113"/>
      <c r="C31" s="113"/>
      <c r="D31" s="113"/>
      <c r="E31" s="113"/>
      <c r="F31" s="113"/>
      <c r="G31" s="113"/>
      <c r="H31" s="113"/>
      <c r="I31" s="113"/>
      <c r="J31" s="113"/>
      <c r="K31" s="113"/>
      <c r="L31" s="113"/>
    </row>
    <row r="32" spans="1:12">
      <c r="A32" s="113"/>
      <c r="B32" s="113"/>
      <c r="C32" s="113"/>
      <c r="D32" s="113"/>
      <c r="E32" s="113"/>
      <c r="F32" s="113"/>
      <c r="G32" s="113"/>
      <c r="H32" s="113"/>
      <c r="I32" s="113"/>
      <c r="J32" s="113"/>
      <c r="K32" s="113"/>
      <c r="L32" s="113"/>
    </row>
    <row r="33" spans="1:12">
      <c r="A33" s="113"/>
      <c r="B33" s="113"/>
      <c r="C33" s="113"/>
      <c r="D33" s="113"/>
      <c r="E33" s="113"/>
      <c r="F33" s="113"/>
      <c r="G33" s="113"/>
      <c r="H33" s="113"/>
      <c r="I33" s="113"/>
      <c r="J33" s="113"/>
      <c r="K33" s="113"/>
      <c r="L33" s="113"/>
    </row>
    <row r="34" spans="1:12">
      <c r="A34" s="113"/>
      <c r="B34" s="113"/>
      <c r="C34" s="113"/>
      <c r="D34" s="113"/>
      <c r="E34" s="113"/>
      <c r="F34" s="113"/>
      <c r="G34" s="113"/>
      <c r="H34" s="113"/>
      <c r="I34" s="113"/>
      <c r="J34" s="113"/>
      <c r="K34" s="113"/>
      <c r="L34" s="113"/>
    </row>
    <row r="35" spans="1:12">
      <c r="A35" s="113"/>
      <c r="B35" s="113"/>
      <c r="C35" s="113"/>
      <c r="D35" s="113"/>
      <c r="E35" s="113"/>
      <c r="F35" s="113"/>
      <c r="G35" s="113"/>
      <c r="H35" s="113"/>
      <c r="I35" s="113"/>
      <c r="J35" s="113"/>
      <c r="K35" s="113"/>
      <c r="L35" s="113"/>
    </row>
    <row r="36" spans="1:12">
      <c r="A36" s="113"/>
      <c r="B36" s="113"/>
      <c r="C36" s="113"/>
      <c r="D36" s="113"/>
      <c r="E36" s="113"/>
      <c r="F36" s="113"/>
      <c r="G36" s="113"/>
      <c r="H36" s="113"/>
      <c r="I36" s="113"/>
      <c r="J36" s="113"/>
      <c r="K36" s="113"/>
      <c r="L36" s="113"/>
    </row>
    <row r="37" spans="1:12">
      <c r="A37" s="113"/>
      <c r="B37" s="113"/>
      <c r="C37" s="113"/>
      <c r="D37" s="113"/>
      <c r="E37" s="113"/>
      <c r="F37" s="113"/>
      <c r="G37" s="113"/>
      <c r="H37" s="113"/>
      <c r="I37" s="113"/>
      <c r="J37" s="113"/>
      <c r="K37" s="113"/>
      <c r="L37" s="113"/>
    </row>
    <row r="38" spans="1:12">
      <c r="A38" s="113"/>
      <c r="B38" s="113"/>
      <c r="C38" s="113"/>
      <c r="D38" s="113"/>
      <c r="E38" s="113"/>
      <c r="F38" s="113"/>
      <c r="G38" s="113"/>
      <c r="H38" s="113"/>
      <c r="I38" s="113"/>
      <c r="J38" s="113"/>
      <c r="K38" s="113"/>
      <c r="L38" s="113"/>
    </row>
    <row r="39" spans="1:12">
      <c r="A39" s="113"/>
      <c r="B39" s="113"/>
      <c r="C39" s="113"/>
      <c r="D39" s="113"/>
      <c r="E39" s="113"/>
      <c r="F39" s="113"/>
      <c r="G39" s="113"/>
      <c r="H39" s="113"/>
      <c r="I39" s="113"/>
      <c r="J39" s="113"/>
      <c r="K39" s="113"/>
      <c r="L39" s="113"/>
    </row>
    <row r="40" spans="1:12">
      <c r="A40" s="113"/>
      <c r="B40" s="113"/>
      <c r="C40" s="113"/>
      <c r="D40" s="113"/>
      <c r="E40" s="113"/>
      <c r="F40" s="113"/>
      <c r="G40" s="113"/>
      <c r="H40" s="113"/>
      <c r="I40" s="113"/>
      <c r="J40" s="113"/>
      <c r="K40" s="113"/>
      <c r="L40" s="113"/>
    </row>
    <row r="41" spans="1:12">
      <c r="A41" s="113"/>
      <c r="B41" s="113"/>
      <c r="C41" s="113"/>
      <c r="D41" s="113"/>
      <c r="E41" s="113"/>
      <c r="F41" s="113"/>
      <c r="G41" s="113"/>
      <c r="H41" s="113"/>
      <c r="I41" s="113"/>
      <c r="J41" s="113"/>
      <c r="K41" s="113"/>
      <c r="L41" s="113"/>
    </row>
    <row r="42" spans="1:12">
      <c r="A42" s="113"/>
      <c r="B42" s="113"/>
      <c r="C42" s="113"/>
      <c r="D42" s="113"/>
      <c r="E42" s="113"/>
      <c r="F42" s="113"/>
      <c r="G42" s="113"/>
      <c r="H42" s="113"/>
      <c r="I42" s="113"/>
      <c r="J42" s="113"/>
      <c r="K42" s="113"/>
      <c r="L42" s="113"/>
    </row>
    <row r="43" spans="1:12">
      <c r="A43" s="113"/>
      <c r="B43" s="113"/>
      <c r="C43" s="113"/>
      <c r="D43" s="113"/>
      <c r="E43" s="113"/>
      <c r="F43" s="113"/>
      <c r="G43" s="113"/>
      <c r="H43" s="113"/>
      <c r="I43" s="113"/>
      <c r="J43" s="113"/>
      <c r="K43" s="113"/>
      <c r="L43" s="113"/>
    </row>
    <row r="44" spans="1:12">
      <c r="A44" s="113"/>
      <c r="B44" s="113"/>
      <c r="C44" s="113"/>
      <c r="D44" s="113"/>
      <c r="E44" s="113"/>
      <c r="F44" s="113"/>
      <c r="G44" s="113"/>
      <c r="H44" s="113"/>
      <c r="I44" s="113"/>
      <c r="J44" s="113"/>
      <c r="K44" s="113"/>
      <c r="L44" s="113"/>
    </row>
    <row r="45" spans="1:12">
      <c r="A45" s="113"/>
      <c r="B45" s="113"/>
      <c r="C45" s="113"/>
      <c r="D45" s="113"/>
      <c r="E45" s="113"/>
      <c r="F45" s="113"/>
      <c r="G45" s="113"/>
      <c r="H45" s="113"/>
      <c r="I45" s="113"/>
      <c r="J45" s="113"/>
      <c r="K45" s="113"/>
      <c r="L45" s="113"/>
    </row>
    <row r="46" spans="1:12">
      <c r="A46" s="113"/>
      <c r="B46" s="113"/>
      <c r="C46" s="113"/>
      <c r="D46" s="113"/>
      <c r="E46" s="113"/>
      <c r="F46" s="113"/>
      <c r="G46" s="113"/>
      <c r="H46" s="113"/>
      <c r="I46" s="113"/>
      <c r="J46" s="113"/>
      <c r="K46" s="113"/>
      <c r="L46" s="113"/>
    </row>
    <row r="47" spans="1:12">
      <c r="A47" s="113"/>
      <c r="B47" s="113"/>
      <c r="C47" s="113"/>
      <c r="D47" s="113"/>
      <c r="E47" s="113"/>
      <c r="F47" s="113"/>
      <c r="G47" s="113"/>
      <c r="H47" s="113"/>
      <c r="I47" s="113"/>
      <c r="J47" s="113"/>
      <c r="K47" s="113"/>
      <c r="L47" s="113"/>
    </row>
    <row r="48" spans="1:12">
      <c r="A48" s="113"/>
      <c r="B48" s="113"/>
      <c r="C48" s="113"/>
      <c r="D48" s="113"/>
      <c r="E48" s="113"/>
      <c r="F48" s="113"/>
      <c r="G48" s="113"/>
      <c r="H48" s="113"/>
      <c r="I48" s="113"/>
      <c r="J48" s="113"/>
      <c r="K48" s="113"/>
      <c r="L48" s="113"/>
    </row>
    <row r="49" spans="1:12">
      <c r="A49" s="113"/>
      <c r="B49" s="113"/>
      <c r="C49" s="113"/>
      <c r="D49" s="113"/>
      <c r="E49" s="113"/>
      <c r="F49" s="113"/>
      <c r="G49" s="113"/>
      <c r="H49" s="113"/>
      <c r="I49" s="113"/>
      <c r="J49" s="113"/>
      <c r="K49" s="113"/>
      <c r="L49" s="113"/>
    </row>
    <row r="50" spans="1:12">
      <c r="A50" s="113"/>
      <c r="B50" s="113"/>
      <c r="C50" s="113"/>
      <c r="D50" s="113"/>
      <c r="E50" s="113"/>
      <c r="F50" s="113"/>
      <c r="G50" s="113"/>
      <c r="H50" s="113"/>
      <c r="I50" s="113"/>
      <c r="J50" s="113"/>
      <c r="K50" s="113"/>
      <c r="L50" s="113"/>
    </row>
    <row r="51" spans="1:12">
      <c r="A51" s="113"/>
      <c r="B51" s="113"/>
      <c r="C51" s="113"/>
      <c r="D51" s="113"/>
      <c r="E51" s="113"/>
      <c r="F51" s="113"/>
      <c r="G51" s="113"/>
      <c r="H51" s="113"/>
      <c r="I51" s="113"/>
      <c r="J51" s="113"/>
      <c r="K51" s="113"/>
      <c r="L51" s="113"/>
    </row>
    <row r="52" spans="1:12">
      <c r="A52" s="113"/>
      <c r="B52" s="113"/>
      <c r="C52" s="113"/>
      <c r="D52" s="113"/>
      <c r="E52" s="113"/>
      <c r="F52" s="113"/>
      <c r="G52" s="113"/>
      <c r="H52" s="113"/>
      <c r="I52" s="113"/>
      <c r="J52" s="113"/>
      <c r="K52" s="113"/>
      <c r="L52" s="113"/>
    </row>
    <row r="53" spans="1:12">
      <c r="A53" s="113"/>
      <c r="B53" s="113"/>
      <c r="C53" s="113"/>
      <c r="D53" s="113"/>
      <c r="E53" s="113"/>
      <c r="F53" s="113"/>
      <c r="G53" s="113"/>
      <c r="H53" s="113"/>
      <c r="I53" s="113"/>
      <c r="J53" s="113"/>
      <c r="K53" s="113"/>
      <c r="L53" s="113"/>
    </row>
    <row r="54" spans="1:12">
      <c r="A54" s="113"/>
      <c r="B54" s="113"/>
      <c r="C54" s="113"/>
      <c r="D54" s="113"/>
      <c r="E54" s="113"/>
      <c r="F54" s="113"/>
      <c r="G54" s="113"/>
      <c r="H54" s="113"/>
      <c r="I54" s="113"/>
      <c r="J54" s="113"/>
      <c r="K54" s="113"/>
      <c r="L54" s="113"/>
    </row>
    <row r="55" spans="1:12">
      <c r="A55" s="113"/>
      <c r="B55" s="113"/>
      <c r="C55" s="113"/>
      <c r="D55" s="113"/>
      <c r="E55" s="113"/>
      <c r="F55" s="113"/>
      <c r="G55" s="113"/>
      <c r="H55" s="113"/>
      <c r="I55" s="113"/>
      <c r="J55" s="113"/>
      <c r="K55" s="113"/>
      <c r="L55" s="113"/>
    </row>
    <row r="56" spans="1:12">
      <c r="A56" s="113"/>
      <c r="B56" s="113"/>
      <c r="C56" s="113"/>
      <c r="D56" s="113"/>
      <c r="E56" s="113"/>
      <c r="F56" s="113"/>
      <c r="G56" s="113"/>
      <c r="H56" s="113"/>
      <c r="I56" s="113"/>
      <c r="J56" s="113"/>
      <c r="K56" s="113"/>
      <c r="L56" s="113"/>
    </row>
    <row r="57" spans="1:12">
      <c r="A57" s="113"/>
      <c r="B57" s="113"/>
      <c r="C57" s="113"/>
      <c r="D57" s="113"/>
      <c r="E57" s="113"/>
      <c r="F57" s="113"/>
      <c r="G57" s="113"/>
      <c r="H57" s="113"/>
      <c r="I57" s="113"/>
      <c r="J57" s="113"/>
      <c r="K57" s="113"/>
      <c r="L57" s="113"/>
    </row>
    <row r="58" spans="1:12">
      <c r="A58" s="113"/>
      <c r="B58" s="113"/>
      <c r="C58" s="113"/>
      <c r="D58" s="113"/>
      <c r="E58" s="113"/>
      <c r="F58" s="113"/>
      <c r="G58" s="113"/>
      <c r="H58" s="113"/>
      <c r="I58" s="113"/>
      <c r="J58" s="113"/>
      <c r="K58" s="113"/>
      <c r="L58" s="113"/>
    </row>
    <row r="59" spans="1:12">
      <c r="A59" s="113"/>
      <c r="B59" s="113"/>
      <c r="C59" s="113"/>
      <c r="D59" s="113"/>
      <c r="E59" s="113"/>
      <c r="F59" s="113"/>
      <c r="G59" s="113"/>
      <c r="H59" s="113"/>
      <c r="I59" s="113"/>
      <c r="J59" s="113"/>
      <c r="K59" s="113"/>
      <c r="L59" s="113"/>
    </row>
    <row r="60" spans="1:12">
      <c r="A60" s="113"/>
      <c r="B60" s="113"/>
      <c r="C60" s="113"/>
      <c r="D60" s="113"/>
      <c r="E60" s="113"/>
      <c r="F60" s="113"/>
      <c r="G60" s="113"/>
      <c r="H60" s="113"/>
      <c r="I60" s="113"/>
      <c r="J60" s="113"/>
      <c r="K60" s="113"/>
      <c r="L60" s="113"/>
    </row>
    <row r="61" spans="1:12">
      <c r="A61" s="113"/>
      <c r="B61" s="113"/>
      <c r="C61" s="113"/>
      <c r="D61" s="113"/>
      <c r="E61" s="113"/>
      <c r="F61" s="113"/>
      <c r="G61" s="113"/>
      <c r="H61" s="113"/>
      <c r="I61" s="113"/>
      <c r="J61" s="113"/>
      <c r="K61" s="113"/>
      <c r="L61" s="113"/>
    </row>
    <row r="62" spans="1:12">
      <c r="A62" s="113"/>
      <c r="B62" s="113"/>
      <c r="C62" s="113"/>
      <c r="D62" s="113"/>
      <c r="E62" s="113"/>
      <c r="F62" s="113"/>
      <c r="G62" s="113"/>
      <c r="H62" s="113"/>
      <c r="I62" s="113"/>
      <c r="J62" s="113"/>
      <c r="K62" s="113"/>
      <c r="L62" s="113"/>
    </row>
    <row r="63" spans="1:12">
      <c r="A63" s="113"/>
      <c r="B63" s="113"/>
      <c r="C63" s="113"/>
      <c r="D63" s="113"/>
      <c r="E63" s="113"/>
      <c r="F63" s="113"/>
      <c r="G63" s="113"/>
      <c r="H63" s="113"/>
      <c r="I63" s="113"/>
      <c r="J63" s="113"/>
      <c r="K63" s="113"/>
      <c r="L63" s="113"/>
    </row>
    <row r="64" spans="1:12">
      <c r="A64" s="113"/>
      <c r="B64" s="113"/>
      <c r="C64" s="113"/>
      <c r="D64" s="113"/>
      <c r="E64" s="113"/>
      <c r="F64" s="113"/>
      <c r="G64" s="113"/>
      <c r="H64" s="113"/>
      <c r="I64" s="113"/>
      <c r="J64" s="113"/>
      <c r="K64" s="113"/>
      <c r="L64" s="113"/>
    </row>
    <row r="65" spans="1:12">
      <c r="A65" s="113"/>
      <c r="B65" s="113"/>
      <c r="C65" s="113"/>
      <c r="D65" s="113"/>
      <c r="E65" s="113"/>
      <c r="F65" s="113"/>
      <c r="G65" s="113"/>
      <c r="H65" s="113"/>
      <c r="I65" s="113"/>
      <c r="J65" s="113"/>
      <c r="K65" s="113"/>
      <c r="L65" s="113"/>
    </row>
    <row r="66" spans="1:12">
      <c r="A66" s="113"/>
      <c r="B66" s="113"/>
      <c r="C66" s="113"/>
      <c r="D66" s="113"/>
      <c r="E66" s="113"/>
      <c r="F66" s="113"/>
      <c r="G66" s="113"/>
      <c r="H66" s="113"/>
      <c r="I66" s="113"/>
      <c r="J66" s="113"/>
      <c r="K66" s="113"/>
      <c r="L66" s="113"/>
    </row>
    <row r="67" spans="1:12">
      <c r="A67" s="113"/>
      <c r="B67" s="113"/>
      <c r="C67" s="113"/>
      <c r="D67" s="113"/>
      <c r="E67" s="113"/>
      <c r="F67" s="113"/>
      <c r="G67" s="113"/>
      <c r="H67" s="113"/>
      <c r="I67" s="113"/>
      <c r="J67" s="113"/>
      <c r="K67" s="113"/>
      <c r="L67" s="113"/>
    </row>
    <row r="68" spans="1:12">
      <c r="A68" s="113"/>
      <c r="B68" s="113"/>
      <c r="C68" s="113"/>
      <c r="D68" s="113"/>
      <c r="E68" s="113"/>
      <c r="F68" s="113"/>
      <c r="G68" s="113"/>
      <c r="H68" s="113"/>
      <c r="I68" s="113"/>
      <c r="J68" s="113"/>
      <c r="K68" s="113"/>
      <c r="L68" s="113"/>
    </row>
    <row r="69" spans="1:12">
      <c r="A69" s="113"/>
      <c r="B69" s="113"/>
      <c r="C69" s="113"/>
      <c r="D69" s="113"/>
      <c r="E69" s="113"/>
      <c r="F69" s="113"/>
      <c r="G69" s="113"/>
      <c r="H69" s="113"/>
      <c r="I69" s="113"/>
      <c r="J69" s="113"/>
      <c r="K69" s="113"/>
      <c r="L69" s="113"/>
    </row>
    <row r="70" spans="1:12">
      <c r="A70" s="113"/>
      <c r="B70" s="113"/>
      <c r="C70" s="113"/>
      <c r="D70" s="113"/>
      <c r="E70" s="113"/>
      <c r="F70" s="113"/>
      <c r="G70" s="113"/>
      <c r="H70" s="113"/>
      <c r="I70" s="113"/>
      <c r="J70" s="113"/>
      <c r="K70" s="113"/>
      <c r="L70" s="113"/>
    </row>
    <row r="71" spans="1:12">
      <c r="A71" s="113"/>
      <c r="B71" s="113"/>
      <c r="C71" s="113"/>
      <c r="D71" s="113"/>
      <c r="E71" s="113"/>
      <c r="F71" s="113"/>
      <c r="G71" s="113"/>
      <c r="H71" s="113"/>
      <c r="I71" s="113"/>
      <c r="J71" s="113"/>
      <c r="K71" s="113"/>
      <c r="L71" s="113"/>
    </row>
    <row r="72" spans="1:12">
      <c r="A72" s="113"/>
      <c r="B72" s="113"/>
      <c r="C72" s="113"/>
      <c r="D72" s="113"/>
      <c r="E72" s="113"/>
      <c r="F72" s="113"/>
      <c r="G72" s="113"/>
      <c r="H72" s="113"/>
      <c r="I72" s="113"/>
      <c r="J72" s="113"/>
      <c r="K72" s="113"/>
      <c r="L72" s="113"/>
    </row>
    <row r="73" spans="1:12">
      <c r="A73" s="113"/>
      <c r="B73" s="113"/>
      <c r="C73" s="113"/>
      <c r="D73" s="113"/>
      <c r="E73" s="113"/>
      <c r="F73" s="113"/>
      <c r="G73" s="113"/>
      <c r="H73" s="113"/>
      <c r="I73" s="113"/>
      <c r="J73" s="113"/>
      <c r="K73" s="113"/>
      <c r="L73" s="113"/>
    </row>
    <row r="74" spans="1:12">
      <c r="A74" s="113"/>
      <c r="B74" s="113"/>
      <c r="C74" s="113"/>
      <c r="D74" s="113"/>
      <c r="E74" s="113"/>
      <c r="F74" s="113"/>
      <c r="G74" s="113"/>
      <c r="H74" s="113"/>
      <c r="I74" s="113"/>
      <c r="J74" s="113"/>
      <c r="K74" s="113"/>
      <c r="L74" s="113"/>
    </row>
    <row r="75" spans="1:12">
      <c r="A75" s="113"/>
      <c r="B75" s="113"/>
      <c r="C75" s="113"/>
      <c r="D75" s="113"/>
      <c r="E75" s="113"/>
      <c r="F75" s="113"/>
      <c r="G75" s="113"/>
      <c r="H75" s="113"/>
      <c r="I75" s="113"/>
      <c r="J75" s="113"/>
      <c r="K75" s="113"/>
      <c r="L75" s="113"/>
    </row>
    <row r="76" spans="1:12">
      <c r="A76" s="113"/>
      <c r="B76" s="113"/>
      <c r="C76" s="113"/>
      <c r="D76" s="113"/>
      <c r="E76" s="113"/>
      <c r="F76" s="113"/>
      <c r="G76" s="113"/>
      <c r="H76" s="113"/>
      <c r="I76" s="113"/>
      <c r="J76" s="113"/>
      <c r="K76" s="113"/>
      <c r="L76" s="113"/>
    </row>
    <row r="77" spans="1:12">
      <c r="A77" s="113"/>
      <c r="B77" s="113"/>
      <c r="C77" s="113"/>
      <c r="D77" s="113"/>
      <c r="E77" s="113"/>
      <c r="F77" s="113"/>
      <c r="G77" s="113"/>
      <c r="H77" s="113"/>
      <c r="I77" s="113"/>
      <c r="J77" s="113"/>
      <c r="K77" s="113"/>
      <c r="L77" s="113"/>
    </row>
    <row r="78" spans="1:12">
      <c r="A78" s="113"/>
      <c r="B78" s="113"/>
      <c r="C78" s="113"/>
      <c r="D78" s="113"/>
      <c r="E78" s="113"/>
      <c r="F78" s="113"/>
      <c r="G78" s="113"/>
      <c r="H78" s="113"/>
      <c r="I78" s="113"/>
      <c r="J78" s="113"/>
      <c r="K78" s="113"/>
      <c r="L78" s="113"/>
    </row>
    <row r="79" spans="1:12">
      <c r="A79" s="113"/>
      <c r="B79" s="113"/>
      <c r="C79" s="113"/>
      <c r="D79" s="113"/>
      <c r="E79" s="113"/>
      <c r="F79" s="113"/>
      <c r="G79" s="113"/>
      <c r="H79" s="113"/>
      <c r="I79" s="113"/>
      <c r="J79" s="113"/>
      <c r="K79" s="113"/>
      <c r="L79" s="113"/>
    </row>
    <row r="80" spans="1:12">
      <c r="A80" s="113"/>
      <c r="B80" s="113"/>
      <c r="C80" s="113"/>
      <c r="D80" s="113"/>
      <c r="E80" s="113"/>
      <c r="F80" s="113"/>
      <c r="G80" s="113"/>
      <c r="H80" s="113"/>
      <c r="I80" s="113"/>
      <c r="J80" s="113"/>
      <c r="K80" s="113"/>
      <c r="L80" s="113"/>
    </row>
  </sheetData>
  <pageMargins left="0.7" right="0.7" top="0.75" bottom="0.75" header="0.3" footer="0.3"/>
  <pageSetup scale="74" orientation="portrait" horizontalDpi="1200" verticalDpi="1200" r:id="rId1"/>
  <headerFooter>
    <oddHeader>&amp;CSchedule 25
Wholesale Differences to Base TRR
&amp;RTO2025 Annual Update 
Attachment 1</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75"/>
  <cols>
    <col min="1" max="1" width="4.5703125" customWidth="1"/>
    <col min="2" max="2" width="3.5703125" customWidth="1"/>
    <col min="3" max="3" width="18.5703125" customWidth="1"/>
    <col min="4" max="4" width="14.5703125" customWidth="1"/>
    <col min="5" max="5" width="45.5703125" customWidth="1"/>
    <col min="6" max="6" width="12.42578125" bestFit="1" customWidth="1"/>
  </cols>
  <sheetData>
    <row r="1" spans="1:5">
      <c r="A1" s="1" t="s">
        <v>2314</v>
      </c>
    </row>
    <row r="3" spans="1:5">
      <c r="B3" s="1" t="s">
        <v>2315</v>
      </c>
      <c r="E3" s="54" t="s">
        <v>628</v>
      </c>
    </row>
    <row r="4" spans="1:5">
      <c r="D4" s="2" t="s">
        <v>2316</v>
      </c>
    </row>
    <row r="5" spans="1:5">
      <c r="C5" s="2" t="s">
        <v>369</v>
      </c>
      <c r="D5" s="2" t="s">
        <v>2317</v>
      </c>
    </row>
    <row r="6" spans="1:5">
      <c r="A6" s="3" t="s">
        <v>266</v>
      </c>
      <c r="C6" s="3" t="s">
        <v>365</v>
      </c>
      <c r="D6" s="3" t="s">
        <v>2318</v>
      </c>
      <c r="E6" s="3" t="s">
        <v>644</v>
      </c>
    </row>
    <row r="7" spans="1:5">
      <c r="A7" s="2">
        <v>1</v>
      </c>
      <c r="C7" s="276">
        <v>2025</v>
      </c>
      <c r="D7" s="617">
        <v>0.21</v>
      </c>
      <c r="E7" s="306" t="s">
        <v>2319</v>
      </c>
    </row>
    <row r="8" spans="1:5">
      <c r="A8" s="2">
        <f>A7+1</f>
        <v>2</v>
      </c>
      <c r="D8">
        <v>0</v>
      </c>
      <c r="E8" s="234"/>
    </row>
    <row r="9" spans="1:5">
      <c r="A9" s="2">
        <f t="shared" ref="A9:A23" si="0">A8+1</f>
        <v>3</v>
      </c>
      <c r="B9" s="1" t="s">
        <v>2320</v>
      </c>
    </row>
    <row r="10" spans="1:5">
      <c r="A10" s="2">
        <f t="shared" si="0"/>
        <v>4</v>
      </c>
      <c r="B10" s="1"/>
      <c r="D10" s="2"/>
    </row>
    <row r="11" spans="1:5">
      <c r="A11" s="2">
        <f t="shared" si="0"/>
        <v>5</v>
      </c>
      <c r="D11" s="2" t="s">
        <v>2321</v>
      </c>
    </row>
    <row r="12" spans="1:5">
      <c r="A12" s="2">
        <f t="shared" si="0"/>
        <v>6</v>
      </c>
      <c r="C12" s="2" t="s">
        <v>369</v>
      </c>
      <c r="D12" s="2" t="s">
        <v>2317</v>
      </c>
    </row>
    <row r="13" spans="1:5">
      <c r="A13" s="2">
        <f t="shared" si="0"/>
        <v>7</v>
      </c>
      <c r="C13" s="3" t="s">
        <v>365</v>
      </c>
      <c r="D13" s="3" t="s">
        <v>2322</v>
      </c>
      <c r="E13" s="3" t="s">
        <v>644</v>
      </c>
    </row>
    <row r="14" spans="1:5">
      <c r="A14" s="2">
        <f t="shared" si="0"/>
        <v>8</v>
      </c>
      <c r="C14" s="276">
        <v>2025</v>
      </c>
      <c r="D14" s="560">
        <v>8.8400000000000006E-2</v>
      </c>
      <c r="E14" s="306" t="s">
        <v>165</v>
      </c>
    </row>
    <row r="15" spans="1:5">
      <c r="A15" s="2">
        <f t="shared" si="0"/>
        <v>9</v>
      </c>
      <c r="C15" s="33"/>
      <c r="E15" s="234"/>
    </row>
    <row r="16" spans="1:5">
      <c r="A16" s="2">
        <f t="shared" si="0"/>
        <v>10</v>
      </c>
      <c r="C16" s="33"/>
      <c r="E16" s="12"/>
    </row>
    <row r="17" spans="1:9">
      <c r="A17" s="2">
        <f t="shared" si="0"/>
        <v>11</v>
      </c>
      <c r="C17" s="37"/>
      <c r="E17" s="12"/>
    </row>
    <row r="18" spans="1:9" ht="12.75" customHeight="1">
      <c r="A18" s="2">
        <f t="shared" si="0"/>
        <v>12</v>
      </c>
      <c r="B18" s="1" t="s">
        <v>2323</v>
      </c>
      <c r="E18" s="12"/>
    </row>
    <row r="19" spans="1:9" ht="12.75" customHeight="1">
      <c r="A19" s="2">
        <f t="shared" si="0"/>
        <v>13</v>
      </c>
      <c r="E19" s="281"/>
      <c r="F19" s="3" t="s">
        <v>79</v>
      </c>
    </row>
    <row r="20" spans="1:9" ht="12.75" customHeight="1">
      <c r="A20" s="2">
        <f t="shared" si="0"/>
        <v>14</v>
      </c>
      <c r="C20" t="str">
        <f>"Total Electric Payroll Tax Expense (From 1-BaseTRR, Line "&amp;'1-BaseTRR'!A52&amp;")"</f>
        <v>Total Electric Payroll Tax Expense (From 1-BaseTRR, Line 31)</v>
      </c>
      <c r="F20" s="6">
        <f>'1-BaseTRR'!K52</f>
        <v>153783316.69459435</v>
      </c>
      <c r="G20" s="235"/>
    </row>
    <row r="21" spans="1:9" ht="12.75" customHeight="1">
      <c r="A21" s="2">
        <f t="shared" si="0"/>
        <v>15</v>
      </c>
      <c r="C21" s="235" t="s">
        <v>2324</v>
      </c>
      <c r="F21" s="301">
        <v>0.5</v>
      </c>
      <c r="G21" s="235"/>
    </row>
    <row r="22" spans="1:9" ht="12.75" customHeight="1">
      <c r="A22" s="2">
        <f t="shared" si="0"/>
        <v>16</v>
      </c>
      <c r="C22" s="235" t="str">
        <f>"Capitalized Overhead portion of Electric Payroll Tax Expense (Line "&amp;A20&amp;" * Line "&amp;A21&amp;")"</f>
        <v>Capitalized Overhead portion of Electric Payroll Tax Expense (Line 14 * Line 15)</v>
      </c>
      <c r="F22" s="185">
        <f>F20*F21</f>
        <v>76891658.347297177</v>
      </c>
      <c r="G22" s="235"/>
      <c r="I22" s="235"/>
    </row>
    <row r="23" spans="1:9">
      <c r="A23" s="2">
        <f t="shared" si="0"/>
        <v>17</v>
      </c>
      <c r="C23" s="235" t="str">
        <f>"Non-Capitalized Overhead portion of Electric Payroll Tax Expense (Line "&amp;A20&amp;" - Line "&amp;A22&amp;")"</f>
        <v>Non-Capitalized Overhead portion of Electric Payroll Tax Expense (Line 14 - Line 16)</v>
      </c>
      <c r="F23" s="6">
        <f>F20-F22</f>
        <v>76891658.347297177</v>
      </c>
      <c r="G23" s="235"/>
    </row>
    <row r="25" spans="1:9">
      <c r="B25" s="30" t="s">
        <v>226</v>
      </c>
    </row>
    <row r="26" spans="1:9">
      <c r="B26" s="278" t="s">
        <v>2325</v>
      </c>
      <c r="D26" s="242" t="s">
        <v>2755</v>
      </c>
      <c r="E26" s="242"/>
      <c r="F26" s="54"/>
    </row>
    <row r="27" spans="1:9">
      <c r="B27" s="278" t="s">
        <v>2326</v>
      </c>
    </row>
    <row r="28" spans="1:9">
      <c r="B28" s="234"/>
      <c r="D28" s="54" t="s">
        <v>2756</v>
      </c>
      <c r="E28" s="54"/>
      <c r="F28" s="54"/>
    </row>
    <row r="29" spans="1:9">
      <c r="B29" s="235" t="s">
        <v>2327</v>
      </c>
      <c r="E29" s="242" t="s">
        <v>2757</v>
      </c>
    </row>
    <row r="30" spans="1:9">
      <c r="B30" s="234" t="s">
        <v>2328</v>
      </c>
      <c r="E30" s="268" t="s">
        <v>2758</v>
      </c>
    </row>
    <row r="31" spans="1:9">
      <c r="B31" s="235" t="s">
        <v>2329</v>
      </c>
    </row>
    <row r="32" spans="1:9">
      <c r="B32" s="235" t="s">
        <v>2330</v>
      </c>
    </row>
    <row r="33" spans="2:2">
      <c r="B33" s="235" t="s">
        <v>2331</v>
      </c>
    </row>
    <row r="34" spans="2:2">
      <c r="B34" s="235" t="s">
        <v>2332</v>
      </c>
    </row>
    <row r="35" spans="2:2">
      <c r="B35" s="235" t="s">
        <v>2333</v>
      </c>
    </row>
    <row r="36" spans="2:2">
      <c r="B36" s="235" t="s">
        <v>2334</v>
      </c>
    </row>
    <row r="37" spans="2:2">
      <c r="B37" s="235" t="s">
        <v>2335</v>
      </c>
    </row>
    <row r="38" spans="2:2">
      <c r="B38" s="235" t="s">
        <v>2336</v>
      </c>
    </row>
    <row r="39" spans="2:2">
      <c r="B39" s="235" t="s">
        <v>2337</v>
      </c>
    </row>
    <row r="40" spans="2:2">
      <c r="B40" s="235" t="s">
        <v>2338</v>
      </c>
    </row>
  </sheetData>
  <phoneticPr fontId="23" type="noConversion"/>
  <pageMargins left="0.75" right="0.75" top="1" bottom="1" header="0.5" footer="0.5"/>
  <pageSetup scale="75" orientation="portrait" cellComments="asDisplayed" r:id="rId1"/>
  <headerFooter alignWithMargins="0">
    <oddHeader>&amp;CSchedule 26
Tax Rates
&amp;RTO2025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zoomScaleNormal="100" zoomScalePageLayoutView="90" workbookViewId="0"/>
  </sheetViews>
  <sheetFormatPr defaultRowHeight="12.75"/>
  <cols>
    <col min="1" max="2" width="4.5703125" customWidth="1"/>
    <col min="3" max="3" width="40.5703125" customWidth="1"/>
    <col min="4" max="4" width="20.5703125" customWidth="1"/>
    <col min="5" max="5" width="28.5703125" customWidth="1"/>
    <col min="6" max="6" width="2.5703125" customWidth="1"/>
    <col min="7" max="7" width="16.5703125" customWidth="1"/>
  </cols>
  <sheetData>
    <row r="1" spans="1:9">
      <c r="A1" s="1" t="s">
        <v>59</v>
      </c>
      <c r="B1" s="1"/>
      <c r="E1" s="54" t="s">
        <v>628</v>
      </c>
    </row>
    <row r="2" spans="1:9">
      <c r="A2" s="1"/>
      <c r="B2" s="1"/>
      <c r="C2" s="39" t="s">
        <v>193</v>
      </c>
      <c r="D2" s="242" t="s">
        <v>2339</v>
      </c>
      <c r="E2" s="266"/>
    </row>
    <row r="3" spans="1:9">
      <c r="A3" s="1"/>
      <c r="B3" s="1"/>
      <c r="C3" s="670"/>
      <c r="D3" s="670"/>
      <c r="E3" s="670"/>
    </row>
    <row r="4" spans="1:9">
      <c r="A4" s="2"/>
      <c r="B4" s="1" t="s">
        <v>2340</v>
      </c>
      <c r="G4" s="56"/>
    </row>
    <row r="5" spans="1:9">
      <c r="A5" s="2"/>
      <c r="C5" s="1"/>
      <c r="D5" s="2"/>
      <c r="E5" s="2" t="s">
        <v>98</v>
      </c>
      <c r="G5" s="4" t="s">
        <v>852</v>
      </c>
    </row>
    <row r="6" spans="1:9">
      <c r="A6" s="30" t="s">
        <v>266</v>
      </c>
      <c r="C6" s="1"/>
      <c r="D6" s="3" t="s">
        <v>100</v>
      </c>
      <c r="E6" s="3" t="s">
        <v>101</v>
      </c>
      <c r="G6" s="3" t="s">
        <v>102</v>
      </c>
    </row>
    <row r="7" spans="1:9">
      <c r="A7" s="2">
        <v>1</v>
      </c>
      <c r="C7" s="278" t="s">
        <v>2341</v>
      </c>
      <c r="E7" s="235" t="str">
        <f>"19-OandM Line "&amp;'19-OandM'!A124&amp;", Col. 7"</f>
        <v>19-OandM Line 91, Col. 7</v>
      </c>
      <c r="G7" s="6">
        <f>'19-OandM'!H124</f>
        <v>39999062.081107713</v>
      </c>
      <c r="I7" s="235"/>
    </row>
    <row r="8" spans="1:9">
      <c r="A8" s="2">
        <f>A7+1</f>
        <v>2</v>
      </c>
      <c r="C8" s="278" t="s">
        <v>2342</v>
      </c>
      <c r="E8" s="235" t="s">
        <v>854</v>
      </c>
      <c r="G8" s="5">
        <v>917817764</v>
      </c>
    </row>
    <row r="9" spans="1:9">
      <c r="A9" s="2">
        <f t="shared" ref="A9:A44" si="0">A8+1</f>
        <v>3</v>
      </c>
      <c r="C9" s="234" t="s">
        <v>2343</v>
      </c>
      <c r="E9" s="235" t="s">
        <v>2344</v>
      </c>
      <c r="G9" s="5">
        <v>225532443</v>
      </c>
    </row>
    <row r="10" spans="1:9">
      <c r="A10" s="2">
        <f t="shared" si="0"/>
        <v>4</v>
      </c>
      <c r="C10" s="278" t="s">
        <v>2345</v>
      </c>
      <c r="E10" s="235" t="str">
        <f>"Line "&amp;A8&amp;" - Line "&amp;A9&amp;""</f>
        <v>Line 2 - Line 3</v>
      </c>
      <c r="G10" s="6">
        <f>G8-G9</f>
        <v>692285321</v>
      </c>
    </row>
    <row r="11" spans="1:9">
      <c r="A11" s="2">
        <f t="shared" si="0"/>
        <v>5</v>
      </c>
      <c r="C11" s="278" t="s">
        <v>2346</v>
      </c>
      <c r="E11" s="235" t="str">
        <f>"20-AandG, Note 2"</f>
        <v>20-AandG, Note 2</v>
      </c>
      <c r="G11" s="6">
        <f>'20-AandG'!E65</f>
        <v>-18461720.316050015</v>
      </c>
      <c r="I11" s="235"/>
    </row>
    <row r="12" spans="1:9">
      <c r="A12" s="2">
        <f t="shared" si="0"/>
        <v>6</v>
      </c>
      <c r="C12" s="234" t="s">
        <v>2347</v>
      </c>
      <c r="E12" s="235" t="str">
        <f>"20-AandG, Note 2"</f>
        <v>20-AandG, Note 2</v>
      </c>
      <c r="G12" s="237">
        <f>'20-AandG'!E62</f>
        <v>-6297652.2711319514</v>
      </c>
    </row>
    <row r="13" spans="1:9">
      <c r="A13" s="2">
        <f t="shared" si="0"/>
        <v>7</v>
      </c>
      <c r="C13" s="278" t="s">
        <v>2348</v>
      </c>
      <c r="E13" s="235" t="str">
        <f>"Line "&amp;A11&amp;" - Line "&amp;A12&amp;""</f>
        <v>Line 5 - Line 6</v>
      </c>
      <c r="G13" s="6">
        <f>G11-G12</f>
        <v>-12164068.044918064</v>
      </c>
    </row>
    <row r="14" spans="1:9">
      <c r="A14" s="2">
        <f t="shared" si="0"/>
        <v>8</v>
      </c>
      <c r="C14" s="278" t="s">
        <v>2349</v>
      </c>
      <c r="E14" s="235" t="str">
        <f>"Line "&amp;A10&amp;" + Line "&amp;A13&amp;""</f>
        <v>Line 4 + Line 7</v>
      </c>
      <c r="G14" s="6">
        <f>G10+G13</f>
        <v>680121252.95508194</v>
      </c>
    </row>
    <row r="15" spans="1:9">
      <c r="A15" s="2">
        <f t="shared" si="0"/>
        <v>9</v>
      </c>
      <c r="C15" t="s">
        <v>2350</v>
      </c>
      <c r="E15" s="235" t="str">
        <f>"Line "&amp;A7&amp;" / Line "&amp;A14&amp;""</f>
        <v>Line 1 / Line 8</v>
      </c>
      <c r="G15" s="7">
        <f>G7/G14</f>
        <v>5.8811663225218191E-2</v>
      </c>
    </row>
    <row r="16" spans="1:9">
      <c r="A16" s="2">
        <f t="shared" si="0"/>
        <v>10</v>
      </c>
    </row>
    <row r="17" spans="1:8">
      <c r="A17" s="2">
        <f t="shared" si="0"/>
        <v>11</v>
      </c>
      <c r="B17" s="1" t="s">
        <v>2351</v>
      </c>
      <c r="G17" s="56"/>
    </row>
    <row r="18" spans="1:8">
      <c r="A18" s="2">
        <f t="shared" si="0"/>
        <v>12</v>
      </c>
      <c r="D18" s="2"/>
      <c r="E18" s="2" t="s">
        <v>98</v>
      </c>
      <c r="G18" s="4" t="s">
        <v>852</v>
      </c>
    </row>
    <row r="19" spans="1:8">
      <c r="A19" s="2">
        <f t="shared" si="0"/>
        <v>13</v>
      </c>
      <c r="D19" s="3" t="s">
        <v>100</v>
      </c>
      <c r="E19" s="3" t="s">
        <v>101</v>
      </c>
      <c r="G19" s="3" t="s">
        <v>102</v>
      </c>
    </row>
    <row r="20" spans="1:8">
      <c r="A20" s="2">
        <f t="shared" si="0"/>
        <v>14</v>
      </c>
      <c r="C20" t="s">
        <v>2352</v>
      </c>
      <c r="E20" s="235" t="str">
        <f>"7-PlantStudy, Line "&amp;'7-PlantStudy'!A28&amp;""</f>
        <v>7-PlantStudy, Line 21</v>
      </c>
      <c r="G20" s="6">
        <f>'7-PlantStudy'!E28</f>
        <v>11054605947.014814</v>
      </c>
    </row>
    <row r="21" spans="1:8">
      <c r="A21" s="2">
        <f t="shared" si="0"/>
        <v>15</v>
      </c>
      <c r="C21" t="s">
        <v>2353</v>
      </c>
      <c r="E21" s="235" t="str">
        <f>"7-PlantStudy, Line "&amp;'7-PlantStudy'!A42&amp;""</f>
        <v>7-PlantStudy, Line 30</v>
      </c>
      <c r="G21" s="6">
        <f>'7-PlantStudy'!E42</f>
        <v>0</v>
      </c>
    </row>
    <row r="22" spans="1:8">
      <c r="A22" s="2">
        <f t="shared" si="0"/>
        <v>16</v>
      </c>
      <c r="C22" t="s">
        <v>2354</v>
      </c>
      <c r="E22" s="235" t="str">
        <f>"6-PlantInService, Line "&amp;'6-PlantInService'!A54&amp;", C2"</f>
        <v>6-PlantInService, Line 21, C2</v>
      </c>
      <c r="G22" s="6">
        <f>'6-PlantInService'!G54</f>
        <v>2491746975</v>
      </c>
      <c r="H22" s="56"/>
    </row>
    <row r="23" spans="1:8">
      <c r="A23" s="2">
        <f t="shared" si="0"/>
        <v>17</v>
      </c>
      <c r="C23" t="s">
        <v>2355</v>
      </c>
      <c r="E23" t="str">
        <f>"Line "&amp;A22&amp;" * Line "&amp;A15&amp;""</f>
        <v>Line 16 * Line 9</v>
      </c>
      <c r="G23" s="6">
        <f>G22*G15</f>
        <v>146543783.93615618</v>
      </c>
    </row>
    <row r="24" spans="1:8">
      <c r="A24" s="2">
        <f t="shared" si="0"/>
        <v>18</v>
      </c>
      <c r="C24" t="s">
        <v>2356</v>
      </c>
      <c r="E24" s="235" t="str">
        <f>"6-PlantInService, Line "&amp;'6-PlantInService'!A54&amp;", C1"</f>
        <v>6-PlantInService, Line 21, C1</v>
      </c>
      <c r="G24" s="6">
        <f>'6-PlantInService'!F54</f>
        <v>3874397400</v>
      </c>
    </row>
    <row r="25" spans="1:8">
      <c r="A25" s="2">
        <f t="shared" si="0"/>
        <v>19</v>
      </c>
      <c r="C25" t="s">
        <v>2357</v>
      </c>
      <c r="E25" t="str">
        <f>"Line "&amp;A24&amp;" * Line "&amp;A15&amp;""</f>
        <v>Line 18 * Line 9</v>
      </c>
      <c r="G25" s="6">
        <f>G24*G15</f>
        <v>227859755.08946097</v>
      </c>
    </row>
    <row r="26" spans="1:8">
      <c r="A26" s="2">
        <f t="shared" si="0"/>
        <v>20</v>
      </c>
      <c r="C26" s="235" t="s">
        <v>2358</v>
      </c>
      <c r="E26" t="s">
        <v>865</v>
      </c>
      <c r="G26" s="5">
        <v>64134642585</v>
      </c>
    </row>
    <row r="27" spans="1:8">
      <c r="A27" s="2">
        <f t="shared" si="0"/>
        <v>21</v>
      </c>
      <c r="G27" s="56"/>
    </row>
    <row r="28" spans="1:8">
      <c r="A28" s="2">
        <f t="shared" si="0"/>
        <v>22</v>
      </c>
      <c r="C28" t="s">
        <v>127</v>
      </c>
      <c r="E28" s="235" t="str">
        <f>"(L"&amp;A20&amp;" + L"&amp;A21&amp;" + L"&amp;A23&amp;" + L"&amp;A25&amp;") / L"&amp;A26&amp;""</f>
        <v>(L14 + L15 + L17 + L19) / L20</v>
      </c>
      <c r="G28" s="7">
        <f>(G20+G21+G23+G25)/G26</f>
        <v>0.17820337068056696</v>
      </c>
    </row>
    <row r="29" spans="1:8">
      <c r="A29" s="2">
        <f t="shared" si="0"/>
        <v>23</v>
      </c>
      <c r="E29" s="235"/>
      <c r="G29" s="7"/>
    </row>
    <row r="30" spans="1:8">
      <c r="A30" s="2">
        <f t="shared" si="0"/>
        <v>24</v>
      </c>
      <c r="B30" s="1" t="s">
        <v>2359</v>
      </c>
    </row>
    <row r="31" spans="1:8">
      <c r="A31" s="2">
        <f t="shared" si="0"/>
        <v>25</v>
      </c>
      <c r="B31" s="235"/>
    </row>
    <row r="32" spans="1:8">
      <c r="A32" s="2">
        <f t="shared" si="0"/>
        <v>26</v>
      </c>
      <c r="B32" s="235" t="s">
        <v>2360</v>
      </c>
      <c r="D32" s="3" t="s">
        <v>2361</v>
      </c>
      <c r="E32" s="3" t="s">
        <v>100</v>
      </c>
      <c r="G32" s="32" t="s">
        <v>2362</v>
      </c>
    </row>
    <row r="33" spans="1:7">
      <c r="A33" s="2">
        <f t="shared" si="0"/>
        <v>27</v>
      </c>
      <c r="C33" s="235" t="s">
        <v>2363</v>
      </c>
      <c r="D33" s="523">
        <v>5722.8100000000013</v>
      </c>
      <c r="E33" s="3"/>
      <c r="G33" s="245" t="s">
        <v>2364</v>
      </c>
    </row>
    <row r="34" spans="1:7">
      <c r="A34" s="2">
        <f t="shared" si="0"/>
        <v>28</v>
      </c>
      <c r="C34" s="235" t="s">
        <v>2365</v>
      </c>
      <c r="D34" s="523">
        <v>6329.3364393939482</v>
      </c>
      <c r="E34" s="3"/>
      <c r="G34" s="245" t="s">
        <v>1488</v>
      </c>
    </row>
    <row r="35" spans="1:7">
      <c r="A35" s="2">
        <f t="shared" si="0"/>
        <v>29</v>
      </c>
      <c r="C35" s="235" t="s">
        <v>2366</v>
      </c>
      <c r="D35" s="56">
        <f>SUM(D33:D34)</f>
        <v>12052.14643939395</v>
      </c>
      <c r="E35" s="235" t="str">
        <f>" = L"&amp;A33&amp;" + L"&amp;A34&amp;""</f>
        <v xml:space="preserve"> = L27 + L28</v>
      </c>
      <c r="G35" s="245" t="s">
        <v>2367</v>
      </c>
    </row>
    <row r="36" spans="1:7">
      <c r="A36" s="2">
        <f t="shared" si="0"/>
        <v>30</v>
      </c>
      <c r="C36" s="235" t="s">
        <v>2368</v>
      </c>
      <c r="D36" s="504">
        <f>D33/D35</f>
        <v>0.47483740998153495</v>
      </c>
      <c r="E36" s="235" t="str">
        <f>" = L"&amp;A33&amp;" / L"&amp;A35&amp;""</f>
        <v xml:space="preserve"> = L27 / L29</v>
      </c>
      <c r="G36" s="31"/>
    </row>
    <row r="37" spans="1:7">
      <c r="A37" s="2">
        <f t="shared" si="0"/>
        <v>31</v>
      </c>
      <c r="B37" s="3"/>
      <c r="C37" s="3"/>
      <c r="E37" s="3"/>
      <c r="G37" s="3"/>
    </row>
    <row r="38" spans="1:7">
      <c r="A38" s="2">
        <f t="shared" si="0"/>
        <v>32</v>
      </c>
      <c r="B38" s="235" t="s">
        <v>2369</v>
      </c>
      <c r="D38" s="3" t="s">
        <v>2361</v>
      </c>
      <c r="E38" s="3" t="s">
        <v>100</v>
      </c>
      <c r="G38" s="32" t="s">
        <v>2362</v>
      </c>
    </row>
    <row r="39" spans="1:7">
      <c r="A39" s="2">
        <f t="shared" si="0"/>
        <v>33</v>
      </c>
      <c r="B39" s="37"/>
      <c r="C39" s="235" t="s">
        <v>2370</v>
      </c>
      <c r="D39" s="523">
        <v>6.42</v>
      </c>
      <c r="E39" s="3"/>
      <c r="G39" s="31" t="s">
        <v>2371</v>
      </c>
    </row>
    <row r="40" spans="1:7">
      <c r="A40" s="2">
        <f t="shared" si="0"/>
        <v>34</v>
      </c>
      <c r="B40" s="37"/>
      <c r="C40" s="235" t="s">
        <v>2372</v>
      </c>
      <c r="D40" s="523">
        <v>321.31000000000017</v>
      </c>
      <c r="E40" s="3"/>
      <c r="G40" s="31" t="s">
        <v>2373</v>
      </c>
    </row>
    <row r="41" spans="1:7">
      <c r="A41" s="2">
        <f t="shared" si="0"/>
        <v>35</v>
      </c>
      <c r="B41" s="37"/>
      <c r="C41" s="235" t="s">
        <v>2374</v>
      </c>
      <c r="D41" s="56">
        <f>SUM(D39:D40)</f>
        <v>327.73000000000019</v>
      </c>
      <c r="E41" s="235" t="str">
        <f>" = L"&amp;A39&amp;" + L"&amp;A40&amp;""</f>
        <v xml:space="preserve"> = L33 + L34</v>
      </c>
    </row>
    <row r="42" spans="1:7">
      <c r="A42" s="2">
        <f t="shared" si="0"/>
        <v>36</v>
      </c>
      <c r="B42" s="37"/>
      <c r="C42" s="235" t="s">
        <v>2375</v>
      </c>
      <c r="D42" s="504">
        <f>D39/D41</f>
        <v>1.9589296066884313E-2</v>
      </c>
      <c r="E42" s="235" t="str">
        <f>" = L"&amp;A39&amp;" / L"&amp;A41&amp;""</f>
        <v xml:space="preserve"> = L33 / L35</v>
      </c>
    </row>
    <row r="43" spans="1:7">
      <c r="A43" s="2">
        <f t="shared" si="0"/>
        <v>37</v>
      </c>
      <c r="B43" s="37"/>
      <c r="C43" s="12"/>
      <c r="E43" s="3"/>
      <c r="G43" s="6"/>
    </row>
    <row r="44" spans="1:7">
      <c r="A44" s="2">
        <f t="shared" si="0"/>
        <v>38</v>
      </c>
      <c r="B44" s="235" t="s">
        <v>2376</v>
      </c>
      <c r="D44" s="3" t="s">
        <v>2361</v>
      </c>
      <c r="E44" s="3" t="s">
        <v>100</v>
      </c>
      <c r="G44" s="32" t="s">
        <v>2362</v>
      </c>
    </row>
    <row r="45" spans="1:7">
      <c r="A45" s="2">
        <f t="shared" ref="A45:A54" si="1">A44+1</f>
        <v>39</v>
      </c>
      <c r="B45" s="37"/>
      <c r="C45" s="235" t="s">
        <v>2377</v>
      </c>
      <c r="D45" s="523">
        <v>1379</v>
      </c>
      <c r="E45" s="3"/>
      <c r="G45" s="31" t="s">
        <v>2378</v>
      </c>
    </row>
    <row r="46" spans="1:7">
      <c r="A46" s="2">
        <f t="shared" si="1"/>
        <v>40</v>
      </c>
      <c r="B46" s="37"/>
      <c r="C46" s="235" t="s">
        <v>2379</v>
      </c>
      <c r="D46" s="523">
        <v>2038</v>
      </c>
      <c r="E46" s="3"/>
      <c r="G46" s="31"/>
    </row>
    <row r="47" spans="1:7">
      <c r="A47" s="2">
        <f t="shared" si="1"/>
        <v>41</v>
      </c>
      <c r="B47" s="37"/>
      <c r="C47" s="235" t="s">
        <v>2380</v>
      </c>
      <c r="D47" s="56">
        <f>SUM(D45:D46)</f>
        <v>3417</v>
      </c>
      <c r="E47" s="235" t="str">
        <f>" = L"&amp;A45&amp;" + L"&amp;A46&amp;""</f>
        <v xml:space="preserve"> = L39 + L40</v>
      </c>
    </row>
    <row r="48" spans="1:7">
      <c r="A48" s="2">
        <f t="shared" si="1"/>
        <v>42</v>
      </c>
      <c r="B48" s="37"/>
      <c r="C48" s="235" t="s">
        <v>2381</v>
      </c>
      <c r="D48" s="504">
        <f>D45/D47</f>
        <v>0.4035703833772315</v>
      </c>
      <c r="E48" s="235" t="str">
        <f>" = L"&amp;A45&amp;" / L"&amp;A47&amp;""</f>
        <v xml:space="preserve"> = L39 / L41</v>
      </c>
    </row>
    <row r="49" spans="1:7">
      <c r="A49" s="2">
        <f t="shared" si="1"/>
        <v>43</v>
      </c>
      <c r="C49" s="25"/>
    </row>
    <row r="50" spans="1:7">
      <c r="A50" s="2">
        <f t="shared" si="1"/>
        <v>44</v>
      </c>
      <c r="B50" s="235" t="s">
        <v>2382</v>
      </c>
      <c r="D50" s="3" t="s">
        <v>2361</v>
      </c>
      <c r="E50" s="3" t="s">
        <v>100</v>
      </c>
      <c r="G50" s="32" t="s">
        <v>2362</v>
      </c>
    </row>
    <row r="51" spans="1:7">
      <c r="A51" s="2">
        <f t="shared" si="1"/>
        <v>45</v>
      </c>
      <c r="B51" s="37"/>
      <c r="C51" s="235" t="s">
        <v>2383</v>
      </c>
      <c r="D51" s="523">
        <v>0</v>
      </c>
      <c r="E51" s="3"/>
      <c r="G51" s="245" t="s">
        <v>1507</v>
      </c>
    </row>
    <row r="52" spans="1:7">
      <c r="A52" s="2">
        <f t="shared" si="1"/>
        <v>46</v>
      </c>
      <c r="B52" s="37"/>
      <c r="C52" s="235" t="s">
        <v>2384</v>
      </c>
      <c r="D52" s="523">
        <v>8968</v>
      </c>
      <c r="E52" s="3"/>
      <c r="G52" s="245" t="s">
        <v>1508</v>
      </c>
    </row>
    <row r="53" spans="1:7">
      <c r="A53" s="2">
        <f t="shared" si="1"/>
        <v>47</v>
      </c>
      <c r="B53" s="37"/>
      <c r="C53" s="235" t="s">
        <v>2385</v>
      </c>
      <c r="D53" s="56">
        <f>D51+D52</f>
        <v>8968</v>
      </c>
      <c r="E53" s="235" t="str">
        <f>" = L"&amp;A51&amp;" + L"&amp;A52&amp;""</f>
        <v xml:space="preserve"> = L45 + L46</v>
      </c>
      <c r="G53" s="245" t="s">
        <v>1509</v>
      </c>
    </row>
    <row r="54" spans="1:7">
      <c r="A54" s="2">
        <f t="shared" si="1"/>
        <v>48</v>
      </c>
      <c r="B54" s="37"/>
      <c r="C54" s="235" t="s">
        <v>2386</v>
      </c>
      <c r="D54" s="504">
        <f>D51/D53</f>
        <v>0</v>
      </c>
      <c r="E54" s="235" t="str">
        <f>" = L"&amp;A51&amp;" / L"&amp;A53&amp;""</f>
        <v xml:space="preserve"> = L45 / L47</v>
      </c>
      <c r="G54" s="245" t="s">
        <v>1510</v>
      </c>
    </row>
    <row r="55" spans="1:7">
      <c r="A55" s="2"/>
    </row>
    <row r="56" spans="1:7">
      <c r="A56" s="2"/>
    </row>
    <row r="57" spans="1:7">
      <c r="A57" s="2"/>
    </row>
    <row r="58" spans="1:7">
      <c r="A58" s="2"/>
    </row>
    <row r="59" spans="1:7">
      <c r="A59" s="2"/>
    </row>
    <row r="60" spans="1:7">
      <c r="A60" s="2"/>
    </row>
    <row r="61" spans="1:7">
      <c r="A61" s="2"/>
    </row>
    <row r="62" spans="1:7">
      <c r="A62" s="2"/>
    </row>
    <row r="63" spans="1:7">
      <c r="A63" s="2"/>
    </row>
    <row r="64" spans="1:7">
      <c r="A64" s="2"/>
    </row>
    <row r="65" spans="1:1">
      <c r="A65" s="2"/>
    </row>
    <row r="66" spans="1:1">
      <c r="A66" s="2"/>
    </row>
  </sheetData>
  <phoneticPr fontId="23" type="noConversion"/>
  <pageMargins left="0.75" right="0.75" top="1" bottom="1" header="0.5" footer="0.5"/>
  <pageSetup scale="65" orientation="landscape" cellComments="asDisplayed" r:id="rId1"/>
  <headerFooter alignWithMargins="0">
    <oddHeader>&amp;CSchedule 27
Allocation Factors
&amp;RTO2025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75"/>
  <cols>
    <col min="1" max="1" width="4.5703125" customWidth="1"/>
    <col min="2" max="2" width="3.5703125" customWidth="1"/>
    <col min="3" max="6" width="10.5703125" customWidth="1"/>
    <col min="7" max="7" width="9.42578125" bestFit="1" customWidth="1"/>
    <col min="8" max="8" width="4.5703125" customWidth="1"/>
    <col min="9" max="9" width="35.5703125" customWidth="1"/>
  </cols>
  <sheetData>
    <row r="1" spans="1:9">
      <c r="A1" s="1" t="s">
        <v>2387</v>
      </c>
    </row>
    <row r="2" spans="1:9">
      <c r="C2" s="666"/>
      <c r="D2" s="1" t="s">
        <v>193</v>
      </c>
      <c r="E2" s="242" t="s">
        <v>2388</v>
      </c>
      <c r="F2" s="266"/>
    </row>
    <row r="3" spans="1:9">
      <c r="B3" s="1" t="s">
        <v>2389</v>
      </c>
      <c r="I3" s="54" t="s">
        <v>628</v>
      </c>
    </row>
    <row r="4" spans="1:9">
      <c r="B4" s="1"/>
    </row>
    <row r="5" spans="1:9">
      <c r="E5" s="2" t="s">
        <v>2390</v>
      </c>
    </row>
    <row r="6" spans="1:9">
      <c r="A6" s="30" t="s">
        <v>266</v>
      </c>
      <c r="C6" s="3" t="s">
        <v>505</v>
      </c>
      <c r="D6" s="3" t="s">
        <v>506</v>
      </c>
      <c r="E6" s="30" t="s">
        <v>852</v>
      </c>
      <c r="G6" s="3" t="s">
        <v>2391</v>
      </c>
      <c r="I6" s="30" t="s">
        <v>246</v>
      </c>
    </row>
    <row r="7" spans="1:9">
      <c r="A7" s="2">
        <v>1</v>
      </c>
      <c r="C7" s="83">
        <v>2023</v>
      </c>
      <c r="D7" s="369" t="s">
        <v>2392</v>
      </c>
      <c r="E7" s="84">
        <v>365</v>
      </c>
      <c r="G7" s="1008">
        <v>9.3645816374923023E-3</v>
      </c>
      <c r="I7" s="399" t="s">
        <v>2943</v>
      </c>
    </row>
    <row r="8" spans="1:9">
      <c r="A8" s="2">
        <v>2</v>
      </c>
      <c r="C8" s="54"/>
      <c r="D8" s="54"/>
      <c r="E8" s="54"/>
      <c r="G8" s="54"/>
      <c r="I8" s="242"/>
    </row>
    <row r="10" spans="1:9">
      <c r="B10" s="1" t="s">
        <v>2393</v>
      </c>
    </row>
    <row r="11" spans="1:9">
      <c r="B11" s="1"/>
    </row>
    <row r="12" spans="1:9">
      <c r="E12" s="2" t="s">
        <v>2390</v>
      </c>
    </row>
    <row r="13" spans="1:9">
      <c r="C13" s="3" t="s">
        <v>505</v>
      </c>
      <c r="D13" s="3" t="s">
        <v>506</v>
      </c>
      <c r="E13" s="30" t="s">
        <v>852</v>
      </c>
      <c r="G13" s="3" t="s">
        <v>2394</v>
      </c>
      <c r="I13" s="30" t="s">
        <v>246</v>
      </c>
    </row>
    <row r="14" spans="1:9">
      <c r="A14" s="2">
        <v>3</v>
      </c>
      <c r="C14" s="83">
        <v>2023</v>
      </c>
      <c r="D14" s="84" t="s">
        <v>2392</v>
      </c>
      <c r="E14" s="84">
        <v>365</v>
      </c>
      <c r="G14" s="1099">
        <v>7.6558573610423109E-3</v>
      </c>
      <c r="I14" s="242"/>
    </row>
    <row r="15" spans="1:9">
      <c r="A15" s="2">
        <v>4</v>
      </c>
      <c r="C15" s="83"/>
      <c r="D15" s="54"/>
      <c r="E15" s="54"/>
      <c r="G15" s="51"/>
      <c r="I15" s="242"/>
    </row>
    <row r="18" spans="1:9">
      <c r="B18" s="1" t="s">
        <v>2395</v>
      </c>
    </row>
    <row r="19" spans="1:9">
      <c r="B19" s="1"/>
    </row>
    <row r="20" spans="1:9">
      <c r="C20" s="2" t="s">
        <v>407</v>
      </c>
      <c r="D20" s="2"/>
      <c r="E20" s="2"/>
    </row>
    <row r="21" spans="1:9">
      <c r="C21" s="3" t="s">
        <v>365</v>
      </c>
      <c r="D21" s="3" t="s">
        <v>2391</v>
      </c>
      <c r="E21" s="3" t="s">
        <v>2394</v>
      </c>
      <c r="I21" s="30" t="s">
        <v>100</v>
      </c>
    </row>
    <row r="22" spans="1:9">
      <c r="A22" s="2">
        <v>5</v>
      </c>
      <c r="C22" s="84">
        <v>2023</v>
      </c>
      <c r="D22" s="368">
        <f>E41</f>
        <v>9.3645816374923023E-3</v>
      </c>
      <c r="E22" s="368">
        <f>E42</f>
        <v>7.6558573610423109E-3</v>
      </c>
      <c r="I22" s="235" t="s">
        <v>2396</v>
      </c>
    </row>
    <row r="24" spans="1:9">
      <c r="B24" s="1" t="s">
        <v>226</v>
      </c>
    </row>
    <row r="25" spans="1:9">
      <c r="B25" s="235" t="s">
        <v>2397</v>
      </c>
    </row>
    <row r="26" spans="1:9">
      <c r="B26" s="235" t="s">
        <v>2398</v>
      </c>
    </row>
    <row r="28" spans="1:9">
      <c r="B28" s="1" t="s">
        <v>426</v>
      </c>
    </row>
    <row r="29" spans="1:9">
      <c r="B29" s="235" t="s">
        <v>2399</v>
      </c>
    </row>
    <row r="30" spans="1:9">
      <c r="B30" s="235" t="s">
        <v>2400</v>
      </c>
    </row>
    <row r="31" spans="1:9">
      <c r="B31" s="235" t="s">
        <v>2401</v>
      </c>
    </row>
    <row r="32" spans="1:9">
      <c r="B32" s="235" t="s">
        <v>2402</v>
      </c>
    </row>
    <row r="33" spans="2:7">
      <c r="B33" s="235" t="s">
        <v>2403</v>
      </c>
    </row>
    <row r="34" spans="2:7">
      <c r="B34" s="235" t="s">
        <v>2404</v>
      </c>
    </row>
    <row r="35" spans="2:7">
      <c r="B35" s="235" t="s">
        <v>2405</v>
      </c>
    </row>
    <row r="36" spans="2:7">
      <c r="B36" s="235" t="s">
        <v>2406</v>
      </c>
    </row>
    <row r="37" spans="2:7">
      <c r="B37" s="235" t="s">
        <v>2407</v>
      </c>
    </row>
    <row r="38" spans="2:7">
      <c r="B38" s="235" t="s">
        <v>2408</v>
      </c>
    </row>
    <row r="40" spans="2:7">
      <c r="E40" s="3" t="s">
        <v>1526</v>
      </c>
      <c r="G40" s="30" t="s">
        <v>463</v>
      </c>
    </row>
    <row r="41" spans="2:7">
      <c r="D41" s="233" t="s">
        <v>2409</v>
      </c>
      <c r="E41" s="368">
        <f>((G7*E7) + (G8*E8))/(E7+E8)</f>
        <v>9.3645816374923023E-3</v>
      </c>
      <c r="G41" s="245" t="s">
        <v>2410</v>
      </c>
    </row>
    <row r="42" spans="2:7">
      <c r="D42" s="233" t="s">
        <v>2411</v>
      </c>
      <c r="E42" s="368">
        <f>((G14*E14) + (G15*E15))/(E14+E15)</f>
        <v>7.6558573610423109E-3</v>
      </c>
      <c r="G42" s="245" t="s">
        <v>2412</v>
      </c>
    </row>
  </sheetData>
  <phoneticPr fontId="23" type="noConversion"/>
  <pageMargins left="0.75" right="0.75" top="1" bottom="1" header="0.5" footer="0.5"/>
  <pageSetup scale="82" orientation="portrait" cellComments="asDisplayed" r:id="rId1"/>
  <headerFooter alignWithMargins="0">
    <oddHeader>&amp;CSchedule 28
FF and U
&amp;RTO2025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election activeCell="B5" sqref="B5"/>
    </sheetView>
  </sheetViews>
  <sheetFormatPr defaultRowHeight="12.75"/>
  <cols>
    <col min="1" max="1" width="4.5703125" customWidth="1"/>
    <col min="2" max="2" width="17.42578125" customWidth="1"/>
    <col min="3" max="3" width="25.5703125" customWidth="1"/>
    <col min="4" max="6" width="13.5703125" customWidth="1"/>
    <col min="7" max="7" width="3.5703125" customWidth="1"/>
    <col min="8" max="8" width="14.5703125" customWidth="1"/>
    <col min="9" max="10" width="13.5703125" customWidth="1"/>
  </cols>
  <sheetData>
    <row r="1" spans="1:10">
      <c r="A1" s="1" t="s">
        <v>2413</v>
      </c>
    </row>
    <row r="2" spans="1:10">
      <c r="G2" s="27" t="s">
        <v>628</v>
      </c>
      <c r="H2" s="27"/>
      <c r="I2" s="54"/>
    </row>
    <row r="3" spans="1:10">
      <c r="A3" s="3" t="s">
        <v>266</v>
      </c>
      <c r="B3" s="3" t="s">
        <v>2414</v>
      </c>
      <c r="F3" s="30" t="s">
        <v>100</v>
      </c>
      <c r="G3" s="30" t="s">
        <v>644</v>
      </c>
      <c r="J3" s="30"/>
    </row>
    <row r="4" spans="1:10">
      <c r="A4" s="2">
        <v>1</v>
      </c>
      <c r="B4" s="237">
        <f>'1-BaseTRR'!K160</f>
        <v>1332271956.1504171</v>
      </c>
      <c r="C4" s="31" t="s">
        <v>2415</v>
      </c>
      <c r="G4" s="235" t="str">
        <f>"1-BaseTRR, Line "&amp;'1-BaseTRR'!A160&amp;""</f>
        <v>1-BaseTRR, Line 89</v>
      </c>
    </row>
    <row r="5" spans="1:10">
      <c r="A5" s="2">
        <f t="shared" ref="A5:A10" si="0">A4+1</f>
        <v>2</v>
      </c>
      <c r="B5" s="1102">
        <v>-212867662</v>
      </c>
      <c r="C5" s="31" t="s">
        <v>2416</v>
      </c>
      <c r="F5" s="235" t="s">
        <v>144</v>
      </c>
      <c r="G5" s="1144" t="s">
        <v>2971</v>
      </c>
      <c r="H5" s="1144"/>
      <c r="I5" s="1073" t="s">
        <v>2972</v>
      </c>
    </row>
    <row r="6" spans="1:10">
      <c r="A6" s="2">
        <f t="shared" si="0"/>
        <v>3</v>
      </c>
      <c r="B6" s="1102">
        <v>-211547367</v>
      </c>
      <c r="C6" s="31" t="s">
        <v>2417</v>
      </c>
      <c r="G6" s="1144" t="s">
        <v>2971</v>
      </c>
      <c r="H6" s="1144"/>
      <c r="I6" s="1073" t="s">
        <v>2972</v>
      </c>
    </row>
    <row r="7" spans="1:10">
      <c r="A7" s="2">
        <f t="shared" si="0"/>
        <v>4</v>
      </c>
      <c r="B7" s="1102">
        <v>-1320295</v>
      </c>
      <c r="C7" s="31" t="s">
        <v>2418</v>
      </c>
      <c r="G7" s="1144" t="s">
        <v>2971</v>
      </c>
      <c r="H7" s="1144"/>
      <c r="I7" s="1073" t="s">
        <v>2972</v>
      </c>
    </row>
    <row r="8" spans="1:10">
      <c r="A8" s="2">
        <f t="shared" si="0"/>
        <v>5</v>
      </c>
      <c r="B8" s="237">
        <f>-'33-RetailRates'!E61</f>
        <v>-9923704.8600849342</v>
      </c>
      <c r="C8" s="31" t="s">
        <v>2419</v>
      </c>
      <c r="F8" t="s">
        <v>165</v>
      </c>
      <c r="G8" t="s">
        <v>2420</v>
      </c>
    </row>
    <row r="9" spans="1:10">
      <c r="A9" s="2">
        <f t="shared" si="0"/>
        <v>6</v>
      </c>
      <c r="B9" s="7">
        <f>'31-HVLV'!C45</f>
        <v>0.95545389370864942</v>
      </c>
      <c r="C9" s="31" t="s">
        <v>2421</v>
      </c>
      <c r="G9" s="235" t="str">
        <f>"31-HVLV, Line "&amp;'31-HVLV'!A45&amp;""</f>
        <v>31-HVLV, Line 37</v>
      </c>
    </row>
    <row r="10" spans="1:10">
      <c r="A10" s="2">
        <f t="shared" si="0"/>
        <v>7</v>
      </c>
      <c r="B10" s="7">
        <f>'31-HVLV'!D45</f>
        <v>4.4546106291350571E-2</v>
      </c>
      <c r="C10" s="31" t="s">
        <v>2422</v>
      </c>
      <c r="G10" s="235" t="str">
        <f>"31-HVLV, Line "&amp;'31-HVLV'!A45&amp;""</f>
        <v>31-HVLV, Line 37</v>
      </c>
    </row>
    <row r="11" spans="1:10">
      <c r="C11" s="25"/>
      <c r="D11" s="333"/>
      <c r="E11" s="333"/>
      <c r="F11" s="333"/>
      <c r="G11" s="333"/>
      <c r="H11" s="333"/>
      <c r="J11" s="333"/>
    </row>
    <row r="12" spans="1:10">
      <c r="B12" s="1" t="s">
        <v>2423</v>
      </c>
      <c r="C12" s="25"/>
      <c r="D12" s="333"/>
      <c r="E12" s="333"/>
      <c r="F12" s="333"/>
      <c r="G12" s="333"/>
      <c r="H12" s="333"/>
    </row>
    <row r="13" spans="1:10">
      <c r="B13" s="1"/>
      <c r="C13" s="25"/>
      <c r="D13" s="333"/>
      <c r="E13" s="333"/>
      <c r="F13" s="333"/>
      <c r="G13" s="333"/>
      <c r="H13" s="333"/>
    </row>
    <row r="14" spans="1:10">
      <c r="B14" s="1"/>
      <c r="C14" s="25"/>
      <c r="D14" s="48" t="s">
        <v>329</v>
      </c>
      <c r="E14" s="48" t="s">
        <v>330</v>
      </c>
      <c r="F14" s="48" t="s">
        <v>331</v>
      </c>
      <c r="G14" s="333"/>
      <c r="H14" s="333"/>
    </row>
    <row r="15" spans="1:10">
      <c r="B15" s="1"/>
      <c r="C15" s="25"/>
      <c r="F15" s="333"/>
      <c r="G15" s="333"/>
      <c r="H15" s="333"/>
    </row>
    <row r="16" spans="1:10">
      <c r="E16" s="2" t="s">
        <v>2424</v>
      </c>
      <c r="F16" s="2" t="s">
        <v>2425</v>
      </c>
    </row>
    <row r="17" spans="1:8">
      <c r="C17" s="25"/>
      <c r="D17" s="3" t="s">
        <v>2426</v>
      </c>
      <c r="E17" s="3" t="s">
        <v>2427</v>
      </c>
      <c r="F17" s="3" t="s">
        <v>2427</v>
      </c>
      <c r="G17" s="3"/>
      <c r="H17" s="3" t="s">
        <v>644</v>
      </c>
    </row>
    <row r="18" spans="1:8">
      <c r="A18" s="2">
        <f>A10+1</f>
        <v>8</v>
      </c>
      <c r="B18" s="52"/>
      <c r="C18" s="39" t="s">
        <v>2428</v>
      </c>
      <c r="D18" s="6">
        <f>B4</f>
        <v>1332271956.1504171</v>
      </c>
      <c r="E18" s="6">
        <f>D18*B9</f>
        <v>1272924427.9827549</v>
      </c>
      <c r="F18" s="6">
        <f>D18*B10</f>
        <v>59347528.167662024</v>
      </c>
      <c r="G18" s="6"/>
      <c r="H18" s="235" t="s">
        <v>340</v>
      </c>
    </row>
    <row r="19" spans="1:8">
      <c r="A19" s="2">
        <f>A18+1</f>
        <v>9</v>
      </c>
      <c r="B19" s="52"/>
      <c r="C19" s="39" t="s">
        <v>2429</v>
      </c>
      <c r="D19" s="6">
        <f>'24-CWIPTRR'!E149</f>
        <v>11728437.475755841</v>
      </c>
      <c r="E19" s="6">
        <f>'24-CWIPTRR'!E149</f>
        <v>11728437.475755841</v>
      </c>
      <c r="F19" s="6">
        <v>0</v>
      </c>
      <c r="G19" s="6"/>
      <c r="H19" s="235" t="s">
        <v>341</v>
      </c>
    </row>
    <row r="20" spans="1:8">
      <c r="A20" s="2">
        <f>A19+1</f>
        <v>10</v>
      </c>
      <c r="B20" s="52"/>
      <c r="C20" s="39" t="s">
        <v>2430</v>
      </c>
      <c r="D20" s="6">
        <f>D18-D19</f>
        <v>1320543518.6746612</v>
      </c>
      <c r="E20" s="6">
        <f t="shared" ref="E20:F20" si="1">E18-E19</f>
        <v>1261195990.506999</v>
      </c>
      <c r="F20" s="6">
        <f t="shared" si="1"/>
        <v>59347528.167662024</v>
      </c>
      <c r="G20" s="6"/>
      <c r="H20" s="235" t="s">
        <v>343</v>
      </c>
    </row>
    <row r="21" spans="1:8">
      <c r="B21" s="52"/>
      <c r="C21" s="52"/>
      <c r="D21" s="6"/>
      <c r="E21" s="6"/>
      <c r="F21" s="6"/>
      <c r="G21" s="6"/>
    </row>
    <row r="22" spans="1:8">
      <c r="A22" s="2">
        <f>A20+1</f>
        <v>11</v>
      </c>
      <c r="B22" s="1"/>
      <c r="C22" s="39" t="s">
        <v>2431</v>
      </c>
      <c r="D22" s="6">
        <f>B5</f>
        <v>-212867662</v>
      </c>
      <c r="E22" s="6">
        <f>B6</f>
        <v>-211547367</v>
      </c>
      <c r="F22" s="6">
        <f>B7</f>
        <v>-1320295</v>
      </c>
      <c r="G22" s="6"/>
      <c r="H22" t="str">
        <f>"Lines "&amp;A5&amp;" to "&amp;A7&amp;""</f>
        <v>Lines 2 to 4</v>
      </c>
    </row>
    <row r="23" spans="1:8">
      <c r="B23" s="1"/>
      <c r="C23" s="39"/>
      <c r="D23" s="6"/>
      <c r="E23" s="6"/>
      <c r="F23" s="6"/>
      <c r="G23" s="6"/>
    </row>
    <row r="24" spans="1:8">
      <c r="A24" s="2">
        <f>A22+1</f>
        <v>12</v>
      </c>
      <c r="B24" s="1"/>
      <c r="C24" s="39" t="s">
        <v>2432</v>
      </c>
      <c r="D24" s="53">
        <f>$B$8</f>
        <v>-9923704.8600849342</v>
      </c>
      <c r="E24" s="53">
        <f>$B$8*$B$9</f>
        <v>-9481642.4485835992</v>
      </c>
      <c r="F24" s="53">
        <f>$B$8*$B$10</f>
        <v>-442062.41150133574</v>
      </c>
      <c r="G24" s="53"/>
      <c r="H24" s="235" t="s">
        <v>344</v>
      </c>
    </row>
    <row r="25" spans="1:8">
      <c r="A25" s="2"/>
      <c r="B25" s="1"/>
      <c r="C25" s="39"/>
      <c r="D25" s="53"/>
      <c r="E25" s="53"/>
      <c r="F25" s="53"/>
      <c r="G25" s="53"/>
      <c r="H25" s="235"/>
    </row>
    <row r="26" spans="1:8">
      <c r="B26" s="1"/>
      <c r="C26" s="39" t="s">
        <v>2433</v>
      </c>
      <c r="D26" s="53"/>
      <c r="E26" s="53"/>
      <c r="F26" s="53"/>
      <c r="G26" s="53"/>
    </row>
    <row r="27" spans="1:8">
      <c r="A27" s="2">
        <f>A24+1</f>
        <v>13</v>
      </c>
      <c r="B27" s="1"/>
      <c r="C27" s="39" t="s">
        <v>2434</v>
      </c>
      <c r="D27" s="6">
        <f>D18+D22+D24</f>
        <v>1109480589.2903321</v>
      </c>
      <c r="E27" s="6">
        <f>E18+E22+E24</f>
        <v>1051895418.5341713</v>
      </c>
      <c r="F27" s="6">
        <f>F18+F22+F24</f>
        <v>57585170.756160691</v>
      </c>
      <c r="G27" s="6"/>
      <c r="H27" s="237" t="str">
        <f>"Sum of Lines "&amp;A18&amp;", "&amp;A22&amp;", and "&amp;A24&amp;""</f>
        <v>Sum of Lines 8, 11, and 12</v>
      </c>
    </row>
    <row r="28" spans="1:8">
      <c r="E28" s="6"/>
    </row>
    <row r="29" spans="1:8">
      <c r="B29" s="30" t="s">
        <v>226</v>
      </c>
    </row>
    <row r="30" spans="1:8">
      <c r="B30" s="235" t="s">
        <v>2435</v>
      </c>
    </row>
    <row r="31" spans="1:8">
      <c r="B31" s="235" t="s">
        <v>2436</v>
      </c>
    </row>
    <row r="32" spans="1:8">
      <c r="B32" s="235" t="s">
        <v>2437</v>
      </c>
    </row>
    <row r="33" spans="2:5">
      <c r="B33" s="235" t="s">
        <v>2438</v>
      </c>
      <c r="D33" s="242" t="s">
        <v>2807</v>
      </c>
      <c r="E33" s="54"/>
    </row>
    <row r="34" spans="2:5">
      <c r="B34" s="235" t="str">
        <f>"3) Column 1 is from Line "&amp;A4&amp;"."</f>
        <v>3) Column 1 is from Line 1.</v>
      </c>
    </row>
    <row r="35" spans="2:5">
      <c r="B35" s="234" t="str">
        <f>"Column 2 equals Column 1 * Line "&amp;A9&amp;"."</f>
        <v>Column 2 equals Column 1 * Line 6.</v>
      </c>
    </row>
    <row r="36" spans="2:5">
      <c r="B36" s="234" t="str">
        <f>"Column 3 equals Column 1 * Line "&amp;A10&amp;"."</f>
        <v>Column 3 equals Column 1 * Line 7.</v>
      </c>
    </row>
    <row r="37" spans="2:5">
      <c r="B37" t="str">
        <f>"4) From 24-CWIPTRR, Line "&amp;'24-CWIPTRR'!A149&amp;".  All High Voltage."</f>
        <v>4) From 24-CWIPTRR, Line 92.  All High Voltage.</v>
      </c>
    </row>
    <row r="38" spans="2:5">
      <c r="B38" t="str">
        <f>"5) Line "&amp;A18&amp;" - Line "&amp;A19&amp;""</f>
        <v>5) Line 8 - Line 9</v>
      </c>
    </row>
    <row r="39" spans="2:5">
      <c r="B39" s="235" t="str">
        <f>"6) Column 1 is from Line "&amp;A8&amp;"."</f>
        <v>6) Column 1 is from Line 5.</v>
      </c>
    </row>
    <row r="40" spans="2:5">
      <c r="B40" s="234" t="str">
        <f>"Column 2 equals Column 1 * Line "&amp;A9&amp;"."</f>
        <v>Column 2 equals Column 1 * Line 6.</v>
      </c>
    </row>
    <row r="41" spans="2:5">
      <c r="B41" s="234" t="str">
        <f>"Column 3 equals Column 1 * Line "&amp;A10&amp;"."</f>
        <v>Column 3 equals Column 1 * Line 7.</v>
      </c>
    </row>
  </sheetData>
  <mergeCells count="3">
    <mergeCell ref="G5:H5"/>
    <mergeCell ref="G6:H6"/>
    <mergeCell ref="G7:H7"/>
  </mergeCells>
  <phoneticPr fontId="23" type="noConversion"/>
  <pageMargins left="0.75" right="0.75" top="1" bottom="1" header="0.5" footer="0.5"/>
  <pageSetup scale="90" orientation="landscape" cellComments="asDisplayed" r:id="rId1"/>
  <headerFooter alignWithMargins="0">
    <oddHeader>&amp;CSchedule 29
Wholesale TRRs
&amp;RTO2025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3"/>
  <sheetViews>
    <sheetView zoomScaleNormal="100" workbookViewId="0"/>
  </sheetViews>
  <sheetFormatPr defaultRowHeight="12.75"/>
  <cols>
    <col min="1" max="2" width="4.5703125" customWidth="1"/>
    <col min="4" max="4" width="24.42578125" customWidth="1"/>
    <col min="5" max="5" width="17.5703125" customWidth="1"/>
    <col min="6" max="6" width="10.140625" style="12" customWidth="1"/>
    <col min="7" max="7" width="10.42578125" bestFit="1" customWidth="1"/>
  </cols>
  <sheetData>
    <row r="1" spans="1:7">
      <c r="A1" s="1" t="s">
        <v>2439</v>
      </c>
    </row>
    <row r="2" spans="1:7">
      <c r="B2" s="1"/>
    </row>
    <row r="3" spans="1:7">
      <c r="B3" s="235" t="s">
        <v>2440</v>
      </c>
    </row>
    <row r="4" spans="1:7">
      <c r="B4" s="235"/>
    </row>
    <row r="5" spans="1:7">
      <c r="B5" s="234" t="s">
        <v>2441</v>
      </c>
    </row>
    <row r="6" spans="1:7">
      <c r="B6" s="234" t="s">
        <v>2442</v>
      </c>
    </row>
    <row r="7" spans="1:7">
      <c r="B7" s="234" t="s">
        <v>2443</v>
      </c>
    </row>
    <row r="8" spans="1:7">
      <c r="B8" s="235"/>
    </row>
    <row r="9" spans="1:7">
      <c r="B9" s="235"/>
    </row>
    <row r="10" spans="1:7">
      <c r="B10" s="1" t="s">
        <v>2444</v>
      </c>
    </row>
    <row r="11" spans="1:7">
      <c r="A11" s="3" t="s">
        <v>266</v>
      </c>
      <c r="G11" s="3" t="s">
        <v>644</v>
      </c>
    </row>
    <row r="12" spans="1:7">
      <c r="A12" s="2">
        <v>1</v>
      </c>
      <c r="D12" s="233" t="s">
        <v>2445</v>
      </c>
      <c r="E12" s="6">
        <f>'29-WholesaleTRRs'!F27</f>
        <v>57585170.756160691</v>
      </c>
      <c r="G12" s="234" t="str">
        <f>"29-WholesaleTRRs, Line "&amp;'29-WholesaleTRRs'!A27&amp;", C3"</f>
        <v>29-WholesaleTRRs, Line 13, C3</v>
      </c>
    </row>
    <row r="13" spans="1:7">
      <c r="A13" s="2">
        <f>A12+1</f>
        <v>2</v>
      </c>
      <c r="D13" s="233" t="s">
        <v>2446</v>
      </c>
      <c r="E13" s="56">
        <f>'32-GrossLoad'!F8</f>
        <v>87293986.534327</v>
      </c>
      <c r="F13" s="234" t="s">
        <v>2447</v>
      </c>
      <c r="G13" s="234" t="str">
        <f>"32-Gross Load, Line "&amp;'32-GrossLoad'!A8&amp;""</f>
        <v>32-Gross Load, Line 4</v>
      </c>
    </row>
    <row r="14" spans="1:7">
      <c r="A14" s="2">
        <f>A13+1</f>
        <v>3</v>
      </c>
      <c r="D14" s="233" t="s">
        <v>2448</v>
      </c>
      <c r="E14" s="1015">
        <f>E12/(E13*1000)</f>
        <v>6.5966938895059199E-4</v>
      </c>
      <c r="F14" s="12" t="s">
        <v>2449</v>
      </c>
      <c r="G14" s="12" t="str">
        <f>"Line "&amp;A12&amp;" / (Line "&amp;A13&amp;" * 1000)"</f>
        <v>Line 1 / (Line 2 * 1000)</v>
      </c>
    </row>
    <row r="15" spans="1:7">
      <c r="D15" s="25"/>
      <c r="E15" s="41"/>
    </row>
    <row r="17" spans="1:7">
      <c r="B17" s="1" t="s">
        <v>2450</v>
      </c>
    </row>
    <row r="18" spans="1:7">
      <c r="C18" s="31" t="s">
        <v>2451</v>
      </c>
    </row>
    <row r="19" spans="1:7">
      <c r="G19" s="3" t="s">
        <v>644</v>
      </c>
    </row>
    <row r="20" spans="1:7">
      <c r="A20" s="2">
        <f>A14+1</f>
        <v>4</v>
      </c>
      <c r="D20" s="25" t="s">
        <v>2452</v>
      </c>
      <c r="E20" s="6">
        <f>'29-WholesaleTRRs'!E27</f>
        <v>1051895418.5341713</v>
      </c>
      <c r="G20" s="234" t="str">
        <f>"29-WholesaleTRRs, Line "&amp;'29-WholesaleTRRs'!A27&amp;", C2"</f>
        <v>29-WholesaleTRRs, Line 13, C2</v>
      </c>
    </row>
    <row r="21" spans="1:7">
      <c r="A21" s="2">
        <f>A20+1</f>
        <v>5</v>
      </c>
      <c r="D21" s="233" t="s">
        <v>2446</v>
      </c>
      <c r="E21" s="56">
        <f>'32-GrossLoad'!F8</f>
        <v>87293986.534327</v>
      </c>
      <c r="F21" s="234" t="s">
        <v>2447</v>
      </c>
      <c r="G21" s="234" t="str">
        <f>"32-Gross Load, Line "&amp;'32-GrossLoad'!A8&amp;""</f>
        <v>32-Gross Load, Line 4</v>
      </c>
    </row>
    <row r="22" spans="1:7">
      <c r="A22" s="2">
        <f>A21+1</f>
        <v>6</v>
      </c>
      <c r="D22" s="233" t="s">
        <v>2453</v>
      </c>
      <c r="E22" s="1016">
        <f>E20/(E21*1000)</f>
        <v>1.205003300107654E-2</v>
      </c>
      <c r="F22" s="12" t="s">
        <v>2449</v>
      </c>
      <c r="G22" s="12" t="str">
        <f>"Line "&amp;A20&amp;" / (Line "&amp;A21&amp;" * 1000)"</f>
        <v>Line 4 / (Line 5 * 1000)</v>
      </c>
    </row>
    <row r="24" spans="1:7">
      <c r="B24" s="1" t="s">
        <v>2454</v>
      </c>
    </row>
    <row r="25" spans="1:7">
      <c r="G25" s="3" t="s">
        <v>644</v>
      </c>
    </row>
    <row r="26" spans="1:7">
      <c r="A26" s="2">
        <f>A22+1</f>
        <v>7</v>
      </c>
      <c r="D26" s="233" t="s">
        <v>2455</v>
      </c>
      <c r="E26" s="6">
        <f>'29-WholesaleTRRs'!E27</f>
        <v>1051895418.5341713</v>
      </c>
      <c r="G26" s="234" t="str">
        <f>"29-WholesaleTRRs, Line "&amp;'29-WholesaleTRRs'!A27&amp;", C2"</f>
        <v>29-WholesaleTRRs, Line 13, C2</v>
      </c>
    </row>
    <row r="27" spans="1:7">
      <c r="A27" s="2">
        <f>A26+1</f>
        <v>8</v>
      </c>
      <c r="D27" s="233" t="s">
        <v>2456</v>
      </c>
      <c r="E27" s="56">
        <f>'32-GrossLoad'!F11</f>
        <v>172930.92388000002</v>
      </c>
      <c r="F27" s="12" t="s">
        <v>2457</v>
      </c>
      <c r="G27" s="234" t="str">
        <f>"32-Gross Load, Line "&amp;'32-GrossLoad'!A11&amp;""</f>
        <v>32-Gross Load, Line 5</v>
      </c>
    </row>
    <row r="28" spans="1:7">
      <c r="A28" s="2">
        <f>A27+1</f>
        <v>9</v>
      </c>
      <c r="D28" s="233" t="s">
        <v>2458</v>
      </c>
      <c r="E28" s="41">
        <f>ROUND((E26/(E27*1000)),2)</f>
        <v>6.08</v>
      </c>
      <c r="F28" s="234" t="s">
        <v>2459</v>
      </c>
      <c r="G28" s="12" t="str">
        <f>"Line "&amp;A26&amp;" / (Line "&amp;A27&amp;" * 1000)"</f>
        <v>Line 7 / (Line 8 * 1000)</v>
      </c>
    </row>
    <row r="31" spans="1:7">
      <c r="B31" s="30" t="s">
        <v>226</v>
      </c>
    </row>
    <row r="32" spans="1:7">
      <c r="B32" s="235" t="s">
        <v>2460</v>
      </c>
    </row>
    <row r="33" spans="2:2">
      <c r="B33" s="235" t="s">
        <v>2461</v>
      </c>
    </row>
  </sheetData>
  <phoneticPr fontId="23" type="noConversion"/>
  <pageMargins left="0.75" right="0.75" top="1" bottom="1" header="0.5" footer="0.5"/>
  <pageSetup scale="84" orientation="portrait" cellComments="asDisplayed" r:id="rId1"/>
  <headerFooter alignWithMargins="0">
    <oddHeader>&amp;CSchedule 30
Wholesale Rates
&amp;RTO2025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zoomScalePageLayoutView="80" workbookViewId="0"/>
  </sheetViews>
  <sheetFormatPr defaultRowHeight="12.75"/>
  <cols>
    <col min="1" max="1" width="4.5703125" customWidth="1"/>
    <col min="2" max="2" width="38" style="78" customWidth="1"/>
    <col min="3" max="3" width="16.42578125" style="78" customWidth="1"/>
    <col min="4" max="4" width="14.5703125" style="78" customWidth="1"/>
    <col min="5" max="5" width="16" style="78" customWidth="1"/>
    <col min="6" max="6" width="3.42578125" style="78" bestFit="1" customWidth="1"/>
    <col min="7" max="8" width="14.5703125" style="78" customWidth="1"/>
    <col min="9" max="9" width="17.42578125" style="78" customWidth="1"/>
    <col min="10" max="11" width="14.5703125" style="78" customWidth="1"/>
  </cols>
  <sheetData>
    <row r="1" spans="1:11">
      <c r="A1" s="128" t="s">
        <v>2462</v>
      </c>
      <c r="B1" s="13"/>
      <c r="C1" s="13"/>
      <c r="D1" s="13"/>
      <c r="E1" s="13"/>
      <c r="F1" s="13"/>
      <c r="G1" s="13"/>
      <c r="H1" s="13"/>
      <c r="I1" s="13"/>
      <c r="J1" s="13"/>
      <c r="K1" s="13"/>
    </row>
    <row r="2" spans="1:11">
      <c r="A2" s="13" t="s">
        <v>2463</v>
      </c>
      <c r="B2" s="13"/>
      <c r="C2" s="13"/>
      <c r="D2" s="13"/>
      <c r="E2" s="13"/>
      <c r="F2" s="13"/>
      <c r="G2" s="13"/>
      <c r="H2" s="13"/>
      <c r="I2" s="129" t="s">
        <v>693</v>
      </c>
      <c r="J2" s="129"/>
      <c r="K2" s="13"/>
    </row>
    <row r="3" spans="1:11">
      <c r="A3" s="235"/>
      <c r="B3" s="13"/>
      <c r="C3" s="13"/>
      <c r="D3" s="13"/>
      <c r="E3" s="13"/>
      <c r="F3" s="13"/>
      <c r="G3" s="13"/>
      <c r="H3" s="13"/>
      <c r="I3" s="13"/>
      <c r="J3" s="13"/>
      <c r="K3" s="13"/>
    </row>
    <row r="4" spans="1:11">
      <c r="A4" s="235"/>
      <c r="B4" s="13"/>
      <c r="C4" s="13"/>
      <c r="D4" s="13"/>
      <c r="E4" s="13"/>
      <c r="F4" s="13"/>
      <c r="G4" s="243" t="s">
        <v>2464</v>
      </c>
      <c r="H4" s="243"/>
      <c r="I4" s="243"/>
      <c r="J4" s="243"/>
      <c r="K4" s="13"/>
    </row>
    <row r="5" spans="1:11">
      <c r="A5" s="235"/>
      <c r="B5" s="128" t="s">
        <v>2465</v>
      </c>
      <c r="C5" s="13"/>
      <c r="D5" s="13"/>
      <c r="E5" s="13"/>
      <c r="F5" s="13"/>
      <c r="G5" s="243" t="s">
        <v>2466</v>
      </c>
      <c r="H5" s="243"/>
      <c r="I5" s="243"/>
      <c r="J5" s="243"/>
      <c r="K5" s="13"/>
    </row>
    <row r="6" spans="1:11">
      <c r="A6" s="235"/>
      <c r="B6" s="13"/>
      <c r="C6" s="19" t="s">
        <v>2467</v>
      </c>
      <c r="D6" s="19"/>
      <c r="E6" s="19"/>
      <c r="F6" s="19"/>
      <c r="G6" s="19"/>
      <c r="H6" s="19"/>
      <c r="I6" s="19" t="s">
        <v>2468</v>
      </c>
      <c r="J6" s="19" t="s">
        <v>2469</v>
      </c>
      <c r="K6" s="19" t="s">
        <v>2470</v>
      </c>
    </row>
    <row r="7" spans="1:11">
      <c r="A7" s="235"/>
      <c r="B7" s="128" t="s">
        <v>2471</v>
      </c>
      <c r="C7" s="18" t="s">
        <v>1310</v>
      </c>
      <c r="D7" s="18" t="s">
        <v>706</v>
      </c>
      <c r="E7" s="18" t="s">
        <v>2472</v>
      </c>
      <c r="F7" s="18"/>
      <c r="G7" s="18" t="s">
        <v>2473</v>
      </c>
      <c r="H7" s="18" t="s">
        <v>2474</v>
      </c>
      <c r="I7" s="18" t="s">
        <v>2472</v>
      </c>
      <c r="J7" s="18" t="s">
        <v>2472</v>
      </c>
      <c r="K7" s="18" t="s">
        <v>2475</v>
      </c>
    </row>
    <row r="8" spans="1:11">
      <c r="A8" s="3" t="s">
        <v>266</v>
      </c>
      <c r="B8" s="128"/>
      <c r="C8" s="18"/>
      <c r="D8" s="18"/>
      <c r="E8" s="18"/>
      <c r="F8" s="18"/>
      <c r="G8" s="18"/>
      <c r="H8" s="18"/>
      <c r="I8" s="18"/>
      <c r="J8" s="18"/>
      <c r="K8" s="18"/>
    </row>
    <row r="9" spans="1:11">
      <c r="A9" s="2">
        <v>1</v>
      </c>
      <c r="B9" s="130" t="s">
        <v>2476</v>
      </c>
      <c r="C9" s="131"/>
      <c r="D9" s="132"/>
      <c r="E9" s="132"/>
      <c r="F9" s="19"/>
      <c r="G9" s="131"/>
      <c r="H9" s="131"/>
      <c r="I9" s="131"/>
      <c r="J9" s="131"/>
      <c r="K9" s="131"/>
    </row>
    <row r="10" spans="1:11">
      <c r="A10" s="2">
        <f>A9+1</f>
        <v>2</v>
      </c>
      <c r="B10" s="133" t="s">
        <v>2477</v>
      </c>
      <c r="C10" s="134">
        <f>SUM(D10:E10)</f>
        <v>5307856486.6481867</v>
      </c>
      <c r="D10" s="925">
        <f>G10+H10</f>
        <v>226882561.89224297</v>
      </c>
      <c r="E10" s="925">
        <f>I10+J10</f>
        <v>5080973924.7559433</v>
      </c>
      <c r="F10" s="135"/>
      <c r="G10" s="587">
        <v>226882561.89224297</v>
      </c>
      <c r="H10" s="587">
        <v>0</v>
      </c>
      <c r="I10" s="587">
        <v>5080973924.7559433</v>
      </c>
      <c r="J10" s="587">
        <v>0</v>
      </c>
      <c r="K10" s="587">
        <v>0</v>
      </c>
    </row>
    <row r="11" spans="1:11">
      <c r="A11" s="2">
        <f t="shared" ref="A11:A47" si="0">A10+1</f>
        <v>3</v>
      </c>
      <c r="B11" s="133" t="s">
        <v>2478</v>
      </c>
      <c r="C11" s="136">
        <f>SUM(D11:E11)</f>
        <v>277922576.64278823</v>
      </c>
      <c r="D11" s="137">
        <f>G11+H11</f>
        <v>7289682.9755167793</v>
      </c>
      <c r="E11" s="137">
        <f>I11+J11</f>
        <v>270632893.66727144</v>
      </c>
      <c r="F11" s="138"/>
      <c r="G11" s="588">
        <v>0</v>
      </c>
      <c r="H11" s="588">
        <v>7289682.9755167793</v>
      </c>
      <c r="I11" s="588">
        <v>0</v>
      </c>
      <c r="J11" s="588">
        <v>270632893.66727144</v>
      </c>
      <c r="K11" s="588">
        <v>0</v>
      </c>
    </row>
    <row r="12" spans="1:11">
      <c r="A12" s="2">
        <f t="shared" si="0"/>
        <v>4</v>
      </c>
      <c r="B12" s="636" t="s">
        <v>2479</v>
      </c>
      <c r="C12" s="139">
        <f>SUM(C10:C11)</f>
        <v>5585779063.2909746</v>
      </c>
      <c r="D12" s="139">
        <f t="shared" ref="D12:E12" si="1">SUM(D10:D11)</f>
        <v>234172244.86775973</v>
      </c>
      <c r="E12" s="139">
        <f t="shared" si="1"/>
        <v>5351606818.4232149</v>
      </c>
      <c r="F12" s="139"/>
      <c r="G12" s="139">
        <f t="shared" ref="G12:K12" si="2">SUM(G10:G11)</f>
        <v>226882561.89224297</v>
      </c>
      <c r="H12" s="139">
        <f t="shared" si="2"/>
        <v>7289682.9755167793</v>
      </c>
      <c r="I12" s="139">
        <f t="shared" si="2"/>
        <v>5080973924.7559433</v>
      </c>
      <c r="J12" s="139">
        <f t="shared" si="2"/>
        <v>270632893.66727144</v>
      </c>
      <c r="K12" s="139">
        <f t="shared" si="2"/>
        <v>0</v>
      </c>
    </row>
    <row r="13" spans="1:11">
      <c r="A13" s="2">
        <f t="shared" si="0"/>
        <v>5</v>
      </c>
      <c r="B13" s="13"/>
      <c r="C13" s="926"/>
      <c r="D13" s="926"/>
      <c r="E13" s="926"/>
      <c r="F13" s="140"/>
      <c r="G13" s="926"/>
      <c r="H13" s="927"/>
      <c r="I13" s="928"/>
      <c r="J13" s="927"/>
      <c r="K13" s="927"/>
    </row>
    <row r="14" spans="1:11">
      <c r="A14" s="2">
        <f t="shared" si="0"/>
        <v>6</v>
      </c>
      <c r="B14" s="128" t="s">
        <v>2480</v>
      </c>
      <c r="C14" s="926"/>
      <c r="D14" s="926"/>
      <c r="E14" s="926"/>
      <c r="F14" s="140"/>
      <c r="G14" s="926"/>
      <c r="H14" s="927"/>
      <c r="I14" s="928"/>
      <c r="J14" s="927"/>
      <c r="K14" s="927"/>
    </row>
    <row r="15" spans="1:11">
      <c r="A15" s="2">
        <f t="shared" si="0"/>
        <v>7</v>
      </c>
      <c r="B15" s="141" t="s">
        <v>2481</v>
      </c>
      <c r="C15" s="925">
        <f>SUM(D15:E15)</f>
        <v>4906393781.7195272</v>
      </c>
      <c r="D15" s="925">
        <f>G15+H15</f>
        <v>31868397.542154629</v>
      </c>
      <c r="E15" s="925">
        <f>I15+J15</f>
        <v>4874525384.1773729</v>
      </c>
      <c r="F15" s="142"/>
      <c r="G15" s="317">
        <v>31868397.542154629</v>
      </c>
      <c r="H15" s="589">
        <v>0</v>
      </c>
      <c r="I15" s="317">
        <v>4874525384.1773729</v>
      </c>
      <c r="J15" s="589">
        <v>0</v>
      </c>
      <c r="K15" s="589">
        <v>0</v>
      </c>
    </row>
    <row r="16" spans="1:11">
      <c r="A16" s="2">
        <f t="shared" si="0"/>
        <v>8</v>
      </c>
      <c r="B16" s="479" t="s">
        <v>2482</v>
      </c>
      <c r="C16" s="925">
        <f>SUM(D16:E16)</f>
        <v>495169545.38514233</v>
      </c>
      <c r="D16" s="925">
        <f>G16+H16</f>
        <v>189991.56369160354</v>
      </c>
      <c r="E16" s="925">
        <f>I16+J16+K16</f>
        <v>494979553.82145071</v>
      </c>
      <c r="F16" s="140"/>
      <c r="G16" s="589">
        <v>121369.47253162992</v>
      </c>
      <c r="H16" s="589">
        <v>68622.091159973643</v>
      </c>
      <c r="I16" s="589">
        <v>300973140.08881837</v>
      </c>
      <c r="J16" s="589">
        <v>124302214.14289266</v>
      </c>
      <c r="K16" s="589">
        <v>69704199.589739665</v>
      </c>
    </row>
    <row r="17" spans="1:11" ht="15">
      <c r="A17" s="2">
        <f t="shared" si="0"/>
        <v>9</v>
      </c>
      <c r="B17" s="479" t="s">
        <v>2483</v>
      </c>
      <c r="C17" s="143">
        <f>SUM(D17:E17)</f>
        <v>67263556.619169042</v>
      </c>
      <c r="D17" s="137">
        <f>G17+H17</f>
        <v>17820776.501795243</v>
      </c>
      <c r="E17" s="143">
        <f>I17+J17</f>
        <v>49442780.117373794</v>
      </c>
      <c r="F17" s="144"/>
      <c r="G17" s="590">
        <v>0</v>
      </c>
      <c r="H17" s="591">
        <v>17820776.501795243</v>
      </c>
      <c r="I17" s="590">
        <v>0</v>
      </c>
      <c r="J17" s="591">
        <v>49442780.117373794</v>
      </c>
      <c r="K17" s="590">
        <v>0</v>
      </c>
    </row>
    <row r="18" spans="1:11">
      <c r="A18" s="2">
        <f t="shared" si="0"/>
        <v>10</v>
      </c>
      <c r="B18" s="221" t="s">
        <v>2484</v>
      </c>
      <c r="C18" s="925">
        <f>SUM(C15:C17)</f>
        <v>5468826883.7238388</v>
      </c>
      <c r="D18" s="925">
        <f>SUM(D15:D17)</f>
        <v>49879165.607641473</v>
      </c>
      <c r="E18" s="925">
        <f>SUM(E15:E17)</f>
        <v>5418947718.1161966</v>
      </c>
      <c r="F18" s="145"/>
      <c r="G18" s="925">
        <f>SUM(G15:G17)</f>
        <v>31989767.01468626</v>
      </c>
      <c r="H18" s="925">
        <f>SUM(H15:H17)</f>
        <v>17889398.592955217</v>
      </c>
      <c r="I18" s="925">
        <f>SUM(I15:I17)</f>
        <v>5175498524.2661915</v>
      </c>
      <c r="J18" s="925">
        <f>SUM(J15:J17)</f>
        <v>173744994.26026645</v>
      </c>
      <c r="K18" s="925">
        <f>SUM(K15:K17)</f>
        <v>69704199.589739665</v>
      </c>
    </row>
    <row r="19" spans="1:11">
      <c r="A19" s="2">
        <f t="shared" si="0"/>
        <v>11</v>
      </c>
      <c r="B19" s="13"/>
      <c r="C19" s="929"/>
      <c r="D19" s="929"/>
      <c r="E19" s="929"/>
      <c r="F19" s="145"/>
      <c r="G19" s="930"/>
      <c r="H19" s="930"/>
      <c r="I19" s="930"/>
      <c r="J19" s="930"/>
      <c r="K19" s="930"/>
    </row>
    <row r="20" spans="1:11">
      <c r="A20" s="2">
        <f t="shared" si="0"/>
        <v>12</v>
      </c>
      <c r="B20" s="221" t="s">
        <v>2485</v>
      </c>
      <c r="C20" s="931">
        <f>C12+C18</f>
        <v>11054605947.014812</v>
      </c>
      <c r="D20" s="931">
        <f t="shared" ref="D20" si="3">D12+D18</f>
        <v>284051410.47540122</v>
      </c>
      <c r="E20" s="931">
        <f>E12+E18</f>
        <v>10770554536.539412</v>
      </c>
      <c r="F20" s="932"/>
      <c r="G20" s="932">
        <f t="shared" ref="G20:K20" si="4">G12+G18</f>
        <v>258872328.90692922</v>
      </c>
      <c r="H20" s="932">
        <f t="shared" si="4"/>
        <v>25179081.568471998</v>
      </c>
      <c r="I20" s="931">
        <f t="shared" si="4"/>
        <v>10256472449.022135</v>
      </c>
      <c r="J20" s="931">
        <f t="shared" si="4"/>
        <v>444377887.92753792</v>
      </c>
      <c r="K20" s="932">
        <f t="shared" si="4"/>
        <v>69704199.589739665</v>
      </c>
    </row>
    <row r="21" spans="1:11">
      <c r="A21" s="2">
        <f t="shared" si="0"/>
        <v>13</v>
      </c>
      <c r="B21" s="13"/>
      <c r="C21" s="146"/>
      <c r="D21" s="140"/>
      <c r="E21" s="146"/>
      <c r="F21" s="13"/>
      <c r="G21" s="146"/>
      <c r="H21" s="146"/>
      <c r="I21" s="146"/>
      <c r="J21" s="146"/>
      <c r="K21" s="146"/>
    </row>
    <row r="22" spans="1:11">
      <c r="A22" s="2">
        <f t="shared" si="0"/>
        <v>14</v>
      </c>
      <c r="B22" s="13"/>
      <c r="C22" s="146"/>
      <c r="D22" s="140"/>
      <c r="E22" s="146"/>
      <c r="F22" s="13"/>
      <c r="G22" s="146"/>
      <c r="H22" s="146"/>
      <c r="I22" s="146"/>
      <c r="J22" s="146"/>
      <c r="K22" s="146"/>
    </row>
    <row r="23" spans="1:11">
      <c r="A23" s="2">
        <f t="shared" si="0"/>
        <v>15</v>
      </c>
      <c r="B23" s="243" t="s">
        <v>2486</v>
      </c>
      <c r="C23" s="146"/>
      <c r="D23" s="140"/>
      <c r="E23" s="146"/>
      <c r="F23" s="13"/>
      <c r="G23" s="146"/>
      <c r="H23" s="146"/>
      <c r="I23" s="146"/>
      <c r="J23" s="146"/>
      <c r="K23" s="146"/>
    </row>
    <row r="24" spans="1:11">
      <c r="A24" s="2">
        <f t="shared" si="0"/>
        <v>16</v>
      </c>
      <c r="B24" s="13"/>
      <c r="C24" s="147" t="s">
        <v>2424</v>
      </c>
      <c r="D24" s="19" t="s">
        <v>2425</v>
      </c>
      <c r="E24" s="19"/>
      <c r="F24" s="13"/>
      <c r="G24" s="13"/>
      <c r="H24" s="13"/>
      <c r="I24" s="13"/>
      <c r="J24" s="13"/>
      <c r="K24" s="13"/>
    </row>
    <row r="25" spans="1:11">
      <c r="A25" s="2">
        <f t="shared" si="0"/>
        <v>17</v>
      </c>
      <c r="B25" s="13" t="s">
        <v>129</v>
      </c>
      <c r="C25" s="18" t="s">
        <v>2427</v>
      </c>
      <c r="D25" s="18" t="s">
        <v>2427</v>
      </c>
      <c r="E25" s="18" t="s">
        <v>244</v>
      </c>
      <c r="F25" s="13"/>
      <c r="G25" s="148" t="s">
        <v>226</v>
      </c>
      <c r="H25" s="13"/>
      <c r="I25" s="13"/>
      <c r="J25" s="13"/>
      <c r="K25" s="13"/>
    </row>
    <row r="26" spans="1:11">
      <c r="A26" s="2">
        <f t="shared" si="0"/>
        <v>18</v>
      </c>
      <c r="B26" s="45" t="s">
        <v>706</v>
      </c>
      <c r="C26" s="932">
        <f>G20</f>
        <v>258872328.90692922</v>
      </c>
      <c r="D26" s="932">
        <f>H20</f>
        <v>25179081.568471998</v>
      </c>
      <c r="E26" s="142">
        <f>SUM(C26:D26)</f>
        <v>284051410.47540122</v>
      </c>
      <c r="F26" s="13"/>
      <c r="G26" s="13" t="s">
        <v>2487</v>
      </c>
      <c r="H26" s="13"/>
      <c r="I26" s="13"/>
      <c r="J26" s="13"/>
      <c r="K26" s="13"/>
    </row>
    <row r="27" spans="1:11">
      <c r="A27" s="2">
        <f t="shared" si="0"/>
        <v>19</v>
      </c>
      <c r="B27" s="45" t="s">
        <v>2472</v>
      </c>
      <c r="C27" s="931">
        <f>I20</f>
        <v>10256472449.022135</v>
      </c>
      <c r="D27" s="931">
        <f>J20</f>
        <v>444377887.92753792</v>
      </c>
      <c r="E27" s="142">
        <f>SUM(C27:D27)</f>
        <v>10700850336.949673</v>
      </c>
      <c r="F27" s="13"/>
      <c r="G27" s="13" t="s">
        <v>2487</v>
      </c>
      <c r="H27" s="13"/>
      <c r="I27" s="13"/>
      <c r="J27" s="13"/>
      <c r="K27" s="13"/>
    </row>
    <row r="28" spans="1:11">
      <c r="A28" s="2">
        <f t="shared" si="0"/>
        <v>20</v>
      </c>
      <c r="B28" s="22" t="s">
        <v>2488</v>
      </c>
      <c r="C28" s="931">
        <f>SUM(C26:C27)</f>
        <v>10515344777.929064</v>
      </c>
      <c r="D28" s="931">
        <f>SUM(D26:D27)</f>
        <v>469556969.49600995</v>
      </c>
      <c r="E28" s="932">
        <f>SUM(C28:D28)</f>
        <v>10984901747.425074</v>
      </c>
      <c r="F28" s="13"/>
      <c r="G28" s="13" t="s">
        <v>2489</v>
      </c>
      <c r="H28" s="13"/>
      <c r="I28" s="13"/>
      <c r="J28" s="13"/>
      <c r="K28" s="13"/>
    </row>
    <row r="29" spans="1:11">
      <c r="A29" s="2">
        <f t="shared" si="0"/>
        <v>21</v>
      </c>
      <c r="B29" s="149" t="s">
        <v>2490</v>
      </c>
      <c r="C29" s="1017">
        <f>C28/E28</f>
        <v>0.95725433141847838</v>
      </c>
      <c r="D29" s="1017">
        <f>D28/E28</f>
        <v>4.2745668581521623E-2</v>
      </c>
      <c r="E29" s="933"/>
      <c r="F29" s="505"/>
      <c r="G29" s="635" t="s">
        <v>2491</v>
      </c>
      <c r="H29" s="13"/>
      <c r="I29" s="13"/>
      <c r="J29" s="13"/>
      <c r="K29" s="505"/>
    </row>
    <row r="30" spans="1:11">
      <c r="A30" s="2">
        <f t="shared" si="0"/>
        <v>22</v>
      </c>
      <c r="B30" s="13"/>
      <c r="C30" s="934"/>
      <c r="D30" s="934"/>
      <c r="E30" s="934"/>
      <c r="F30" s="13"/>
      <c r="G30" s="13"/>
      <c r="H30" s="13"/>
      <c r="I30" s="13"/>
      <c r="J30" s="13"/>
      <c r="K30" s="13"/>
    </row>
    <row r="31" spans="1:11">
      <c r="A31" s="2">
        <f t="shared" si="0"/>
        <v>23</v>
      </c>
      <c r="B31" s="13" t="s">
        <v>2492</v>
      </c>
      <c r="C31" s="935">
        <f>K20*C29</f>
        <v>66724646.975336418</v>
      </c>
      <c r="D31" s="935">
        <f>K20*D29</f>
        <v>2979552.6144032474</v>
      </c>
      <c r="E31" s="935">
        <f>K20</f>
        <v>69704199.589739665</v>
      </c>
      <c r="F31" s="13"/>
      <c r="G31" s="243" t="str">
        <f>"Straddling Transformers split by Gross Plant Percentages on Line "&amp;A29&amp;""</f>
        <v>Straddling Transformers split by Gross Plant Percentages on Line 21</v>
      </c>
      <c r="H31" s="13"/>
      <c r="I31" s="13"/>
      <c r="J31" s="13"/>
      <c r="K31" s="13"/>
    </row>
    <row r="32" spans="1:11">
      <c r="A32" s="2">
        <f t="shared" si="0"/>
        <v>24</v>
      </c>
      <c r="B32" s="305" t="s">
        <v>2493</v>
      </c>
      <c r="C32" s="506">
        <v>0</v>
      </c>
      <c r="D32" s="506">
        <f>E32-C32</f>
        <v>0</v>
      </c>
      <c r="E32" s="506">
        <v>0</v>
      </c>
      <c r="F32" s="305"/>
      <c r="G32" s="305" t="s">
        <v>2494</v>
      </c>
      <c r="H32" s="507"/>
      <c r="I32" s="13"/>
      <c r="J32" s="13"/>
      <c r="K32" s="13"/>
    </row>
    <row r="33" spans="1:11">
      <c r="A33" s="2">
        <f t="shared" si="0"/>
        <v>25</v>
      </c>
      <c r="B33" s="13" t="s">
        <v>2495</v>
      </c>
      <c r="C33" s="925">
        <f>C28+C31+C32</f>
        <v>10582069424.9044</v>
      </c>
      <c r="D33" s="925">
        <f>D28+D31+D32</f>
        <v>472536522.11041319</v>
      </c>
      <c r="E33" s="925">
        <f>E28+E31+E32</f>
        <v>11054605947.014812</v>
      </c>
      <c r="F33" s="13"/>
      <c r="G33" s="305" t="str">
        <f>"Line "&amp;A28&amp;" + Line "&amp;A31&amp;" + Line "&amp;A32&amp;""</f>
        <v>Line 20 + Line 23 + Line 24</v>
      </c>
      <c r="H33" s="305"/>
      <c r="I33" s="13"/>
      <c r="J33" s="13"/>
      <c r="K33" s="13"/>
    </row>
    <row r="34" spans="1:11">
      <c r="A34" s="2">
        <f t="shared" si="0"/>
        <v>26</v>
      </c>
      <c r="B34" s="13"/>
      <c r="C34" s="936"/>
      <c r="D34" s="936"/>
      <c r="E34" s="937"/>
      <c r="F34" s="13"/>
      <c r="G34" s="13"/>
      <c r="H34" s="13"/>
      <c r="I34" s="13"/>
      <c r="J34" s="13"/>
      <c r="K34" s="13"/>
    </row>
    <row r="35" spans="1:11">
      <c r="A35" s="2">
        <f t="shared" si="0"/>
        <v>27</v>
      </c>
      <c r="B35" s="13"/>
      <c r="C35" s="145"/>
      <c r="D35" s="145"/>
      <c r="E35" s="13"/>
      <c r="F35" s="13"/>
      <c r="G35" s="145"/>
      <c r="H35" s="145"/>
      <c r="I35" s="145"/>
      <c r="J35" s="13"/>
      <c r="K35" s="13"/>
    </row>
    <row r="36" spans="1:11">
      <c r="A36" s="2">
        <f t="shared" si="0"/>
        <v>28</v>
      </c>
      <c r="B36" s="128" t="s">
        <v>2496</v>
      </c>
      <c r="C36" s="13"/>
      <c r="D36" s="13"/>
      <c r="E36" s="13"/>
      <c r="F36" s="13"/>
      <c r="G36" s="13"/>
      <c r="H36" s="13"/>
      <c r="I36" s="13"/>
      <c r="J36" s="13"/>
      <c r="K36" s="13"/>
    </row>
    <row r="37" spans="1:11">
      <c r="A37" s="2">
        <f t="shared" si="0"/>
        <v>29</v>
      </c>
      <c r="B37" s="128"/>
      <c r="C37" s="13"/>
      <c r="D37" s="13"/>
      <c r="E37" s="13"/>
      <c r="F37" s="13"/>
      <c r="G37" s="13"/>
      <c r="H37" s="13"/>
      <c r="I37" s="13"/>
      <c r="J37" s="13"/>
      <c r="K37" s="13"/>
    </row>
    <row r="38" spans="1:11">
      <c r="A38" s="2">
        <f t="shared" si="0"/>
        <v>30</v>
      </c>
      <c r="B38" s="128"/>
      <c r="C38" s="147" t="s">
        <v>2424</v>
      </c>
      <c r="D38" s="19" t="s">
        <v>2425</v>
      </c>
      <c r="E38" s="19"/>
      <c r="F38" s="13"/>
      <c r="G38" s="13"/>
      <c r="H38" s="13"/>
      <c r="I38" s="13"/>
      <c r="J38" s="13"/>
      <c r="K38" s="13"/>
    </row>
    <row r="39" spans="1:11">
      <c r="A39" s="2">
        <f t="shared" si="0"/>
        <v>31</v>
      </c>
      <c r="B39" s="128"/>
      <c r="C39" s="18" t="s">
        <v>2427</v>
      </c>
      <c r="D39" s="18" t="s">
        <v>2427</v>
      </c>
      <c r="E39" s="18" t="s">
        <v>244</v>
      </c>
      <c r="F39" s="13"/>
      <c r="G39" s="148" t="s">
        <v>226</v>
      </c>
      <c r="H39" s="13"/>
      <c r="I39" s="13"/>
      <c r="J39" s="13"/>
      <c r="K39" s="13"/>
    </row>
    <row r="40" spans="1:11">
      <c r="A40" s="2">
        <f t="shared" si="0"/>
        <v>32</v>
      </c>
      <c r="B40" s="13" t="s">
        <v>2495</v>
      </c>
      <c r="C40" s="142">
        <f>C33</f>
        <v>10582069424.9044</v>
      </c>
      <c r="D40" s="142">
        <f>D33</f>
        <v>472536522.11041319</v>
      </c>
      <c r="E40" s="142">
        <f>E33</f>
        <v>11054605947.014812</v>
      </c>
      <c r="F40" s="13"/>
      <c r="G40" s="13" t="str">
        <f>"Line "&amp;A33&amp;""</f>
        <v>Line 25</v>
      </c>
      <c r="H40" s="13"/>
      <c r="I40" s="13"/>
      <c r="J40" s="13"/>
      <c r="K40" s="13"/>
    </row>
    <row r="41" spans="1:11">
      <c r="A41" s="2">
        <f t="shared" si="0"/>
        <v>33</v>
      </c>
      <c r="B41" s="243" t="s">
        <v>2497</v>
      </c>
      <c r="C41" s="142">
        <f>'16-PlantAdditions'!K37-'16-PlantAdditions'!P37</f>
        <v>689430672.14817846</v>
      </c>
      <c r="D41" s="142">
        <f>'16-PlantAdditions'!P37</f>
        <v>44391816.00041914</v>
      </c>
      <c r="E41" s="448">
        <f>SUM(C41:D41)</f>
        <v>733822488.1485976</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43" t="s">
        <v>2498</v>
      </c>
      <c r="C42" s="279">
        <f>'10-CWIP'!K79</f>
        <v>-184084505.97911534</v>
      </c>
      <c r="D42" s="279">
        <v>0</v>
      </c>
      <c r="E42" s="279">
        <f>SUM(C42:D42)</f>
        <v>-184084505.97911534</v>
      </c>
      <c r="F42" s="13"/>
      <c r="G42" s="13" t="str">
        <f>"13 Month Average: 10-CWIP, Line "&amp;'10-CWIP'!A79&amp;", Col. 8"</f>
        <v>13 Month Average: 10-CWIP, Line 54, Col. 8</v>
      </c>
      <c r="H42" s="13"/>
      <c r="I42" s="13"/>
      <c r="J42" s="13"/>
      <c r="K42" s="13"/>
    </row>
    <row r="43" spans="1:11">
      <c r="A43" s="2">
        <f t="shared" si="0"/>
        <v>35</v>
      </c>
      <c r="B43" s="243" t="s">
        <v>2499</v>
      </c>
      <c r="C43" s="142">
        <f>SUM(C40:C42)</f>
        <v>11087415591.073463</v>
      </c>
      <c r="D43" s="142">
        <f t="shared" ref="D43:E43" si="5">SUM(D40:D42)</f>
        <v>516928338.11083233</v>
      </c>
      <c r="E43" s="142">
        <f t="shared" si="5"/>
        <v>11604343929.184296</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2500</v>
      </c>
      <c r="C45" s="1018">
        <f>C43/E43</f>
        <v>0.95545389370864942</v>
      </c>
      <c r="D45" s="1018">
        <f>D43/E43</f>
        <v>4.4546106291350571E-2</v>
      </c>
      <c r="E45" s="13"/>
      <c r="F45" s="13"/>
      <c r="G45" s="508" t="str">
        <f>"Percent of Total on Line "&amp;A43&amp;""</f>
        <v>Percent of Total on Line 35</v>
      </c>
      <c r="H45" s="13"/>
      <c r="I45" s="13"/>
      <c r="J45" s="13"/>
      <c r="K45" s="13"/>
    </row>
    <row r="46" spans="1:11">
      <c r="A46" s="2">
        <f t="shared" si="0"/>
        <v>38</v>
      </c>
      <c r="B46" s="494" t="s">
        <v>2501</v>
      </c>
      <c r="C46" s="13"/>
      <c r="D46" s="13"/>
      <c r="E46" s="13"/>
      <c r="F46" s="13"/>
      <c r="G46" s="13"/>
      <c r="H46" s="13"/>
      <c r="I46" s="13"/>
      <c r="J46" s="13"/>
      <c r="K46" s="13"/>
    </row>
    <row r="47" spans="1:11">
      <c r="A47" s="2">
        <f t="shared" si="0"/>
        <v>39</v>
      </c>
      <c r="B47" s="243" t="s">
        <v>2502</v>
      </c>
      <c r="C47" s="13"/>
      <c r="D47" s="13"/>
      <c r="E47" s="13"/>
      <c r="F47" s="13"/>
      <c r="G47" s="13"/>
      <c r="H47" s="13"/>
      <c r="I47" s="13"/>
      <c r="J47" s="13"/>
      <c r="K47" s="13"/>
    </row>
    <row r="48" spans="1:11">
      <c r="A48" s="235"/>
      <c r="B48" s="1"/>
      <c r="C48" s="13"/>
      <c r="D48" s="13"/>
      <c r="E48" s="13"/>
      <c r="F48" s="13"/>
      <c r="G48" s="13"/>
      <c r="H48" s="13"/>
      <c r="I48" s="13"/>
      <c r="J48" s="13"/>
      <c r="K48" s="13"/>
    </row>
    <row r="49" spans="1:11">
      <c r="A49" s="235"/>
      <c r="B49" s="1"/>
      <c r="C49" s="305"/>
      <c r="D49" s="305"/>
      <c r="E49" s="305"/>
      <c r="F49" s="305"/>
      <c r="G49" s="305"/>
      <c r="H49" s="305"/>
      <c r="I49" s="13"/>
      <c r="J49" s="13"/>
      <c r="K49" s="13"/>
    </row>
    <row r="50" spans="1:11">
      <c r="A50" s="235"/>
      <c r="B50" s="305"/>
      <c r="C50" s="305"/>
      <c r="D50" s="305"/>
      <c r="E50" s="305"/>
      <c r="F50" s="305"/>
      <c r="G50" s="305"/>
      <c r="H50" s="305"/>
      <c r="I50" s="13"/>
      <c r="J50" s="13"/>
      <c r="K50" s="13"/>
    </row>
    <row r="51" spans="1:11">
      <c r="B51" s="305"/>
      <c r="C51" s="507"/>
      <c r="D51" s="507"/>
      <c r="E51" s="507"/>
      <c r="F51" s="507"/>
      <c r="G51" s="507"/>
      <c r="H51" s="507"/>
    </row>
  </sheetData>
  <pageMargins left="0.7" right="0.7" top="0.75" bottom="0.75" header="0.3" footer="0.3"/>
  <pageSetup scale="70" orientation="landscape" cellComments="asDisplayed" r:id="rId1"/>
  <headerFooter>
    <oddHeader>&amp;CSchedule 31
High and Low Voltage Gross Plant
&amp;RTO2025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75"/>
  <cols>
    <col min="1" max="1" width="4.5703125" customWidth="1"/>
    <col min="5" max="5" width="3.42578125" customWidth="1"/>
    <col min="6" max="6" width="12.5703125" customWidth="1"/>
    <col min="7" max="7" width="22.5703125" customWidth="1"/>
    <col min="8" max="8" width="25.5703125" customWidth="1"/>
  </cols>
  <sheetData>
    <row r="1" spans="1:8">
      <c r="A1" s="1" t="s">
        <v>2503</v>
      </c>
    </row>
    <row r="2" spans="1:8">
      <c r="B2" s="666"/>
      <c r="D2" s="39" t="s">
        <v>193</v>
      </c>
      <c r="E2" s="235"/>
      <c r="F2" s="242" t="s">
        <v>2504</v>
      </c>
      <c r="G2" s="54"/>
    </row>
    <row r="3" spans="1:8">
      <c r="G3" s="2"/>
    </row>
    <row r="4" spans="1:8">
      <c r="A4" s="3" t="s">
        <v>266</v>
      </c>
      <c r="F4" s="3" t="s">
        <v>2447</v>
      </c>
      <c r="G4" s="3" t="s">
        <v>463</v>
      </c>
      <c r="H4" s="30" t="s">
        <v>644</v>
      </c>
    </row>
    <row r="5" spans="1:8">
      <c r="A5" s="2">
        <v>1</v>
      </c>
      <c r="B5" s="235" t="s">
        <v>2505</v>
      </c>
      <c r="F5" s="610">
        <v>87258464.534327</v>
      </c>
      <c r="G5" s="12"/>
      <c r="H5" t="s">
        <v>144</v>
      </c>
    </row>
    <row r="6" spans="1:8">
      <c r="A6" s="2">
        <v>2</v>
      </c>
      <c r="B6" s="235" t="s">
        <v>2506</v>
      </c>
      <c r="F6" s="610">
        <v>65258</v>
      </c>
      <c r="G6" s="12"/>
      <c r="H6" t="s">
        <v>165</v>
      </c>
    </row>
    <row r="7" spans="1:8">
      <c r="A7" s="2">
        <v>3</v>
      </c>
      <c r="B7" s="235" t="s">
        <v>2507</v>
      </c>
      <c r="C7" s="235"/>
      <c r="D7" s="235"/>
      <c r="F7" s="57">
        <v>-29736</v>
      </c>
      <c r="G7" s="12"/>
      <c r="H7" s="235" t="s">
        <v>220</v>
      </c>
    </row>
    <row r="8" spans="1:8">
      <c r="A8" s="2">
        <v>4</v>
      </c>
      <c r="B8" s="278" t="s">
        <v>2508</v>
      </c>
      <c r="F8" s="56">
        <f>SUM(F5:F7)</f>
        <v>87293986.534327</v>
      </c>
      <c r="G8" s="234" t="s">
        <v>2509</v>
      </c>
      <c r="H8" s="235" t="s">
        <v>2230</v>
      </c>
    </row>
    <row r="9" spans="1:8">
      <c r="A9" s="2"/>
      <c r="G9" s="12"/>
    </row>
    <row r="10" spans="1:8">
      <c r="A10" s="2"/>
      <c r="G10" s="12"/>
    </row>
    <row r="11" spans="1:8">
      <c r="A11" s="2">
        <v>5</v>
      </c>
      <c r="B11" s="235" t="s">
        <v>2510</v>
      </c>
      <c r="E11" s="25"/>
      <c r="F11" s="1100">
        <v>172930.92388000002</v>
      </c>
      <c r="H11" s="235" t="s">
        <v>144</v>
      </c>
    </row>
    <row r="12" spans="1:8">
      <c r="G12" s="12"/>
    </row>
    <row r="14" spans="1:8">
      <c r="B14" s="30" t="s">
        <v>226</v>
      </c>
    </row>
    <row r="15" spans="1:8">
      <c r="B15" s="235" t="s">
        <v>2511</v>
      </c>
    </row>
    <row r="16" spans="1:8">
      <c r="B16" s="235" t="s">
        <v>2512</v>
      </c>
    </row>
    <row r="17" spans="2:2">
      <c r="B17" s="235" t="s">
        <v>2513</v>
      </c>
    </row>
    <row r="18" spans="2:2">
      <c r="B18" s="235" t="s">
        <v>2514</v>
      </c>
    </row>
    <row r="19" spans="2:2" ht="15.75">
      <c r="B19" s="303"/>
    </row>
  </sheetData>
  <pageMargins left="0.7" right="0.7" top="0.75" bottom="0.75" header="0.3" footer="0.3"/>
  <pageSetup orientation="landscape" cellComments="asDisplayed" r:id="rId1"/>
  <headerFooter>
    <oddHeader>&amp;CSchedule 32 
Gross Load
&amp;RTO2025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workbookViewId="0"/>
  </sheetViews>
  <sheetFormatPr defaultColWidth="9.42578125" defaultRowHeight="12.75"/>
  <cols>
    <col min="1" max="1" width="5.42578125" style="401" customWidth="1"/>
    <col min="2" max="2" width="18.5703125" style="401" customWidth="1"/>
    <col min="3" max="3" width="16.42578125" style="401" customWidth="1"/>
    <col min="4" max="4" width="17.42578125" style="401" customWidth="1"/>
    <col min="5" max="6" width="15.5703125" style="401" customWidth="1"/>
    <col min="7" max="7" width="17.140625" style="401" customWidth="1"/>
    <col min="8" max="12" width="15.5703125" style="401" customWidth="1"/>
    <col min="13" max="13" width="15.5703125" style="402" customWidth="1"/>
    <col min="14" max="14" width="15.5703125" style="401" customWidth="1"/>
    <col min="15" max="15" width="9.42578125" style="401"/>
    <col min="16" max="16" width="9.5703125" style="401" customWidth="1"/>
    <col min="17" max="16384" width="9.42578125" style="401"/>
  </cols>
  <sheetData>
    <row r="1" spans="1:16" ht="15.75">
      <c r="A1" s="400" t="s">
        <v>2515</v>
      </c>
    </row>
    <row r="2" spans="1:16" ht="14.25" customHeight="1">
      <c r="A2" s="400"/>
    </row>
    <row r="3" spans="1:16">
      <c r="E3" s="403" t="s">
        <v>644</v>
      </c>
    </row>
    <row r="4" spans="1:16">
      <c r="C4" s="404" t="s">
        <v>2516</v>
      </c>
      <c r="D4" s="1019">
        <f>'1-BaseTRR'!K155</f>
        <v>1344346996.0111072</v>
      </c>
      <c r="E4" s="405" t="s">
        <v>2517</v>
      </c>
      <c r="G4" s="406" t="s">
        <v>693</v>
      </c>
      <c r="H4" s="407"/>
    </row>
    <row r="5" spans="1:16">
      <c r="C5" s="404"/>
      <c r="D5" s="408"/>
      <c r="E5" s="405"/>
    </row>
    <row r="6" spans="1:16" ht="15.75">
      <c r="B6" s="400" t="s">
        <v>2518</v>
      </c>
      <c r="D6" s="404"/>
      <c r="E6" s="408"/>
      <c r="F6" s="405"/>
    </row>
    <row r="7" spans="1:16">
      <c r="C7" s="409" t="s">
        <v>329</v>
      </c>
      <c r="D7" s="409" t="s">
        <v>330</v>
      </c>
      <c r="E7" s="409" t="s">
        <v>331</v>
      </c>
      <c r="F7" s="409" t="s">
        <v>332</v>
      </c>
      <c r="G7" s="409" t="s">
        <v>333</v>
      </c>
      <c r="H7" s="409" t="s">
        <v>334</v>
      </c>
      <c r="I7" s="409" t="s">
        <v>335</v>
      </c>
      <c r="J7" s="409" t="s">
        <v>336</v>
      </c>
      <c r="K7" s="409" t="s">
        <v>337</v>
      </c>
      <c r="L7" s="409" t="s">
        <v>582</v>
      </c>
      <c r="M7" s="409" t="s">
        <v>583</v>
      </c>
      <c r="N7" s="403" t="s">
        <v>584</v>
      </c>
      <c r="O7" s="403" t="s">
        <v>585</v>
      </c>
      <c r="P7" s="403" t="s">
        <v>586</v>
      </c>
    </row>
    <row r="8" spans="1:16">
      <c r="C8" s="402" t="s">
        <v>144</v>
      </c>
      <c r="E8" s="402" t="s">
        <v>165</v>
      </c>
      <c r="F8" s="402" t="s">
        <v>183</v>
      </c>
      <c r="G8" s="402" t="s">
        <v>220</v>
      </c>
      <c r="H8" s="402" t="s">
        <v>211</v>
      </c>
      <c r="I8" s="402" t="s">
        <v>126</v>
      </c>
      <c r="J8" s="402" t="s">
        <v>2519</v>
      </c>
    </row>
    <row r="9" spans="1:16">
      <c r="C9" s="409"/>
      <c r="D9" s="410"/>
      <c r="E9" s="1145" t="s">
        <v>2520</v>
      </c>
      <c r="F9" s="1145"/>
      <c r="G9" s="1145"/>
      <c r="H9" s="1146"/>
      <c r="I9" s="1146"/>
      <c r="J9" s="648"/>
      <c r="K9" s="536"/>
      <c r="L9" s="402" t="s">
        <v>2521</v>
      </c>
      <c r="M9" s="402" t="s">
        <v>2521</v>
      </c>
      <c r="N9" s="402" t="s">
        <v>2521</v>
      </c>
    </row>
    <row r="10" spans="1:16" s="637" customFormat="1" ht="128.25" customHeight="1">
      <c r="C10" s="411"/>
      <c r="D10" s="657" t="s">
        <v>2522</v>
      </c>
      <c r="E10" s="537" t="s">
        <v>2523</v>
      </c>
      <c r="F10" s="537" t="s">
        <v>2524</v>
      </c>
      <c r="G10" s="538" t="s">
        <v>2525</v>
      </c>
      <c r="H10" s="537" t="s">
        <v>2526</v>
      </c>
      <c r="I10" s="537" t="s">
        <v>2527</v>
      </c>
      <c r="J10" s="658" t="s">
        <v>2528</v>
      </c>
      <c r="K10" s="657" t="s">
        <v>2529</v>
      </c>
      <c r="L10" s="657" t="s">
        <v>2530</v>
      </c>
      <c r="M10" s="750" t="s">
        <v>2531</v>
      </c>
      <c r="N10" s="751"/>
      <c r="O10" s="650"/>
      <c r="P10" s="1101"/>
    </row>
    <row r="11" spans="1:16" ht="55.5" customHeight="1">
      <c r="A11" s="403" t="s">
        <v>99</v>
      </c>
      <c r="B11" s="412" t="s">
        <v>2532</v>
      </c>
      <c r="C11" s="413" t="s">
        <v>2533</v>
      </c>
      <c r="D11" s="414" t="s">
        <v>2534</v>
      </c>
      <c r="E11" s="412" t="s">
        <v>2535</v>
      </c>
      <c r="F11" s="438" t="s">
        <v>2536</v>
      </c>
      <c r="G11" s="542" t="s">
        <v>2537</v>
      </c>
      <c r="H11" s="412" t="s">
        <v>2538</v>
      </c>
      <c r="I11" s="412" t="s">
        <v>2539</v>
      </c>
      <c r="J11" s="412" t="s">
        <v>2540</v>
      </c>
      <c r="K11" s="416" t="s">
        <v>2541</v>
      </c>
      <c r="L11" s="412" t="s">
        <v>2542</v>
      </c>
      <c r="M11" s="415" t="s">
        <v>2543</v>
      </c>
      <c r="N11" s="412" t="s">
        <v>2538</v>
      </c>
      <c r="O11" s="412" t="s">
        <v>2539</v>
      </c>
      <c r="P11" s="412" t="s">
        <v>100</v>
      </c>
    </row>
    <row r="12" spans="1:16">
      <c r="A12" s="417" t="s">
        <v>1694</v>
      </c>
      <c r="B12" s="238" t="s">
        <v>2778</v>
      </c>
      <c r="C12" s="552">
        <f>M115</f>
        <v>0.45043423289984313</v>
      </c>
      <c r="D12" s="1020">
        <f>$D$4*C12</f>
        <v>605539907.89947152</v>
      </c>
      <c r="E12" s="515">
        <v>28909.35341</v>
      </c>
      <c r="F12" s="433"/>
      <c r="G12" s="1001">
        <v>3041.9821499999998</v>
      </c>
      <c r="H12" s="516">
        <v>0</v>
      </c>
      <c r="I12" s="517"/>
      <c r="J12" s="420">
        <f>(E12+F12)-G12</f>
        <v>25867.37126</v>
      </c>
      <c r="K12" s="1022">
        <f>D12/(J12*10^6)</f>
        <v>2.3409410326740387E-2</v>
      </c>
      <c r="L12" s="418"/>
      <c r="M12" s="401"/>
      <c r="P12" s="402"/>
    </row>
    <row r="13" spans="1:16" ht="13.5" thickBot="1">
      <c r="A13" s="417" t="s">
        <v>1696</v>
      </c>
      <c r="B13" s="238" t="s">
        <v>2779</v>
      </c>
      <c r="C13" s="552">
        <f>M116</f>
        <v>7.0433955986269711E-2</v>
      </c>
      <c r="D13" s="408">
        <f>$D$4*C13</f>
        <v>94687677.147320226</v>
      </c>
      <c r="E13" s="515">
        <v>5998.7073200000004</v>
      </c>
      <c r="F13" s="433"/>
      <c r="G13" s="592">
        <v>385.35906</v>
      </c>
      <c r="H13" s="516">
        <v>0</v>
      </c>
      <c r="I13" s="517">
        <v>0.98267000000000004</v>
      </c>
      <c r="J13" s="420">
        <f t="shared" ref="J13:J27" si="0">(E13+F13)-G13</f>
        <v>5613.3482600000007</v>
      </c>
      <c r="K13" s="1022">
        <f>D13/(J13*10^6)</f>
        <v>1.6868306180475644E-2</v>
      </c>
      <c r="L13" s="418"/>
      <c r="M13" s="519">
        <v>5998.7073200000004</v>
      </c>
      <c r="N13" s="520">
        <v>29190.720000000001</v>
      </c>
      <c r="O13" s="521">
        <v>0.98267000000000004</v>
      </c>
      <c r="P13" s="402"/>
    </row>
    <row r="14" spans="1:16" ht="15" thickBot="1">
      <c r="A14" s="417" t="s">
        <v>2544</v>
      </c>
      <c r="B14" s="238" t="s">
        <v>2780</v>
      </c>
      <c r="C14" s="552"/>
      <c r="D14" s="552"/>
      <c r="E14" s="518"/>
      <c r="F14" s="433"/>
      <c r="G14" s="433"/>
      <c r="H14" s="518"/>
      <c r="I14" s="518"/>
      <c r="J14" s="420">
        <f>(E14+F14)-G14</f>
        <v>0</v>
      </c>
      <c r="K14" s="418"/>
      <c r="L14" s="1023">
        <f>N14</f>
        <v>3.4663285285106147</v>
      </c>
      <c r="M14" s="1025">
        <f>K13*M13*10^6</f>
        <v>101188031.76082049</v>
      </c>
      <c r="N14" s="1026">
        <f>M14/((N13+O13)*10^3)</f>
        <v>3.4663285285106147</v>
      </c>
      <c r="O14" s="639"/>
      <c r="P14" s="539" t="s">
        <v>2545</v>
      </c>
    </row>
    <row r="15" spans="1:16">
      <c r="A15" s="417" t="s">
        <v>2546</v>
      </c>
      <c r="B15" s="238" t="s">
        <v>2781</v>
      </c>
      <c r="C15" s="552">
        <f t="shared" ref="C15:C26" si="1">M117</f>
        <v>4.3593476555284596E-4</v>
      </c>
      <c r="D15" s="408">
        <f t="shared" ref="D15:D26" si="2">$D$4*C15</f>
        <v>586047.59252777474</v>
      </c>
      <c r="E15" s="1027">
        <v>53.422110000000004</v>
      </c>
      <c r="F15" s="521"/>
      <c r="G15" s="433">
        <v>0</v>
      </c>
      <c r="H15" s="516">
        <v>0</v>
      </c>
      <c r="I15" s="517"/>
      <c r="J15" s="420">
        <f t="shared" si="0"/>
        <v>53.422110000000004</v>
      </c>
      <c r="K15" s="1022">
        <f>D15/(J15*10^6)</f>
        <v>1.0970131889732074E-2</v>
      </c>
      <c r="L15" s="418"/>
      <c r="M15" s="401"/>
      <c r="P15" s="402"/>
    </row>
    <row r="16" spans="1:16">
      <c r="A16" s="417" t="s">
        <v>2547</v>
      </c>
      <c r="B16" s="238" t="s">
        <v>2782</v>
      </c>
      <c r="C16" s="552">
        <f t="shared" si="1"/>
        <v>0.15531087168875962</v>
      </c>
      <c r="D16" s="408">
        <f t="shared" si="2"/>
        <v>208791703.80265051</v>
      </c>
      <c r="E16" s="515">
        <v>13351.955120000001</v>
      </c>
      <c r="F16" s="433"/>
      <c r="G16" s="592">
        <v>193.91529</v>
      </c>
      <c r="H16" s="516">
        <v>49439.151290000002</v>
      </c>
      <c r="I16" s="517">
        <v>36.513669999999998</v>
      </c>
      <c r="J16" s="420">
        <f t="shared" si="0"/>
        <v>13158.03983</v>
      </c>
      <c r="K16" s="418"/>
      <c r="L16" s="1024">
        <f t="shared" ref="L16:L25" si="3">D16/((I16+H16)*10^3)</f>
        <v>4.2200888855451275</v>
      </c>
      <c r="M16" s="401"/>
      <c r="O16" s="640"/>
      <c r="P16" s="402"/>
    </row>
    <row r="17" spans="1:16">
      <c r="A17" s="417" t="s">
        <v>2548</v>
      </c>
      <c r="B17" s="238" t="s">
        <v>2783</v>
      </c>
      <c r="C17" s="552">
        <f t="shared" si="1"/>
        <v>8.3606058459536267E-2</v>
      </c>
      <c r="D17" s="408">
        <f t="shared" si="2"/>
        <v>112395553.5384066</v>
      </c>
      <c r="E17" s="515">
        <v>7738.28208</v>
      </c>
      <c r="F17" s="433"/>
      <c r="G17" s="592">
        <v>44.042450000000002</v>
      </c>
      <c r="H17" s="516">
        <v>22060.873360000001</v>
      </c>
      <c r="I17" s="517">
        <v>80.707999999999998</v>
      </c>
      <c r="J17" s="420">
        <f t="shared" si="0"/>
        <v>7694.23963</v>
      </c>
      <c r="K17" s="418"/>
      <c r="L17" s="1024">
        <f t="shared" si="3"/>
        <v>5.0762206958467484</v>
      </c>
      <c r="M17" s="401"/>
      <c r="O17" s="640"/>
      <c r="P17" s="402"/>
    </row>
    <row r="18" spans="1:16">
      <c r="A18" s="417" t="s">
        <v>2549</v>
      </c>
      <c r="B18" s="238" t="s">
        <v>2784</v>
      </c>
      <c r="C18" s="552">
        <f t="shared" si="1"/>
        <v>7.3720417339443262E-2</v>
      </c>
      <c r="D18" s="408">
        <f t="shared" si="2"/>
        <v>99105821.594965696</v>
      </c>
      <c r="E18" s="515">
        <v>7286.7499500000004</v>
      </c>
      <c r="F18" s="433"/>
      <c r="G18" s="592">
        <v>12.55531</v>
      </c>
      <c r="H18" s="516">
        <v>18599.431939999999</v>
      </c>
      <c r="I18" s="517"/>
      <c r="J18" s="420">
        <f t="shared" si="0"/>
        <v>7274.1946400000006</v>
      </c>
      <c r="K18" s="418"/>
      <c r="L18" s="1024">
        <f>D18/((I18+H18)*10^3)</f>
        <v>5.3284327131426199</v>
      </c>
      <c r="M18" s="401"/>
      <c r="O18" s="640"/>
      <c r="P18" s="402"/>
    </row>
    <row r="19" spans="1:16">
      <c r="A19" s="417" t="s">
        <v>2550</v>
      </c>
      <c r="B19" s="238" t="s">
        <v>2785</v>
      </c>
      <c r="C19" s="552">
        <f t="shared" si="1"/>
        <v>5.7014730109359535E-2</v>
      </c>
      <c r="D19" s="408">
        <f t="shared" si="2"/>
        <v>76647581.150901511</v>
      </c>
      <c r="E19" s="515">
        <v>5949.8833299999997</v>
      </c>
      <c r="F19" s="433"/>
      <c r="G19" s="592">
        <v>6.4259500000000003</v>
      </c>
      <c r="H19" s="516">
        <v>13919.396290000001</v>
      </c>
      <c r="I19" s="517"/>
      <c r="J19" s="420">
        <f t="shared" si="0"/>
        <v>5943.4573799999998</v>
      </c>
      <c r="K19" s="418"/>
      <c r="L19" s="1024">
        <f t="shared" si="3"/>
        <v>5.5065305674188476</v>
      </c>
      <c r="M19" s="401"/>
      <c r="O19" s="640"/>
      <c r="P19" s="402"/>
    </row>
    <row r="20" spans="1:16">
      <c r="A20" s="417" t="s">
        <v>2551</v>
      </c>
      <c r="B20" s="238" t="s">
        <v>2786</v>
      </c>
      <c r="C20" s="552">
        <f t="shared" si="1"/>
        <v>6.6178229281158796E-2</v>
      </c>
      <c r="D20" s="408">
        <f t="shared" si="2"/>
        <v>88966503.735460117</v>
      </c>
      <c r="E20" s="515">
        <v>6341.0014700000002</v>
      </c>
      <c r="F20" s="433"/>
      <c r="G20" s="592">
        <v>0.79088999999999998</v>
      </c>
      <c r="H20" s="516">
        <v>12613.49179</v>
      </c>
      <c r="I20" s="517"/>
      <c r="J20" s="420">
        <f t="shared" si="0"/>
        <v>6340.2105799999999</v>
      </c>
      <c r="K20" s="418"/>
      <c r="L20" s="1024">
        <f t="shared" si="3"/>
        <v>7.0532811386925331</v>
      </c>
      <c r="M20" s="401"/>
      <c r="N20" s="641"/>
      <c r="O20" s="642"/>
      <c r="P20" s="402"/>
    </row>
    <row r="21" spans="1:16">
      <c r="A21" s="417" t="s">
        <v>2552</v>
      </c>
      <c r="B21" s="238" t="s">
        <v>2787</v>
      </c>
      <c r="C21" s="552">
        <f t="shared" si="1"/>
        <v>6.4215411496707333E-4</v>
      </c>
      <c r="D21" s="408">
        <f t="shared" si="2"/>
        <v>863277.95543215622</v>
      </c>
      <c r="E21" s="516">
        <v>71.08766</v>
      </c>
      <c r="F21" s="516">
        <v>65</v>
      </c>
      <c r="G21" s="592">
        <v>0</v>
      </c>
      <c r="H21" s="516">
        <v>213.96605</v>
      </c>
      <c r="I21" s="517">
        <v>196.74299999999999</v>
      </c>
      <c r="J21" s="420">
        <f t="shared" si="0"/>
        <v>136.08766</v>
      </c>
      <c r="K21" s="418"/>
      <c r="L21" s="1024">
        <f t="shared" si="3"/>
        <v>2.1019209472792388</v>
      </c>
      <c r="M21" s="401"/>
      <c r="O21" s="640"/>
      <c r="P21" s="402"/>
    </row>
    <row r="22" spans="1:16">
      <c r="A22" s="417" t="s">
        <v>2553</v>
      </c>
      <c r="B22" s="238" t="s">
        <v>2788</v>
      </c>
      <c r="C22" s="552">
        <f t="shared" si="1"/>
        <v>1.5580048248697695E-3</v>
      </c>
      <c r="D22" s="408">
        <f t="shared" si="2"/>
        <v>2094499.1060844858</v>
      </c>
      <c r="E22" s="516">
        <v>330.11615999999998</v>
      </c>
      <c r="F22" s="516">
        <v>172</v>
      </c>
      <c r="G22" s="592">
        <v>0</v>
      </c>
      <c r="H22" s="516">
        <v>885.53195000000005</v>
      </c>
      <c r="I22" s="517">
        <v>1097.69667</v>
      </c>
      <c r="J22" s="420">
        <f t="shared" si="0"/>
        <v>502.11615999999998</v>
      </c>
      <c r="K22" s="418"/>
      <c r="L22" s="1024">
        <f t="shared" si="3"/>
        <v>1.0561057282868809</v>
      </c>
      <c r="M22" s="401"/>
      <c r="O22" s="640"/>
      <c r="P22" s="402"/>
    </row>
    <row r="23" spans="1:16">
      <c r="A23" s="417" t="s">
        <v>2554</v>
      </c>
      <c r="B23" s="238" t="s">
        <v>2789</v>
      </c>
      <c r="C23" s="552">
        <f t="shared" si="1"/>
        <v>4.7410698338634103E-3</v>
      </c>
      <c r="D23" s="408">
        <f t="shared" si="2"/>
        <v>6373642.9890331551</v>
      </c>
      <c r="E23" s="516">
        <v>1734.6813999999999</v>
      </c>
      <c r="F23" s="516">
        <v>630</v>
      </c>
      <c r="G23" s="592">
        <v>0</v>
      </c>
      <c r="H23" s="516">
        <v>4354.9915099999998</v>
      </c>
      <c r="I23" s="517">
        <v>6535.28233</v>
      </c>
      <c r="J23" s="420">
        <f t="shared" si="0"/>
        <v>2364.6813999999999</v>
      </c>
      <c r="K23" s="418"/>
      <c r="L23" s="1024">
        <f t="shared" si="3"/>
        <v>0.58526012134081973</v>
      </c>
      <c r="M23" s="401"/>
      <c r="N23" s="641"/>
      <c r="O23" s="642"/>
      <c r="P23" s="402"/>
    </row>
    <row r="24" spans="1:16">
      <c r="A24" s="417" t="s">
        <v>2555</v>
      </c>
      <c r="B24" s="238" t="s">
        <v>2790</v>
      </c>
      <c r="C24" s="552">
        <f t="shared" si="1"/>
        <v>1.7465560678558079E-2</v>
      </c>
      <c r="D24" s="408">
        <f t="shared" si="2"/>
        <v>23479774.03186927</v>
      </c>
      <c r="E24" s="515">
        <v>2026.1004</v>
      </c>
      <c r="F24" s="433"/>
      <c r="G24" s="592">
        <v>71.772880000000001</v>
      </c>
      <c r="H24" s="515">
        <v>9442.71011</v>
      </c>
      <c r="I24" s="515">
        <v>2.544</v>
      </c>
      <c r="J24" s="420">
        <f t="shared" si="0"/>
        <v>1954.32752</v>
      </c>
      <c r="K24" s="418"/>
      <c r="L24" s="1024">
        <f t="shared" si="3"/>
        <v>2.485880608231648</v>
      </c>
      <c r="M24" s="401"/>
      <c r="N24" s="643"/>
      <c r="O24" s="643"/>
      <c r="P24" s="402"/>
    </row>
    <row r="25" spans="1:16">
      <c r="A25" s="417" t="s">
        <v>2556</v>
      </c>
      <c r="B25" s="238" t="s">
        <v>2791</v>
      </c>
      <c r="C25" s="552">
        <f t="shared" si="1"/>
        <v>1.534974003291459E-2</v>
      </c>
      <c r="D25" s="408">
        <f t="shared" si="2"/>
        <v>20635376.902800161</v>
      </c>
      <c r="E25" s="515">
        <v>1820.1571300000001</v>
      </c>
      <c r="F25" s="433"/>
      <c r="G25" s="592">
        <v>7.81</v>
      </c>
      <c r="H25" s="515">
        <v>6053.5765499999998</v>
      </c>
      <c r="I25" s="515">
        <v>21.884</v>
      </c>
      <c r="J25" s="420">
        <f t="shared" si="0"/>
        <v>1812.3471300000001</v>
      </c>
      <c r="K25" s="418"/>
      <c r="L25" s="1024">
        <f t="shared" si="3"/>
        <v>3.396512368564415</v>
      </c>
      <c r="M25" s="640"/>
      <c r="O25" s="405"/>
      <c r="P25" s="402"/>
    </row>
    <row r="26" spans="1:16">
      <c r="A26" s="417" t="s">
        <v>2557</v>
      </c>
      <c r="B26" s="238" t="s">
        <v>2792</v>
      </c>
      <c r="C26" s="552">
        <f t="shared" si="1"/>
        <v>3.1090399849038248E-3</v>
      </c>
      <c r="D26" s="408">
        <f t="shared" si="2"/>
        <v>4179628.564183875</v>
      </c>
      <c r="E26" s="515">
        <v>422.33148999999997</v>
      </c>
      <c r="F26" s="433"/>
      <c r="G26" s="592">
        <v>1.53234</v>
      </c>
      <c r="H26" s="516">
        <v>0</v>
      </c>
      <c r="I26" s="517"/>
      <c r="J26" s="420">
        <f t="shared" si="0"/>
        <v>420.79915</v>
      </c>
      <c r="K26" s="1022">
        <f>D26/(J26*10^6)</f>
        <v>9.9325974498377084E-3</v>
      </c>
      <c r="L26" s="418"/>
      <c r="M26" s="401"/>
      <c r="O26" s="405"/>
      <c r="P26" s="402"/>
    </row>
    <row r="27" spans="1:16">
      <c r="A27" s="417" t="s">
        <v>2558</v>
      </c>
      <c r="B27" s="419" t="s">
        <v>373</v>
      </c>
      <c r="C27" s="552"/>
      <c r="D27" s="408"/>
      <c r="E27" s="515"/>
      <c r="F27" s="433"/>
      <c r="G27" s="433"/>
      <c r="H27" s="516"/>
      <c r="I27" s="517"/>
      <c r="J27" s="420">
        <f t="shared" si="0"/>
        <v>0</v>
      </c>
      <c r="K27" s="1022"/>
      <c r="L27" s="418"/>
      <c r="M27" s="401"/>
      <c r="O27" s="405"/>
      <c r="P27" s="402"/>
    </row>
    <row r="28" spans="1:16">
      <c r="A28" s="417">
        <v>2</v>
      </c>
      <c r="B28" s="240" t="s">
        <v>424</v>
      </c>
      <c r="C28" s="654">
        <f t="shared" ref="C28:D28" si="4">SUM(C12:C27)</f>
        <v>0.99999999999999989</v>
      </c>
      <c r="D28" s="1021">
        <f t="shared" si="4"/>
        <v>1344346996.0111072</v>
      </c>
      <c r="E28" s="653">
        <f>SUM(E12:E27)</f>
        <v>82033.829030000008</v>
      </c>
      <c r="F28" s="653">
        <f t="shared" ref="F28:J28" si="5">SUM(F12:F27)</f>
        <v>867</v>
      </c>
      <c r="G28" s="653">
        <f t="shared" si="5"/>
        <v>3766.1863199999998</v>
      </c>
      <c r="H28" s="653">
        <f t="shared" si="5"/>
        <v>137583.12083999999</v>
      </c>
      <c r="I28" s="653">
        <f t="shared" si="5"/>
        <v>7972.3543399999999</v>
      </c>
      <c r="J28" s="653">
        <f t="shared" si="5"/>
        <v>79134.642710000015</v>
      </c>
      <c r="K28" s="402"/>
      <c r="M28" s="401"/>
      <c r="P28" s="402"/>
    </row>
    <row r="29" spans="1:16">
      <c r="A29" s="417">
        <f>A28+1</f>
        <v>3</v>
      </c>
      <c r="J29" s="420"/>
      <c r="K29" s="420"/>
    </row>
    <row r="30" spans="1:16">
      <c r="A30" s="417">
        <f t="shared" ref="A30:A34" si="6">A29+1</f>
        <v>4</v>
      </c>
      <c r="G30" s="540"/>
      <c r="I30" s="409"/>
      <c r="J30" s="421"/>
      <c r="K30" s="421"/>
      <c r="L30" s="421"/>
    </row>
    <row r="31" spans="1:16" ht="15.75">
      <c r="A31" s="417">
        <f t="shared" si="6"/>
        <v>5</v>
      </c>
      <c r="B31" s="400" t="s">
        <v>2559</v>
      </c>
    </row>
    <row r="32" spans="1:16">
      <c r="A32" s="417">
        <f t="shared" si="6"/>
        <v>6</v>
      </c>
      <c r="C32" s="409" t="s">
        <v>329</v>
      </c>
      <c r="D32" s="409" t="s">
        <v>330</v>
      </c>
      <c r="E32" s="409" t="s">
        <v>331</v>
      </c>
      <c r="F32" s="409" t="s">
        <v>332</v>
      </c>
      <c r="G32" s="409" t="s">
        <v>333</v>
      </c>
      <c r="H32" s="409" t="s">
        <v>334</v>
      </c>
      <c r="I32" s="409" t="s">
        <v>335</v>
      </c>
      <c r="J32" s="409" t="s">
        <v>336</v>
      </c>
    </row>
    <row r="33" spans="1:13" s="637" customFormat="1" ht="42.75" customHeight="1">
      <c r="A33" s="417">
        <f t="shared" si="6"/>
        <v>7</v>
      </c>
      <c r="C33" s="638" t="s">
        <v>2560</v>
      </c>
      <c r="D33" s="651" t="s">
        <v>2561</v>
      </c>
      <c r="E33" s="651" t="s">
        <v>2562</v>
      </c>
      <c r="F33" s="656"/>
      <c r="H33" s="538" t="s">
        <v>2560</v>
      </c>
      <c r="I33" s="538" t="s">
        <v>2079</v>
      </c>
      <c r="J33" s="410" t="s">
        <v>2563</v>
      </c>
      <c r="K33" s="543"/>
      <c r="L33" s="543"/>
      <c r="M33" s="543"/>
    </row>
    <row r="34" spans="1:13">
      <c r="A34" s="417">
        <f t="shared" si="6"/>
        <v>8</v>
      </c>
      <c r="C34" s="409"/>
      <c r="D34" s="409"/>
      <c r="E34" s="409"/>
      <c r="F34" s="544"/>
      <c r="K34" s="544"/>
      <c r="L34" s="544"/>
      <c r="M34" s="544"/>
    </row>
    <row r="35" spans="1:13" s="423" customFormat="1" ht="60.6" customHeight="1">
      <c r="A35" s="417">
        <v>9</v>
      </c>
      <c r="B35" s="422" t="s">
        <v>2532</v>
      </c>
      <c r="C35" s="412" t="s">
        <v>2564</v>
      </c>
      <c r="D35" s="422" t="s">
        <v>2565</v>
      </c>
      <c r="E35" s="422" t="s">
        <v>2566</v>
      </c>
      <c r="F35" s="545"/>
      <c r="G35" s="422" t="s">
        <v>2532</v>
      </c>
      <c r="H35" s="422" t="s">
        <v>2567</v>
      </c>
      <c r="I35" s="422" t="s">
        <v>2568</v>
      </c>
      <c r="J35" s="422" t="s">
        <v>2569</v>
      </c>
      <c r="K35" s="545"/>
      <c r="L35" s="546"/>
      <c r="M35" s="546"/>
    </row>
    <row r="36" spans="1:13" s="425" customFormat="1">
      <c r="A36" s="424" t="s">
        <v>2570</v>
      </c>
      <c r="B36" s="987" t="s">
        <v>2787</v>
      </c>
      <c r="C36" s="408">
        <f>D21</f>
        <v>863277.95543215622</v>
      </c>
      <c r="D36" s="1028">
        <f>I21</f>
        <v>196.74299999999999</v>
      </c>
      <c r="E36" s="1029">
        <f>C36/D36/10^3</f>
        <v>4.3878458467755213</v>
      </c>
      <c r="F36" s="547"/>
      <c r="G36" s="987" t="s">
        <v>2787</v>
      </c>
      <c r="H36" s="408">
        <f>D18</f>
        <v>99105821.594965696</v>
      </c>
      <c r="I36" s="420">
        <f>H18+H21</f>
        <v>18813.397989999998</v>
      </c>
      <c r="J36" s="640">
        <f>H36/(I36*10^3)</f>
        <v>5.2678320868800004</v>
      </c>
      <c r="K36" s="548"/>
      <c r="L36" s="549"/>
      <c r="M36" s="547"/>
    </row>
    <row r="37" spans="1:13" s="425" customFormat="1">
      <c r="A37" s="424" t="s">
        <v>2571</v>
      </c>
      <c r="B37" s="987" t="s">
        <v>2788</v>
      </c>
      <c r="C37" s="408">
        <f>D22</f>
        <v>2094499.1060844858</v>
      </c>
      <c r="D37" s="1028">
        <f>I22</f>
        <v>1097.69667</v>
      </c>
      <c r="E37" s="1029">
        <f t="shared" ref="E37:E38" si="7">C37/D37/10^3</f>
        <v>1.9080855060665216</v>
      </c>
      <c r="F37" s="547"/>
      <c r="G37" s="987" t="s">
        <v>2788</v>
      </c>
      <c r="H37" s="408">
        <f t="shared" ref="H37:H38" si="8">D19</f>
        <v>76647581.150901511</v>
      </c>
      <c r="I37" s="420">
        <f t="shared" ref="I37:I38" si="9">H19+H22</f>
        <v>14804.928240000001</v>
      </c>
      <c r="J37" s="640">
        <f t="shared" ref="J37:J38" si="10">H37/(I37*10^3)</f>
        <v>5.1771666777698284</v>
      </c>
      <c r="K37" s="548"/>
      <c r="L37" s="549"/>
      <c r="M37" s="547"/>
    </row>
    <row r="38" spans="1:13" s="425" customFormat="1">
      <c r="A38" s="424" t="s">
        <v>2572</v>
      </c>
      <c r="B38" s="987" t="s">
        <v>2789</v>
      </c>
      <c r="C38" s="408">
        <f>D23</f>
        <v>6373642.9890331551</v>
      </c>
      <c r="D38" s="1028">
        <f>I23</f>
        <v>6535.28233</v>
      </c>
      <c r="E38" s="1029">
        <f t="shared" si="7"/>
        <v>0.97526666289154107</v>
      </c>
      <c r="F38" s="547"/>
      <c r="G38" s="987" t="s">
        <v>2789</v>
      </c>
      <c r="H38" s="408">
        <f t="shared" si="8"/>
        <v>88966503.735460117</v>
      </c>
      <c r="I38" s="420">
        <f t="shared" si="9"/>
        <v>16968.4833</v>
      </c>
      <c r="J38" s="640">
        <f t="shared" si="10"/>
        <v>5.2430439516924956</v>
      </c>
      <c r="K38" s="548"/>
      <c r="L38" s="549"/>
      <c r="M38" s="547"/>
    </row>
    <row r="39" spans="1:13">
      <c r="A39" s="424" t="s">
        <v>2573</v>
      </c>
      <c r="B39" s="988" t="s">
        <v>373</v>
      </c>
      <c r="C39" s="409"/>
      <c r="D39" s="409"/>
      <c r="E39" s="409"/>
      <c r="F39" s="409"/>
      <c r="G39" s="988" t="s">
        <v>373</v>
      </c>
      <c r="H39" s="409"/>
      <c r="I39" s="409"/>
    </row>
    <row r="40" spans="1:13">
      <c r="A40" s="417">
        <v>10</v>
      </c>
      <c r="C40" s="409"/>
      <c r="D40" s="409"/>
      <c r="E40" s="409"/>
      <c r="F40" s="409"/>
      <c r="G40" s="409"/>
      <c r="H40" s="409"/>
      <c r="I40" s="409"/>
    </row>
    <row r="41" spans="1:13">
      <c r="A41" s="417">
        <v>11</v>
      </c>
      <c r="B41" s="644" t="s">
        <v>2574</v>
      </c>
    </row>
    <row r="42" spans="1:13">
      <c r="A42" s="417">
        <v>12</v>
      </c>
      <c r="C42" s="409" t="s">
        <v>329</v>
      </c>
      <c r="D42" s="409" t="s">
        <v>330</v>
      </c>
      <c r="E42" s="409" t="s">
        <v>331</v>
      </c>
      <c r="F42" s="409" t="s">
        <v>332</v>
      </c>
      <c r="G42" s="409" t="s">
        <v>333</v>
      </c>
      <c r="H42" s="409" t="s">
        <v>334</v>
      </c>
      <c r="I42" s="409" t="s">
        <v>335</v>
      </c>
      <c r="J42" s="409" t="s">
        <v>336</v>
      </c>
      <c r="K42" s="409" t="s">
        <v>337</v>
      </c>
      <c r="L42" s="409" t="s">
        <v>582</v>
      </c>
      <c r="M42" s="409" t="s">
        <v>583</v>
      </c>
    </row>
    <row r="43" spans="1:13" s="637" customFormat="1" ht="57" customHeight="1">
      <c r="A43" s="427">
        <v>13</v>
      </c>
      <c r="C43" s="651" t="s">
        <v>2575</v>
      </c>
      <c r="D43" s="651" t="s">
        <v>2576</v>
      </c>
      <c r="E43" s="651" t="s">
        <v>2577</v>
      </c>
      <c r="G43" s="651" t="s">
        <v>2578</v>
      </c>
      <c r="H43" s="651" t="s">
        <v>2579</v>
      </c>
      <c r="I43" s="651" t="s">
        <v>2580</v>
      </c>
      <c r="J43" s="651" t="s">
        <v>2581</v>
      </c>
      <c r="K43" s="651" t="s">
        <v>2582</v>
      </c>
      <c r="L43" s="411"/>
      <c r="M43" s="651" t="s">
        <v>2578</v>
      </c>
    </row>
    <row r="44" spans="1:13">
      <c r="A44" s="417">
        <v>14</v>
      </c>
      <c r="C44" s="402"/>
      <c r="D44" s="418" t="s">
        <v>2583</v>
      </c>
      <c r="E44" s="541"/>
      <c r="G44" s="402"/>
      <c r="H44" s="402" t="s">
        <v>2584</v>
      </c>
      <c r="I44" s="402" t="s">
        <v>2585</v>
      </c>
      <c r="J44" s="402"/>
      <c r="K44" s="402"/>
      <c r="L44" s="402"/>
      <c r="M44" s="536"/>
    </row>
    <row r="45" spans="1:13" ht="64.5" customHeight="1">
      <c r="A45" s="417">
        <v>15</v>
      </c>
      <c r="B45" s="415" t="str">
        <f>B11</f>
        <v>CPUC Rate Group</v>
      </c>
      <c r="C45" s="412" t="s">
        <v>2586</v>
      </c>
      <c r="D45" s="412" t="s">
        <v>2587</v>
      </c>
      <c r="E45" s="412" t="s">
        <v>2588</v>
      </c>
      <c r="G45" s="412" t="s">
        <v>2589</v>
      </c>
      <c r="H45" s="412" t="s">
        <v>2590</v>
      </c>
      <c r="I45" s="422" t="s">
        <v>2591</v>
      </c>
      <c r="J45" s="412" t="s">
        <v>2592</v>
      </c>
      <c r="K45" s="422" t="s">
        <v>2593</v>
      </c>
      <c r="L45" s="428" t="s">
        <v>100</v>
      </c>
      <c r="M45" s="422" t="s">
        <v>2594</v>
      </c>
    </row>
    <row r="46" spans="1:13" ht="13.5" thickBot="1">
      <c r="A46" s="417" t="s">
        <v>2595</v>
      </c>
      <c r="B46" s="989" t="s">
        <v>2778</v>
      </c>
      <c r="C46" s="408">
        <f>D46+E46</f>
        <v>605539907.89947152</v>
      </c>
      <c r="D46" s="408">
        <f>D12-E46</f>
        <v>605539907.89947152</v>
      </c>
      <c r="E46" s="1030"/>
      <c r="G46" s="1030">
        <f>D46/(J12*10^6)</f>
        <v>2.3409410326740387E-2</v>
      </c>
      <c r="H46" s="1030"/>
      <c r="I46" s="1031"/>
      <c r="J46" s="1032"/>
      <c r="K46" s="1030"/>
      <c r="L46" s="1030"/>
      <c r="M46" s="536"/>
    </row>
    <row r="47" spans="1:13" ht="13.5" thickBot="1">
      <c r="A47" s="417" t="s">
        <v>2596</v>
      </c>
      <c r="B47" s="989" t="s">
        <v>2779</v>
      </c>
      <c r="C47" s="408">
        <f t="shared" ref="C47:C59" si="11">D47+E47</f>
        <v>94687677.147320226</v>
      </c>
      <c r="D47" s="408">
        <f t="shared" ref="D47" si="12">D13-E47</f>
        <v>94684270.890265107</v>
      </c>
      <c r="E47" s="408">
        <f>I47*I13*10^3</f>
        <v>3406.2570551115259</v>
      </c>
      <c r="G47" s="1030">
        <f>D47/(J13*10^6)</f>
        <v>1.6867699366699386E-2</v>
      </c>
      <c r="H47" s="1033">
        <f>(M14-E47)/N13/10^3</f>
        <v>3.4663285285106147</v>
      </c>
      <c r="I47" s="1026">
        <f>MIN($I$54,L14)</f>
        <v>3.4663285285106147</v>
      </c>
      <c r="J47" s="1026"/>
      <c r="K47" s="1026"/>
      <c r="L47" s="539" t="s">
        <v>2597</v>
      </c>
      <c r="M47" s="1022">
        <f>$D47/(J13*10^6)</f>
        <v>1.6867699366699386E-2</v>
      </c>
    </row>
    <row r="48" spans="1:13" ht="13.5" thickBot="1">
      <c r="A48" s="417" t="s">
        <v>2598</v>
      </c>
      <c r="B48" s="989" t="s">
        <v>2781</v>
      </c>
      <c r="C48" s="408">
        <f t="shared" si="11"/>
        <v>586047.59252777474</v>
      </c>
      <c r="D48" s="408">
        <f>D15-E48</f>
        <v>586047.59252777474</v>
      </c>
      <c r="E48" s="1030"/>
      <c r="G48" s="1030">
        <f>D48/(J15*10^6)</f>
        <v>1.0970131889732074E-2</v>
      </c>
      <c r="H48" s="1030"/>
      <c r="I48" s="1031"/>
      <c r="J48" s="1032"/>
      <c r="K48" s="1030"/>
      <c r="L48" s="1030"/>
      <c r="M48" s="1034"/>
    </row>
    <row r="49" spans="1:13">
      <c r="A49" s="417" t="s">
        <v>2599</v>
      </c>
      <c r="B49" s="989" t="s">
        <v>2782</v>
      </c>
      <c r="C49" s="408">
        <f t="shared" si="11"/>
        <v>208791703.80265051</v>
      </c>
      <c r="D49" s="408">
        <f t="shared" ref="D49:D50" si="13">D16-E49</f>
        <v>208637612.86971304</v>
      </c>
      <c r="E49" s="408">
        <f>I49*I16*10^3</f>
        <v>154090.93293746255</v>
      </c>
      <c r="G49" s="408"/>
      <c r="H49" s="1035">
        <f t="shared" ref="H49:H58" si="14">D49/H16/10^3</f>
        <v>4.2200888855451266</v>
      </c>
      <c r="I49" s="1024">
        <f>MIN($I$54,L16)</f>
        <v>4.2200888855451275</v>
      </c>
      <c r="J49" s="1032"/>
      <c r="K49" s="1030"/>
      <c r="L49" s="1150" t="s">
        <v>2600</v>
      </c>
      <c r="M49" s="1036">
        <f>($D49+D50)/((J16+J17)*10^6)</f>
        <v>1.537860802032039E-2</v>
      </c>
    </row>
    <row r="50" spans="1:13" ht="13.5" thickBot="1">
      <c r="A50" s="417" t="s">
        <v>2601</v>
      </c>
      <c r="B50" s="989" t="s">
        <v>2783</v>
      </c>
      <c r="C50" s="408">
        <f t="shared" si="11"/>
        <v>112395553.5384066</v>
      </c>
      <c r="D50" s="408">
        <f t="shared" si="13"/>
        <v>112041419.27580504</v>
      </c>
      <c r="E50" s="408">
        <f>I50*I17*10^3</f>
        <v>354134.26260155876</v>
      </c>
      <c r="G50" s="408"/>
      <c r="H50" s="1035">
        <f t="shared" si="14"/>
        <v>5.0787390620243809</v>
      </c>
      <c r="I50" s="1024">
        <f>MIN($I$54,L17)</f>
        <v>4.3878458467755213</v>
      </c>
      <c r="J50" s="1032"/>
      <c r="K50" s="1030"/>
      <c r="L50" s="1151"/>
      <c r="M50" s="1037">
        <f>M49</f>
        <v>1.537860802032039E-2</v>
      </c>
    </row>
    <row r="51" spans="1:13">
      <c r="A51" s="417" t="s">
        <v>2602</v>
      </c>
      <c r="B51" s="989" t="s">
        <v>2784</v>
      </c>
      <c r="C51" s="408">
        <f t="shared" si="11"/>
        <v>97978684.371272728</v>
      </c>
      <c r="D51" s="408">
        <f>J36*H18*1000</f>
        <v>97978684.371272728</v>
      </c>
      <c r="E51" s="1030"/>
      <c r="G51" s="408"/>
      <c r="H51" s="1035">
        <f t="shared" si="14"/>
        <v>5.2678320868800004</v>
      </c>
      <c r="I51" s="1031"/>
      <c r="J51" s="1032"/>
      <c r="K51" s="1030"/>
      <c r="L51" s="1030"/>
      <c r="M51" s="1022">
        <f>$D51/(J18*10^6)</f>
        <v>1.3469351484286475E-2</v>
      </c>
    </row>
    <row r="52" spans="1:13">
      <c r="A52" s="417" t="s">
        <v>2603</v>
      </c>
      <c r="B52" s="989" t="s">
        <v>2785</v>
      </c>
      <c r="C52" s="408">
        <f t="shared" si="11"/>
        <v>72063034.647260979</v>
      </c>
      <c r="D52" s="408">
        <f t="shared" ref="D52:D53" si="15">J37*H19*1000</f>
        <v>72063034.647260979</v>
      </c>
      <c r="E52" s="1030"/>
      <c r="G52" s="408"/>
      <c r="H52" s="1035">
        <f t="shared" si="14"/>
        <v>5.1771666777698284</v>
      </c>
      <c r="I52" s="1031"/>
      <c r="J52" s="1032"/>
      <c r="K52" s="1030"/>
      <c r="L52" s="1030"/>
      <c r="M52" s="1022">
        <f>$D52/(J19*10^6)</f>
        <v>1.2124766788057791E-2</v>
      </c>
    </row>
    <row r="53" spans="1:13">
      <c r="A53" s="417" t="s">
        <v>2604</v>
      </c>
      <c r="B53" s="989" t="s">
        <v>2786</v>
      </c>
      <c r="C53" s="408">
        <f t="shared" si="11"/>
        <v>66133091.839282453</v>
      </c>
      <c r="D53" s="408">
        <f t="shared" si="15"/>
        <v>66133091.839282453</v>
      </c>
      <c r="E53" s="1030"/>
      <c r="G53" s="408"/>
      <c r="H53" s="1035">
        <f t="shared" si="14"/>
        <v>5.2430439516924965</v>
      </c>
      <c r="I53" s="1031"/>
      <c r="J53" s="1032"/>
      <c r="K53" s="1022"/>
      <c r="L53" s="1022"/>
      <c r="M53" s="1022">
        <f>$D53/(J20*10^6)</f>
        <v>1.0430740588947829E-2</v>
      </c>
    </row>
    <row r="54" spans="1:13">
      <c r="A54" s="417" t="s">
        <v>2605</v>
      </c>
      <c r="B54" s="989" t="s">
        <v>2787</v>
      </c>
      <c r="C54" s="408">
        <f t="shared" si="11"/>
        <v>1990415.1791251269</v>
      </c>
      <c r="D54" s="408">
        <f>J36*H21*1000</f>
        <v>1127137.2236929706</v>
      </c>
      <c r="E54" s="408">
        <f>I54*I21*10^3</f>
        <v>863277.95543215633</v>
      </c>
      <c r="G54" s="408"/>
      <c r="H54" s="1035">
        <f>J36</f>
        <v>5.2678320868800004</v>
      </c>
      <c r="I54" s="1024">
        <f>E36</f>
        <v>4.3878458467755213</v>
      </c>
      <c r="J54" s="1032"/>
      <c r="K54" s="1022"/>
      <c r="L54" s="1022"/>
    </row>
    <row r="55" spans="1:13">
      <c r="A55" s="417" t="s">
        <v>2606</v>
      </c>
      <c r="B55" s="989" t="s">
        <v>2788</v>
      </c>
      <c r="C55" s="408">
        <f t="shared" si="11"/>
        <v>6679045.6097250236</v>
      </c>
      <c r="D55" s="408">
        <f t="shared" ref="D55:D56" si="16">J37*H22*1000</f>
        <v>4584546.5036405381</v>
      </c>
      <c r="E55" s="408">
        <f>I55*I22*10^3</f>
        <v>2094499.1060844855</v>
      </c>
      <c r="G55" s="408"/>
      <c r="H55" s="1035">
        <f>J37</f>
        <v>5.1771666777698284</v>
      </c>
      <c r="I55" s="1024">
        <f>E37</f>
        <v>1.9080855060665216</v>
      </c>
      <c r="J55" s="1032"/>
      <c r="K55" s="1022"/>
      <c r="L55" s="1022"/>
    </row>
    <row r="56" spans="1:13" ht="13.5" thickBot="1">
      <c r="A56" s="417" t="s">
        <v>2607</v>
      </c>
      <c r="B56" s="989" t="s">
        <v>2789</v>
      </c>
      <c r="C56" s="408">
        <f t="shared" si="11"/>
        <v>29207054.885210823</v>
      </c>
      <c r="D56" s="408">
        <f t="shared" si="16"/>
        <v>22833411.896177668</v>
      </c>
      <c r="E56" s="408">
        <f>I56*I23*10^3</f>
        <v>6373642.9890331542</v>
      </c>
      <c r="G56" s="408"/>
      <c r="H56" s="1035">
        <f>J38</f>
        <v>5.2430439516924956</v>
      </c>
      <c r="I56" s="1024">
        <f>E38</f>
        <v>0.97526666289154107</v>
      </c>
      <c r="J56" s="1032"/>
      <c r="K56" s="1022"/>
      <c r="L56" s="1022"/>
    </row>
    <row r="57" spans="1:13" ht="13.5" thickBot="1">
      <c r="A57" s="417" t="s">
        <v>2608</v>
      </c>
      <c r="B57" s="989" t="s">
        <v>2790</v>
      </c>
      <c r="C57" s="408">
        <f t="shared" si="11"/>
        <v>23479774.03186927</v>
      </c>
      <c r="D57" s="408">
        <f t="shared" ref="D57:D59" si="17">D24-E57</f>
        <v>23473449.95160193</v>
      </c>
      <c r="E57" s="408">
        <f>I57*I24*10^3</f>
        <v>6324.0802673413127</v>
      </c>
      <c r="G57" s="408"/>
      <c r="H57" s="1035">
        <f t="shared" si="14"/>
        <v>2.4858806082316476</v>
      </c>
      <c r="I57" s="1024">
        <f>MIN($I$54,L24)</f>
        <v>2.485880608231648</v>
      </c>
      <c r="J57" s="1023">
        <f>H57*0.746</f>
        <v>1.8544669337408091</v>
      </c>
      <c r="K57" s="1026">
        <f>I57*0.746</f>
        <v>1.8544669337408095</v>
      </c>
      <c r="L57" s="539" t="s">
        <v>2609</v>
      </c>
    </row>
    <row r="58" spans="1:13">
      <c r="A58" s="417" t="s">
        <v>2610</v>
      </c>
      <c r="B58" s="989" t="s">
        <v>2791</v>
      </c>
      <c r="C58" s="408">
        <f t="shared" si="11"/>
        <v>20635376.902800161</v>
      </c>
      <c r="D58" s="408">
        <f t="shared" si="17"/>
        <v>20561047.626126498</v>
      </c>
      <c r="E58" s="408">
        <f>I58*I25*10^3</f>
        <v>74329.276673663655</v>
      </c>
      <c r="G58" s="408"/>
      <c r="H58" s="1035">
        <f t="shared" si="14"/>
        <v>3.396512368564415</v>
      </c>
      <c r="I58" s="1024">
        <f>MIN($I$54,L25)</f>
        <v>3.396512368564415</v>
      </c>
      <c r="J58" s="1032"/>
      <c r="K58" s="1030"/>
      <c r="L58" s="1030"/>
    </row>
    <row r="59" spans="1:13">
      <c r="A59" s="417" t="s">
        <v>2611</v>
      </c>
      <c r="B59" s="989" t="s">
        <v>2792</v>
      </c>
      <c r="C59" s="408">
        <f t="shared" si="11"/>
        <v>4179628.564183875</v>
      </c>
      <c r="D59" s="408">
        <f t="shared" si="17"/>
        <v>4179628.564183875</v>
      </c>
      <c r="E59" s="1030"/>
      <c r="G59" s="1030">
        <f>D59/(J26*10^6)</f>
        <v>9.9325974498377084E-3</v>
      </c>
      <c r="H59" s="1030"/>
      <c r="I59" s="1031"/>
      <c r="J59" s="1032"/>
      <c r="K59" s="1030"/>
      <c r="L59" s="1030"/>
    </row>
    <row r="60" spans="1:13">
      <c r="A60" s="417" t="s">
        <v>2612</v>
      </c>
      <c r="B60" s="988" t="s">
        <v>373</v>
      </c>
      <c r="C60" s="408"/>
      <c r="D60" s="408"/>
      <c r="E60" s="1030"/>
      <c r="G60" s="1030"/>
      <c r="H60" s="1030"/>
      <c r="I60" s="1031"/>
      <c r="J60" s="1032"/>
      <c r="K60" s="1030"/>
      <c r="L60" s="1030"/>
    </row>
    <row r="61" spans="1:13">
      <c r="A61" s="417">
        <v>17</v>
      </c>
      <c r="B61" s="239" t="s">
        <v>424</v>
      </c>
      <c r="C61" s="1021">
        <f>SUM(C46:C60)</f>
        <v>1344346996.011107</v>
      </c>
      <c r="D61" s="1021">
        <f>SUM(D46:D60)</f>
        <v>1334423291.1510224</v>
      </c>
      <c r="E61" s="1021">
        <f>SUM(E46:E59)</f>
        <v>9923704.8600849342</v>
      </c>
      <c r="G61" s="408"/>
      <c r="H61" s="408"/>
      <c r="I61" s="408"/>
      <c r="J61" s="408"/>
    </row>
    <row r="62" spans="1:13">
      <c r="A62" s="417">
        <v>18</v>
      </c>
    </row>
    <row r="63" spans="1:13">
      <c r="A63" s="417">
        <v>19</v>
      </c>
      <c r="B63" s="429" t="s">
        <v>226</v>
      </c>
    </row>
    <row r="64" spans="1:13">
      <c r="B64" s="401" t="s">
        <v>2613</v>
      </c>
    </row>
    <row r="65" spans="2:2">
      <c r="B65" s="401" t="s">
        <v>2614</v>
      </c>
    </row>
    <row r="66" spans="2:2">
      <c r="B66" s="401" t="s">
        <v>2615</v>
      </c>
    </row>
    <row r="67" spans="2:2">
      <c r="B67" s="430" t="s">
        <v>2616</v>
      </c>
    </row>
    <row r="68" spans="2:2">
      <c r="B68" s="430" t="s">
        <v>2617</v>
      </c>
    </row>
    <row r="69" spans="2:2">
      <c r="B69" s="550" t="s">
        <v>2618</v>
      </c>
    </row>
    <row r="70" spans="2:2">
      <c r="B70" s="401" t="s">
        <v>2619</v>
      </c>
    </row>
    <row r="71" spans="2:2">
      <c r="B71" s="401" t="s">
        <v>2620</v>
      </c>
    </row>
    <row r="72" spans="2:2">
      <c r="B72" s="401" t="s">
        <v>2621</v>
      </c>
    </row>
    <row r="73" spans="2:2">
      <c r="B73" s="401" t="s">
        <v>2622</v>
      </c>
    </row>
    <row r="74" spans="2:2">
      <c r="B74" s="401" t="s">
        <v>2623</v>
      </c>
    </row>
    <row r="75" spans="2:2">
      <c r="B75" s="430" t="s">
        <v>2624</v>
      </c>
    </row>
    <row r="76" spans="2:2">
      <c r="B76" s="430" t="s">
        <v>2625</v>
      </c>
    </row>
    <row r="77" spans="2:2">
      <c r="B77" s="430" t="s">
        <v>2626</v>
      </c>
    </row>
    <row r="78" spans="2:2" ht="15.75">
      <c r="B78" s="401" t="s">
        <v>2627</v>
      </c>
    </row>
    <row r="79" spans="2:2">
      <c r="B79" s="401" t="s">
        <v>2628</v>
      </c>
    </row>
    <row r="80" spans="2:2">
      <c r="B80" s="401" t="s">
        <v>2629</v>
      </c>
    </row>
    <row r="81" spans="1:11">
      <c r="B81" s="401" t="s">
        <v>2630</v>
      </c>
    </row>
    <row r="82" spans="1:11">
      <c r="B82" s="401" t="s">
        <v>2631</v>
      </c>
    </row>
    <row r="83" spans="1:11">
      <c r="B83" s="401" t="s">
        <v>2632</v>
      </c>
    </row>
    <row r="84" spans="1:11">
      <c r="B84" s="401" t="s">
        <v>2633</v>
      </c>
    </row>
    <row r="85" spans="1:11">
      <c r="A85" s="417">
        <v>20</v>
      </c>
    </row>
    <row r="86" spans="1:11">
      <c r="A86" s="417">
        <v>21</v>
      </c>
      <c r="B86" s="430"/>
    </row>
    <row r="87" spans="1:11" ht="15.75">
      <c r="A87" s="417">
        <v>22</v>
      </c>
      <c r="B87" s="400" t="s">
        <v>2634</v>
      </c>
    </row>
    <row r="88" spans="1:11">
      <c r="A88" s="417">
        <v>23</v>
      </c>
    </row>
    <row r="89" spans="1:11">
      <c r="A89" s="417">
        <v>24</v>
      </c>
    </row>
    <row r="90" spans="1:11" ht="25.5" customHeight="1">
      <c r="A90" s="417">
        <v>25</v>
      </c>
      <c r="B90" s="415" t="str">
        <f>B11</f>
        <v>CPUC Rate Group</v>
      </c>
      <c r="C90" s="431" t="s">
        <v>2635</v>
      </c>
      <c r="D90" s="432"/>
      <c r="E90" s="659" t="s">
        <v>2635</v>
      </c>
      <c r="F90" s="432"/>
      <c r="G90" s="432"/>
      <c r="H90" s="432"/>
      <c r="I90" s="432"/>
      <c r="J90" s="432"/>
      <c r="K90" s="660"/>
    </row>
    <row r="91" spans="1:11">
      <c r="A91" s="417" t="s">
        <v>2636</v>
      </c>
      <c r="B91" s="990" t="s">
        <v>2778</v>
      </c>
      <c r="C91" s="991" t="s">
        <v>2793</v>
      </c>
      <c r="D91" s="433"/>
      <c r="E91" s="433"/>
      <c r="F91" s="433"/>
      <c r="G91" s="433"/>
      <c r="H91" s="433"/>
      <c r="I91" s="433"/>
      <c r="J91" s="433"/>
      <c r="K91" s="433"/>
    </row>
    <row r="92" spans="1:11">
      <c r="A92" s="417"/>
      <c r="B92" s="990" t="s">
        <v>2794</v>
      </c>
      <c r="C92" s="992" t="s">
        <v>2795</v>
      </c>
      <c r="D92" s="433"/>
      <c r="E92" s="433"/>
      <c r="F92" s="433"/>
      <c r="G92" s="433"/>
      <c r="H92" s="433"/>
      <c r="I92" s="433"/>
      <c r="J92" s="433"/>
      <c r="K92" s="433"/>
    </row>
    <row r="93" spans="1:11">
      <c r="A93" s="417" t="s">
        <v>2637</v>
      </c>
      <c r="B93" s="990" t="s">
        <v>2779</v>
      </c>
      <c r="C93" s="991" t="s">
        <v>2796</v>
      </c>
      <c r="D93" s="433"/>
      <c r="E93" s="433"/>
      <c r="F93" s="433"/>
      <c r="G93" s="433"/>
      <c r="H93" s="433"/>
      <c r="I93" s="433"/>
      <c r="J93" s="990"/>
      <c r="K93" s="433"/>
    </row>
    <row r="94" spans="1:11">
      <c r="A94" s="417" t="s">
        <v>2638</v>
      </c>
      <c r="B94" s="990" t="s">
        <v>2781</v>
      </c>
      <c r="C94" s="991" t="s">
        <v>2797</v>
      </c>
      <c r="D94" s="433"/>
      <c r="E94" s="433"/>
      <c r="F94" s="433"/>
      <c r="G94" s="433"/>
      <c r="H94" s="433"/>
      <c r="I94" s="433"/>
      <c r="J94" s="990"/>
      <c r="K94" s="433"/>
    </row>
    <row r="95" spans="1:11">
      <c r="A95" s="417" t="s">
        <v>2639</v>
      </c>
      <c r="B95" s="990" t="s">
        <v>2782</v>
      </c>
      <c r="C95" s="991" t="s">
        <v>2798</v>
      </c>
      <c r="D95" s="433"/>
      <c r="E95" s="433"/>
      <c r="F95" s="433"/>
      <c r="G95" s="433"/>
      <c r="H95" s="433"/>
      <c r="I95" s="433"/>
      <c r="J95" s="990"/>
      <c r="K95" s="433"/>
    </row>
    <row r="96" spans="1:11">
      <c r="A96" s="417" t="s">
        <v>2640</v>
      </c>
      <c r="B96" s="990" t="s">
        <v>2783</v>
      </c>
      <c r="C96" s="991" t="s">
        <v>2799</v>
      </c>
      <c r="D96" s="433"/>
      <c r="E96" s="433"/>
      <c r="F96" s="433"/>
      <c r="G96" s="433"/>
      <c r="H96" s="433"/>
      <c r="I96" s="433"/>
      <c r="J96" s="990"/>
      <c r="K96" s="433"/>
    </row>
    <row r="97" spans="1:13">
      <c r="A97" s="417" t="s">
        <v>2641</v>
      </c>
      <c r="B97" s="990" t="s">
        <v>2784</v>
      </c>
      <c r="C97" s="991" t="s">
        <v>2800</v>
      </c>
      <c r="D97" s="433"/>
      <c r="E97" s="433"/>
      <c r="F97" s="433"/>
      <c r="G97" s="433"/>
      <c r="H97" s="433"/>
      <c r="I97" s="433"/>
      <c r="J97" s="990"/>
      <c r="K97" s="433"/>
    </row>
    <row r="98" spans="1:13">
      <c r="A98" s="417" t="s">
        <v>2642</v>
      </c>
      <c r="B98" s="990" t="s">
        <v>2785</v>
      </c>
      <c r="C98" s="991" t="s">
        <v>2800</v>
      </c>
      <c r="D98" s="433"/>
      <c r="E98" s="433"/>
      <c r="F98" s="433"/>
      <c r="G98" s="433"/>
      <c r="H98" s="433"/>
      <c r="I98" s="433"/>
      <c r="J98" s="990"/>
      <c r="K98" s="433"/>
    </row>
    <row r="99" spans="1:13">
      <c r="A99" s="417" t="s">
        <v>2643</v>
      </c>
      <c r="B99" s="990" t="s">
        <v>2786</v>
      </c>
      <c r="C99" s="991" t="s">
        <v>2800</v>
      </c>
      <c r="D99" s="433"/>
      <c r="E99" s="433"/>
      <c r="F99" s="433"/>
      <c r="G99" s="433"/>
      <c r="H99" s="433"/>
      <c r="I99" s="433"/>
      <c r="J99" s="990"/>
      <c r="K99" s="433"/>
    </row>
    <row r="100" spans="1:13">
      <c r="A100" s="417" t="s">
        <v>2644</v>
      </c>
      <c r="B100" s="990" t="s">
        <v>2787</v>
      </c>
      <c r="C100" s="991" t="s">
        <v>2801</v>
      </c>
      <c r="D100" s="433"/>
      <c r="E100" s="433"/>
      <c r="F100" s="433"/>
      <c r="G100" s="433"/>
      <c r="H100" s="433"/>
      <c r="I100" s="433"/>
      <c r="J100" s="990"/>
      <c r="K100" s="433"/>
    </row>
    <row r="101" spans="1:13">
      <c r="A101" s="417" t="s">
        <v>2645</v>
      </c>
      <c r="B101" s="990" t="s">
        <v>2788</v>
      </c>
      <c r="C101" s="991" t="s">
        <v>2802</v>
      </c>
      <c r="D101" s="433"/>
      <c r="E101" s="433"/>
      <c r="F101" s="433"/>
      <c r="G101" s="433"/>
      <c r="H101" s="433"/>
      <c r="I101" s="433"/>
      <c r="J101" s="990"/>
      <c r="K101" s="433"/>
    </row>
    <row r="102" spans="1:13">
      <c r="A102" s="417" t="s">
        <v>2646</v>
      </c>
      <c r="B102" s="990" t="s">
        <v>2789</v>
      </c>
      <c r="C102" s="991" t="s">
        <v>2802</v>
      </c>
      <c r="D102" s="433"/>
      <c r="E102" s="433"/>
      <c r="F102" s="433"/>
      <c r="G102" s="433"/>
      <c r="H102" s="433"/>
      <c r="I102" s="433"/>
      <c r="J102" s="990"/>
      <c r="K102" s="433"/>
    </row>
    <row r="103" spans="1:13">
      <c r="A103" s="417" t="s">
        <v>2647</v>
      </c>
      <c r="B103" s="990" t="s">
        <v>2790</v>
      </c>
      <c r="C103" s="991" t="s">
        <v>2803</v>
      </c>
      <c r="D103" s="433"/>
      <c r="E103" s="433"/>
      <c r="F103" s="433"/>
      <c r="G103" s="433"/>
      <c r="H103" s="433"/>
      <c r="I103" s="433"/>
      <c r="J103" s="990"/>
      <c r="K103" s="433"/>
    </row>
    <row r="104" spans="1:13">
      <c r="A104" s="417" t="s">
        <v>2648</v>
      </c>
      <c r="B104" s="990" t="s">
        <v>2791</v>
      </c>
      <c r="C104" s="991" t="s">
        <v>2804</v>
      </c>
      <c r="D104" s="433"/>
      <c r="E104" s="433"/>
      <c r="F104" s="433"/>
      <c r="G104" s="433"/>
      <c r="H104" s="433"/>
      <c r="I104" s="433"/>
      <c r="J104" s="990"/>
      <c r="K104" s="433"/>
    </row>
    <row r="105" spans="1:13">
      <c r="A105" s="417" t="s">
        <v>2649</v>
      </c>
      <c r="B105" s="990" t="s">
        <v>2792</v>
      </c>
      <c r="C105" s="991" t="s">
        <v>2805</v>
      </c>
      <c r="D105" s="433"/>
      <c r="E105" s="433"/>
      <c r="F105" s="433"/>
      <c r="G105" s="433"/>
      <c r="H105" s="433"/>
      <c r="I105" s="433"/>
      <c r="J105" s="990"/>
      <c r="K105" s="433"/>
    </row>
    <row r="106" spans="1:13">
      <c r="A106" s="417" t="s">
        <v>2650</v>
      </c>
      <c r="B106" s="993" t="s">
        <v>373</v>
      </c>
      <c r="C106" s="991"/>
      <c r="D106" s="433"/>
      <c r="E106" s="433"/>
      <c r="F106" s="433"/>
      <c r="G106" s="433"/>
      <c r="H106" s="433"/>
      <c r="I106" s="433"/>
      <c r="J106" s="990"/>
      <c r="K106" s="433"/>
    </row>
    <row r="107" spans="1:13">
      <c r="A107" s="417">
        <v>27</v>
      </c>
    </row>
    <row r="108" spans="1:13">
      <c r="A108" s="417">
        <f t="shared" ref="A108:A114" si="18">A107+1</f>
        <v>28</v>
      </c>
    </row>
    <row r="109" spans="1:13" ht="15.75">
      <c r="A109" s="417">
        <f t="shared" si="18"/>
        <v>29</v>
      </c>
      <c r="B109" s="400" t="s">
        <v>2651</v>
      </c>
    </row>
    <row r="110" spans="1:13">
      <c r="A110" s="417">
        <f t="shared" si="18"/>
        <v>30</v>
      </c>
      <c r="C110" s="409" t="s">
        <v>329</v>
      </c>
      <c r="D110" s="409" t="s">
        <v>330</v>
      </c>
      <c r="E110" s="409" t="s">
        <v>331</v>
      </c>
      <c r="F110" s="409" t="s">
        <v>332</v>
      </c>
      <c r="G110" s="409" t="s">
        <v>333</v>
      </c>
      <c r="H110" s="409" t="s">
        <v>334</v>
      </c>
      <c r="I110" s="409" t="s">
        <v>335</v>
      </c>
      <c r="J110" s="409" t="s">
        <v>336</v>
      </c>
      <c r="K110" s="409" t="s">
        <v>337</v>
      </c>
      <c r="L110" s="409" t="s">
        <v>582</v>
      </c>
      <c r="M110" s="409" t="s">
        <v>583</v>
      </c>
    </row>
    <row r="111" spans="1:13" s="637" customFormat="1" ht="38.25">
      <c r="A111" s="434">
        <f t="shared" si="18"/>
        <v>31</v>
      </c>
      <c r="C111" s="411"/>
      <c r="D111" s="411"/>
      <c r="E111" s="411"/>
      <c r="F111" s="651" t="s">
        <v>2652</v>
      </c>
      <c r="G111" s="411"/>
      <c r="H111" s="651"/>
      <c r="I111" s="410" t="s">
        <v>2653</v>
      </c>
      <c r="J111" s="410" t="s">
        <v>2654</v>
      </c>
      <c r="K111" s="410" t="s">
        <v>2655</v>
      </c>
      <c r="L111" s="410" t="s">
        <v>2656</v>
      </c>
      <c r="M111" s="410" t="s">
        <v>2657</v>
      </c>
    </row>
    <row r="112" spans="1:13" s="551" customFormat="1">
      <c r="A112" s="417">
        <f t="shared" si="18"/>
        <v>32</v>
      </c>
      <c r="C112" s="435"/>
      <c r="D112" s="435"/>
      <c r="E112" s="435"/>
      <c r="F112" s="652"/>
      <c r="G112" s="435"/>
      <c r="H112" s="652"/>
      <c r="I112" s="538" t="s">
        <v>2658</v>
      </c>
      <c r="K112" s="652"/>
      <c r="L112" s="652"/>
      <c r="M112" s="652"/>
    </row>
    <row r="113" spans="1:13" ht="21.75" customHeight="1">
      <c r="A113" s="417">
        <f t="shared" si="18"/>
        <v>33</v>
      </c>
      <c r="B113" s="645"/>
      <c r="C113" s="1147" t="s">
        <v>2659</v>
      </c>
      <c r="D113" s="1148"/>
      <c r="E113" s="1148"/>
      <c r="F113" s="1149"/>
      <c r="G113" s="645"/>
      <c r="H113" s="436"/>
      <c r="I113" s="645"/>
      <c r="J113" s="645"/>
      <c r="K113" s="645"/>
      <c r="L113" s="646" t="s">
        <v>2457</v>
      </c>
      <c r="M113" s="437"/>
    </row>
    <row r="114" spans="1:13" s="402" customFormat="1" ht="51.75" customHeight="1">
      <c r="A114" s="417">
        <f t="shared" si="18"/>
        <v>34</v>
      </c>
      <c r="B114" s="438" t="str">
        <f>B11</f>
        <v>CPUC Rate Group</v>
      </c>
      <c r="C114" s="439">
        <v>2020</v>
      </c>
      <c r="D114" s="439">
        <v>2021</v>
      </c>
      <c r="E114" s="439">
        <v>2022</v>
      </c>
      <c r="F114" s="438" t="s">
        <v>2660</v>
      </c>
      <c r="G114" s="438" t="s">
        <v>2661</v>
      </c>
      <c r="H114" s="440" t="s">
        <v>2662</v>
      </c>
      <c r="I114" s="438" t="s">
        <v>2663</v>
      </c>
      <c r="J114" s="438" t="s">
        <v>2536</v>
      </c>
      <c r="K114" s="438" t="s">
        <v>2664</v>
      </c>
      <c r="L114" s="438" t="s">
        <v>2665</v>
      </c>
      <c r="M114" s="438" t="s">
        <v>2666</v>
      </c>
    </row>
    <row r="115" spans="1:13">
      <c r="A115" s="417" t="s">
        <v>2667</v>
      </c>
      <c r="B115" s="989" t="s">
        <v>2778</v>
      </c>
      <c r="C115" s="518">
        <v>86529</v>
      </c>
      <c r="D115" s="518">
        <v>73292</v>
      </c>
      <c r="E115" s="518">
        <v>78496</v>
      </c>
      <c r="F115" s="420">
        <f>(C115+D115+E115)/3</f>
        <v>79439</v>
      </c>
      <c r="G115" s="1038">
        <v>1.0685</v>
      </c>
      <c r="H115" s="513">
        <v>31527.702213333334</v>
      </c>
      <c r="I115" s="420">
        <f>E12</f>
        <v>28909.35341</v>
      </c>
      <c r="J115" s="420">
        <f>F12</f>
        <v>0</v>
      </c>
      <c r="K115" s="420">
        <f>I115+J115</f>
        <v>28909.35341</v>
      </c>
      <c r="L115" s="420">
        <f>(F115*G115)*(K115/H115)</f>
        <v>77831.312365622478</v>
      </c>
      <c r="M115" s="552">
        <f t="shared" ref="M115:M128" si="19">L115/$L$130</f>
        <v>0.45043423289984313</v>
      </c>
    </row>
    <row r="116" spans="1:13">
      <c r="A116" s="417" t="s">
        <v>2668</v>
      </c>
      <c r="B116" s="989" t="s">
        <v>2779</v>
      </c>
      <c r="C116" s="518">
        <v>10575</v>
      </c>
      <c r="D116" s="518">
        <v>11381</v>
      </c>
      <c r="E116" s="518">
        <v>11016</v>
      </c>
      <c r="F116" s="420">
        <f t="shared" ref="F116:F128" si="20">(C116+D116+E116)/3</f>
        <v>10990.666666666666</v>
      </c>
      <c r="G116" s="1038">
        <v>1.0664</v>
      </c>
      <c r="H116" s="513">
        <v>5776.9259433333327</v>
      </c>
      <c r="I116" s="420">
        <f t="shared" ref="I116" si="21">E13</f>
        <v>5998.7073200000004</v>
      </c>
      <c r="J116" s="420">
        <f>F13</f>
        <v>0</v>
      </c>
      <c r="K116" s="420">
        <f t="shared" ref="K116:K128" si="22">I116+J116</f>
        <v>5998.7073200000004</v>
      </c>
      <c r="L116" s="420">
        <f t="shared" ref="L116:L128" si="23">(F116*G116)*(K116/H116)</f>
        <v>12170.405420168881</v>
      </c>
      <c r="M116" s="552">
        <f t="shared" si="19"/>
        <v>7.0433955986269711E-2</v>
      </c>
    </row>
    <row r="117" spans="1:13">
      <c r="A117" s="417" t="s">
        <v>2669</v>
      </c>
      <c r="B117" s="989" t="s">
        <v>2781</v>
      </c>
      <c r="C117" s="518">
        <v>75</v>
      </c>
      <c r="D117" s="518">
        <v>73</v>
      </c>
      <c r="E117" s="518">
        <v>77</v>
      </c>
      <c r="F117" s="420">
        <f t="shared" si="20"/>
        <v>75</v>
      </c>
      <c r="G117" s="1038">
        <v>1.0642</v>
      </c>
      <c r="H117" s="513">
        <v>56.605819999999994</v>
      </c>
      <c r="I117" s="420">
        <f t="shared" ref="I117:J119" si="24">E15</f>
        <v>53.422110000000004</v>
      </c>
      <c r="J117" s="420">
        <f t="shared" si="24"/>
        <v>0</v>
      </c>
      <c r="K117" s="420">
        <f t="shared" si="22"/>
        <v>53.422110000000004</v>
      </c>
      <c r="L117" s="420">
        <f t="shared" si="23"/>
        <v>75.325924253901817</v>
      </c>
      <c r="M117" s="552">
        <f t="shared" si="19"/>
        <v>4.3593476555284596E-4</v>
      </c>
    </row>
    <row r="118" spans="1:13">
      <c r="A118" s="417" t="s">
        <v>2670</v>
      </c>
      <c r="B118" s="989" t="s">
        <v>2782</v>
      </c>
      <c r="C118" s="518">
        <v>24814</v>
      </c>
      <c r="D118" s="518">
        <v>25954</v>
      </c>
      <c r="E118" s="518">
        <v>25474</v>
      </c>
      <c r="F118" s="420">
        <f t="shared" si="20"/>
        <v>25414</v>
      </c>
      <c r="G118" s="1038">
        <v>1.0665</v>
      </c>
      <c r="H118" s="513">
        <v>13485.092443333333</v>
      </c>
      <c r="I118" s="420">
        <f t="shared" si="24"/>
        <v>13351.955120000001</v>
      </c>
      <c r="J118" s="420">
        <f t="shared" si="24"/>
        <v>0</v>
      </c>
      <c r="K118" s="420">
        <f t="shared" si="22"/>
        <v>13351.955120000001</v>
      </c>
      <c r="L118" s="420">
        <f t="shared" si="23"/>
        <v>26836.434900525899</v>
      </c>
      <c r="M118" s="552">
        <f t="shared" si="19"/>
        <v>0.15531087168875962</v>
      </c>
    </row>
    <row r="119" spans="1:13">
      <c r="A119" s="417" t="s">
        <v>2671</v>
      </c>
      <c r="B119" s="989" t="s">
        <v>2783</v>
      </c>
      <c r="C119" s="518">
        <v>12741</v>
      </c>
      <c r="D119" s="518">
        <v>13223</v>
      </c>
      <c r="E119" s="518">
        <v>13086</v>
      </c>
      <c r="F119" s="420">
        <f t="shared" si="20"/>
        <v>13016.666666666666</v>
      </c>
      <c r="G119" s="1038">
        <v>1.0650999999999999</v>
      </c>
      <c r="H119" s="513">
        <v>7426.3260266666666</v>
      </c>
      <c r="I119" s="420">
        <f t="shared" si="24"/>
        <v>7738.28208</v>
      </c>
      <c r="J119" s="420">
        <f t="shared" si="24"/>
        <v>0</v>
      </c>
      <c r="K119" s="420">
        <f t="shared" si="22"/>
        <v>7738.28208</v>
      </c>
      <c r="L119" s="420">
        <f t="shared" si="23"/>
        <v>14446.435853088391</v>
      </c>
      <c r="M119" s="552">
        <f t="shared" si="19"/>
        <v>8.3606058459536267E-2</v>
      </c>
    </row>
    <row r="120" spans="1:13">
      <c r="A120" s="417" t="s">
        <v>2672</v>
      </c>
      <c r="B120" s="989" t="s">
        <v>2784</v>
      </c>
      <c r="C120" s="518">
        <v>11784</v>
      </c>
      <c r="D120" s="518">
        <v>12184</v>
      </c>
      <c r="E120" s="518">
        <v>12138</v>
      </c>
      <c r="F120" s="420">
        <f t="shared" si="20"/>
        <v>12035.333333333334</v>
      </c>
      <c r="G120" s="1038">
        <v>1.0656000000000001</v>
      </c>
      <c r="H120" s="514">
        <v>7407.8432533333325</v>
      </c>
      <c r="I120" s="420">
        <f>E18+E21</f>
        <v>7357.8376100000005</v>
      </c>
      <c r="J120" s="420">
        <f t="shared" ref="J120:J128" si="25">F18</f>
        <v>0</v>
      </c>
      <c r="K120" s="420">
        <f>I120+J120</f>
        <v>7357.8376100000005</v>
      </c>
      <c r="L120" s="420">
        <f t="shared" si="23"/>
        <v>12738.278777639191</v>
      </c>
      <c r="M120" s="552">
        <f t="shared" si="19"/>
        <v>7.3720417339443262E-2</v>
      </c>
    </row>
    <row r="121" spans="1:13">
      <c r="A121" s="417" t="s">
        <v>2673</v>
      </c>
      <c r="B121" s="989" t="s">
        <v>2785</v>
      </c>
      <c r="C121" s="518">
        <v>8405</v>
      </c>
      <c r="D121" s="518">
        <v>9019</v>
      </c>
      <c r="E121" s="518">
        <v>8873</v>
      </c>
      <c r="F121" s="420">
        <f t="shared" si="20"/>
        <v>8765.6666666666661</v>
      </c>
      <c r="G121" s="1038">
        <v>1.0416000000000001</v>
      </c>
      <c r="H121" s="514">
        <v>5820.1676466666659</v>
      </c>
      <c r="I121" s="420">
        <f>E19+E22</f>
        <v>6279.9994899999992</v>
      </c>
      <c r="J121" s="420">
        <f t="shared" si="25"/>
        <v>0</v>
      </c>
      <c r="K121" s="420">
        <f t="shared" si="22"/>
        <v>6279.9994899999992</v>
      </c>
      <c r="L121" s="420">
        <f t="shared" si="23"/>
        <v>9851.6741057066502</v>
      </c>
      <c r="M121" s="552">
        <f t="shared" si="19"/>
        <v>5.7014730109359535E-2</v>
      </c>
    </row>
    <row r="122" spans="1:13">
      <c r="A122" s="417" t="s">
        <v>2674</v>
      </c>
      <c r="B122" s="989" t="s">
        <v>2786</v>
      </c>
      <c r="C122" s="518">
        <v>10583</v>
      </c>
      <c r="D122" s="518">
        <v>10755</v>
      </c>
      <c r="E122" s="518">
        <v>10373</v>
      </c>
      <c r="F122" s="420">
        <f t="shared" si="20"/>
        <v>10570.333333333334</v>
      </c>
      <c r="G122" s="1038">
        <v>1.0118</v>
      </c>
      <c r="H122" s="514">
        <v>7553.0873499999989</v>
      </c>
      <c r="I122" s="420">
        <f>E20+E23</f>
        <v>8075.6828700000005</v>
      </c>
      <c r="J122" s="420">
        <f t="shared" si="25"/>
        <v>0</v>
      </c>
      <c r="K122" s="420">
        <f t="shared" si="22"/>
        <v>8075.6828700000005</v>
      </c>
      <c r="L122" s="420">
        <f t="shared" si="23"/>
        <v>11435.051021379524</v>
      </c>
      <c r="M122" s="552">
        <f t="shared" si="19"/>
        <v>6.6178229281158796E-2</v>
      </c>
    </row>
    <row r="123" spans="1:13">
      <c r="A123" s="417" t="s">
        <v>2675</v>
      </c>
      <c r="B123" s="989" t="s">
        <v>2787</v>
      </c>
      <c r="C123" s="518">
        <v>112</v>
      </c>
      <c r="D123" s="518">
        <v>114</v>
      </c>
      <c r="E123" s="518">
        <v>103</v>
      </c>
      <c r="F123" s="420">
        <f t="shared" si="20"/>
        <v>109.66666666666667</v>
      </c>
      <c r="G123" s="1038">
        <v>1.0656000000000001</v>
      </c>
      <c r="H123" s="514">
        <v>68.457333333333338</v>
      </c>
      <c r="I123" s="420">
        <f>E21*0</f>
        <v>0</v>
      </c>
      <c r="J123" s="420">
        <f t="shared" si="25"/>
        <v>65</v>
      </c>
      <c r="K123" s="420">
        <f t="shared" si="22"/>
        <v>65</v>
      </c>
      <c r="L123" s="420">
        <f t="shared" si="23"/>
        <v>110.95892331963461</v>
      </c>
      <c r="M123" s="552">
        <f t="shared" si="19"/>
        <v>6.4215411496707333E-4</v>
      </c>
    </row>
    <row r="124" spans="1:13">
      <c r="A124" s="417" t="s">
        <v>2676</v>
      </c>
      <c r="B124" s="989" t="s">
        <v>2788</v>
      </c>
      <c r="C124" s="518">
        <v>257</v>
      </c>
      <c r="D124" s="518">
        <v>251</v>
      </c>
      <c r="E124" s="518">
        <v>297</v>
      </c>
      <c r="F124" s="420">
        <f t="shared" si="20"/>
        <v>268.33333333333331</v>
      </c>
      <c r="G124" s="1038">
        <v>1.0418000000000001</v>
      </c>
      <c r="H124" s="514">
        <v>178.60584333333335</v>
      </c>
      <c r="I124" s="420">
        <f>E22*0</f>
        <v>0</v>
      </c>
      <c r="J124" s="420">
        <f t="shared" si="25"/>
        <v>172</v>
      </c>
      <c r="K124" s="420">
        <f t="shared" si="22"/>
        <v>172</v>
      </c>
      <c r="L124" s="420">
        <f t="shared" si="23"/>
        <v>269.21035599563152</v>
      </c>
      <c r="M124" s="552">
        <f t="shared" si="19"/>
        <v>1.5580048248697695E-3</v>
      </c>
    </row>
    <row r="125" spans="1:13">
      <c r="A125" s="417" t="s">
        <v>2677</v>
      </c>
      <c r="B125" s="989" t="s">
        <v>2789</v>
      </c>
      <c r="C125" s="518">
        <v>600</v>
      </c>
      <c r="D125" s="518">
        <v>904</v>
      </c>
      <c r="E125" s="518">
        <v>931</v>
      </c>
      <c r="F125" s="420">
        <f t="shared" si="20"/>
        <v>811.66666666666663</v>
      </c>
      <c r="G125" s="1038">
        <v>1.0118</v>
      </c>
      <c r="H125" s="514">
        <v>631.55855000000008</v>
      </c>
      <c r="I125" s="420">
        <f>E23*0</f>
        <v>0</v>
      </c>
      <c r="J125" s="420">
        <f t="shared" si="25"/>
        <v>630</v>
      </c>
      <c r="K125" s="420">
        <f t="shared" si="22"/>
        <v>630</v>
      </c>
      <c r="L125" s="420">
        <f t="shared" si="23"/>
        <v>819.21767981765095</v>
      </c>
      <c r="M125" s="552">
        <f t="shared" si="19"/>
        <v>4.7410698338634103E-3</v>
      </c>
    </row>
    <row r="126" spans="1:13">
      <c r="A126" s="417" t="s">
        <v>2678</v>
      </c>
      <c r="B126" s="989" t="s">
        <v>2790</v>
      </c>
      <c r="C126" s="518">
        <v>2729</v>
      </c>
      <c r="D126" s="518">
        <v>2947</v>
      </c>
      <c r="E126" s="518">
        <v>2715</v>
      </c>
      <c r="F126" s="420">
        <f t="shared" si="20"/>
        <v>2797</v>
      </c>
      <c r="G126" s="1038">
        <v>1.0662</v>
      </c>
      <c r="H126" s="513">
        <v>2002.1038966666667</v>
      </c>
      <c r="I126" s="420">
        <f>E24</f>
        <v>2026.1004</v>
      </c>
      <c r="J126" s="420">
        <f t="shared" si="25"/>
        <v>0</v>
      </c>
      <c r="K126" s="420">
        <f t="shared" si="22"/>
        <v>2026.1004</v>
      </c>
      <c r="L126" s="420">
        <f t="shared" si="23"/>
        <v>3017.9045230690781</v>
      </c>
      <c r="M126" s="552">
        <f t="shared" si="19"/>
        <v>1.7465560678558079E-2</v>
      </c>
    </row>
    <row r="127" spans="1:13">
      <c r="A127" s="417" t="s">
        <v>2679</v>
      </c>
      <c r="B127" s="989" t="s">
        <v>2791</v>
      </c>
      <c r="C127" s="518">
        <v>2073</v>
      </c>
      <c r="D127" s="518">
        <v>2257</v>
      </c>
      <c r="E127" s="518">
        <v>2354</v>
      </c>
      <c r="F127" s="420">
        <f t="shared" si="20"/>
        <v>2228</v>
      </c>
      <c r="G127" s="1038">
        <v>1.0630999999999999</v>
      </c>
      <c r="H127" s="513">
        <v>1625.45218</v>
      </c>
      <c r="I127" s="420">
        <f>E25</f>
        <v>1820.1571300000001</v>
      </c>
      <c r="J127" s="420">
        <f t="shared" si="25"/>
        <v>0</v>
      </c>
      <c r="K127" s="420">
        <f t="shared" si="22"/>
        <v>1820.1571300000001</v>
      </c>
      <c r="L127" s="420">
        <f t="shared" si="23"/>
        <v>2652.3082038893845</v>
      </c>
      <c r="M127" s="552">
        <f t="shared" si="19"/>
        <v>1.534974003291459E-2</v>
      </c>
    </row>
    <row r="128" spans="1:13">
      <c r="A128" s="417" t="s">
        <v>2680</v>
      </c>
      <c r="B128" s="989" t="s">
        <v>2792</v>
      </c>
      <c r="C128" s="518">
        <v>655</v>
      </c>
      <c r="D128" s="518">
        <v>537</v>
      </c>
      <c r="E128" s="518">
        <v>809</v>
      </c>
      <c r="F128" s="420">
        <f t="shared" si="20"/>
        <v>667</v>
      </c>
      <c r="G128" s="1038">
        <v>1.0629</v>
      </c>
      <c r="H128" s="513">
        <v>557.34284999999988</v>
      </c>
      <c r="I128" s="420">
        <f>E26</f>
        <v>422.33148999999997</v>
      </c>
      <c r="J128" s="420">
        <f t="shared" si="25"/>
        <v>0</v>
      </c>
      <c r="K128" s="420">
        <f t="shared" si="22"/>
        <v>422.33148999999997</v>
      </c>
      <c r="L128" s="420">
        <f t="shared" si="23"/>
        <v>537.21641151565336</v>
      </c>
      <c r="M128" s="552">
        <f t="shared" si="19"/>
        <v>3.1090399849038248E-3</v>
      </c>
    </row>
    <row r="129" spans="1:13">
      <c r="A129" s="417" t="s">
        <v>2681</v>
      </c>
      <c r="B129" s="988" t="s">
        <v>373</v>
      </c>
      <c r="C129" s="518"/>
      <c r="D129" s="518"/>
      <c r="E129" s="518"/>
      <c r="F129" s="420"/>
      <c r="G129" s="647"/>
      <c r="H129" s="513"/>
      <c r="K129" s="420"/>
      <c r="L129" s="420"/>
      <c r="M129" s="552"/>
    </row>
    <row r="130" spans="1:13">
      <c r="A130" s="417">
        <v>36</v>
      </c>
      <c r="B130" s="240" t="s">
        <v>424</v>
      </c>
      <c r="C130" s="653">
        <f>SUM(C115:C129)</f>
        <v>171932</v>
      </c>
      <c r="D130" s="653">
        <f>SUM(D115:D129)</f>
        <v>162891</v>
      </c>
      <c r="E130" s="653">
        <f>SUM(E115:E129)</f>
        <v>166742</v>
      </c>
      <c r="F130" s="653">
        <f>SUM(F115:F129)</f>
        <v>167188.33333333334</v>
      </c>
      <c r="G130" s="654"/>
      <c r="H130" s="653">
        <f>SUM(H115:H129)</f>
        <v>84117.27135000001</v>
      </c>
      <c r="I130" s="653">
        <f t="shared" ref="I130:M130" si="26">SUM(I115:I129)</f>
        <v>82033.829029999994</v>
      </c>
      <c r="J130" s="653">
        <f t="shared" si="26"/>
        <v>867</v>
      </c>
      <c r="K130" s="653">
        <f t="shared" si="26"/>
        <v>82900.829029999994</v>
      </c>
      <c r="L130" s="653">
        <f t="shared" si="26"/>
        <v>172791.73446599196</v>
      </c>
      <c r="M130" s="655">
        <f t="shared" si="26"/>
        <v>0.99999999999999989</v>
      </c>
    </row>
    <row r="131" spans="1:13">
      <c r="J131" s="425"/>
      <c r="L131" s="425"/>
      <c r="M131" s="426"/>
    </row>
    <row r="132" spans="1:13">
      <c r="J132" s="425"/>
      <c r="L132" s="425"/>
      <c r="M132" s="426"/>
    </row>
    <row r="133" spans="1:13">
      <c r="J133" s="425"/>
      <c r="L133" s="425"/>
      <c r="M133" s="426"/>
    </row>
    <row r="134" spans="1:13">
      <c r="J134" s="425"/>
      <c r="L134" s="425"/>
      <c r="M134" s="426"/>
    </row>
    <row r="135" spans="1:13">
      <c r="J135" s="425"/>
      <c r="L135" s="425"/>
      <c r="M135" s="426"/>
    </row>
    <row r="136" spans="1:13">
      <c r="J136" s="425"/>
      <c r="L136" s="425"/>
      <c r="M136" s="426"/>
    </row>
    <row r="137" spans="1:13">
      <c r="J137" s="425"/>
      <c r="L137" s="425"/>
      <c r="M137" s="426"/>
    </row>
    <row r="138" spans="1:13">
      <c r="J138" s="425"/>
      <c r="L138" s="425"/>
      <c r="M138" s="426"/>
    </row>
    <row r="139" spans="1:13">
      <c r="J139" s="425"/>
      <c r="L139" s="425"/>
      <c r="M139" s="426"/>
    </row>
    <row r="140" spans="1:13">
      <c r="L140" s="425"/>
    </row>
    <row r="144" spans="1:13">
      <c r="M144" s="401"/>
    </row>
    <row r="145" spans="13:13">
      <c r="M145" s="401"/>
    </row>
    <row r="146" spans="13:13">
      <c r="M146" s="401"/>
    </row>
    <row r="147" spans="13:13">
      <c r="M147" s="401"/>
    </row>
    <row r="148" spans="13:13">
      <c r="M148" s="401"/>
    </row>
    <row r="149" spans="13:13">
      <c r="M149" s="401"/>
    </row>
    <row r="150" spans="13:13">
      <c r="M150" s="401"/>
    </row>
    <row r="151" spans="13:13">
      <c r="M151" s="401"/>
    </row>
    <row r="152" spans="13:13">
      <c r="M152" s="401"/>
    </row>
    <row r="153" spans="13:13">
      <c r="M153" s="401"/>
    </row>
    <row r="154" spans="13:13">
      <c r="M154" s="401"/>
    </row>
    <row r="155" spans="13:13">
      <c r="M155" s="401"/>
    </row>
    <row r="156" spans="13:13">
      <c r="M156" s="401"/>
    </row>
    <row r="157" spans="13:13">
      <c r="M157" s="401"/>
    </row>
    <row r="158" spans="13:13">
      <c r="M158" s="401"/>
    </row>
    <row r="159" spans="13:13">
      <c r="M159" s="401"/>
    </row>
    <row r="160" spans="13:13">
      <c r="M160" s="401"/>
    </row>
    <row r="161" spans="13:13">
      <c r="M161" s="401"/>
    </row>
    <row r="162" spans="13:13">
      <c r="M162" s="401"/>
    </row>
    <row r="163" spans="13:13">
      <c r="M163" s="401"/>
    </row>
    <row r="164" spans="13:13">
      <c r="M164" s="401"/>
    </row>
    <row r="165" spans="13:13">
      <c r="M165" s="401"/>
    </row>
    <row r="166" spans="13:13">
      <c r="M166" s="401"/>
    </row>
    <row r="167" spans="13:13">
      <c r="M167" s="401"/>
    </row>
    <row r="168" spans="13:13">
      <c r="M168" s="401"/>
    </row>
    <row r="169" spans="13:13">
      <c r="M169" s="401"/>
    </row>
    <row r="170" spans="13:13">
      <c r="M170" s="401"/>
    </row>
    <row r="171" spans="13:13">
      <c r="M171" s="401"/>
    </row>
    <row r="172" spans="13:13">
      <c r="M172" s="401"/>
    </row>
    <row r="173" spans="13:13">
      <c r="M173" s="401"/>
    </row>
    <row r="174" spans="13:13">
      <c r="M174" s="401"/>
    </row>
    <row r="175" spans="13:13">
      <c r="M175" s="401"/>
    </row>
    <row r="176" spans="13:13">
      <c r="M176" s="401"/>
    </row>
    <row r="177" spans="13:13">
      <c r="M177" s="401"/>
    </row>
    <row r="178" spans="13:13">
      <c r="M178" s="401"/>
    </row>
    <row r="179" spans="13:13">
      <c r="M179" s="401"/>
    </row>
    <row r="180" spans="13:13">
      <c r="M180" s="401"/>
    </row>
    <row r="181" spans="13:13">
      <c r="M181" s="401"/>
    </row>
    <row r="182" spans="13:13">
      <c r="M182" s="401"/>
    </row>
    <row r="183" spans="13:13">
      <c r="M183" s="401"/>
    </row>
    <row r="184" spans="13:13">
      <c r="M184" s="401"/>
    </row>
    <row r="185" spans="13:13">
      <c r="M185" s="401"/>
    </row>
    <row r="186" spans="13:13">
      <c r="M186" s="401"/>
    </row>
    <row r="187" spans="13:13">
      <c r="M187" s="401"/>
    </row>
    <row r="188" spans="13:13">
      <c r="M188" s="401"/>
    </row>
    <row r="189" spans="13:13">
      <c r="M189" s="401"/>
    </row>
    <row r="190" spans="13:13">
      <c r="M190" s="401"/>
    </row>
    <row r="191" spans="13:13">
      <c r="M191" s="401"/>
    </row>
    <row r="192" spans="13:13">
      <c r="M192" s="401"/>
    </row>
    <row r="193" spans="13:13">
      <c r="M193" s="401"/>
    </row>
    <row r="194" spans="13:13">
      <c r="M194" s="401"/>
    </row>
    <row r="195" spans="13:13">
      <c r="M195" s="401"/>
    </row>
    <row r="196" spans="13:13">
      <c r="M196" s="401"/>
    </row>
    <row r="197" spans="13:13">
      <c r="M197" s="401"/>
    </row>
    <row r="198" spans="13:13">
      <c r="M198" s="401"/>
    </row>
    <row r="199" spans="13:13">
      <c r="M199" s="401"/>
    </row>
    <row r="200" spans="13:13">
      <c r="M200" s="401"/>
    </row>
    <row r="201" spans="13:13">
      <c r="M201" s="401"/>
    </row>
    <row r="202" spans="13:13">
      <c r="M202" s="401"/>
    </row>
    <row r="203" spans="13:13">
      <c r="M203" s="401"/>
    </row>
    <row r="204" spans="13:13">
      <c r="M204" s="401"/>
    </row>
    <row r="205" spans="13:13">
      <c r="M205" s="401"/>
    </row>
    <row r="206" spans="13:13">
      <c r="M206" s="401"/>
    </row>
    <row r="207" spans="13:13">
      <c r="M207" s="401"/>
    </row>
    <row r="208" spans="13:13">
      <c r="M208" s="401"/>
    </row>
    <row r="209" spans="13:13">
      <c r="M209" s="401"/>
    </row>
    <row r="210" spans="13:13">
      <c r="M210" s="401"/>
    </row>
    <row r="211" spans="13:13">
      <c r="M211" s="401"/>
    </row>
    <row r="212" spans="13:13">
      <c r="M212" s="401"/>
    </row>
    <row r="213" spans="13:13">
      <c r="M213" s="401"/>
    </row>
    <row r="214" spans="13:13">
      <c r="M214" s="401"/>
    </row>
    <row r="215" spans="13:13">
      <c r="M215" s="401"/>
    </row>
    <row r="216" spans="13:13">
      <c r="M216" s="401"/>
    </row>
    <row r="217" spans="13:13">
      <c r="M217" s="401"/>
    </row>
    <row r="218" spans="13:13">
      <c r="M218" s="401"/>
    </row>
    <row r="219" spans="13:13">
      <c r="M219" s="401"/>
    </row>
    <row r="220" spans="13:13">
      <c r="M220" s="401"/>
    </row>
    <row r="221" spans="13:13">
      <c r="M221" s="401"/>
    </row>
    <row r="222" spans="13:13">
      <c r="M222" s="401"/>
    </row>
    <row r="223" spans="13:13">
      <c r="M223" s="401"/>
    </row>
    <row r="224" spans="13:13">
      <c r="M224" s="401"/>
    </row>
    <row r="225" spans="13:13">
      <c r="M225" s="401"/>
    </row>
    <row r="226" spans="13:13">
      <c r="M226" s="401"/>
    </row>
    <row r="227" spans="13:13">
      <c r="M227" s="401"/>
    </row>
    <row r="228" spans="13:13">
      <c r="M228" s="401"/>
    </row>
    <row r="229" spans="13:13">
      <c r="M229" s="401"/>
    </row>
    <row r="230" spans="13:13">
      <c r="M230" s="401"/>
    </row>
    <row r="231" spans="13:13">
      <c r="M231" s="401"/>
    </row>
    <row r="232" spans="13:13">
      <c r="M232" s="401"/>
    </row>
    <row r="233" spans="13:13">
      <c r="M233" s="401"/>
    </row>
    <row r="234" spans="13:13">
      <c r="M234" s="401"/>
    </row>
    <row r="235" spans="13:13">
      <c r="M235" s="401"/>
    </row>
    <row r="236" spans="13:13">
      <c r="M236" s="401"/>
    </row>
    <row r="237" spans="13:13">
      <c r="M237" s="401"/>
    </row>
    <row r="238" spans="13:13">
      <c r="M238" s="401"/>
    </row>
    <row r="239" spans="13:13">
      <c r="M239" s="401"/>
    </row>
    <row r="240" spans="13:13">
      <c r="M240" s="401"/>
    </row>
    <row r="241" spans="13:13">
      <c r="M241" s="401"/>
    </row>
    <row r="242" spans="13:13">
      <c r="M242" s="401"/>
    </row>
    <row r="243" spans="13:13">
      <c r="M243" s="401"/>
    </row>
    <row r="244" spans="13:13">
      <c r="M244" s="401"/>
    </row>
    <row r="245" spans="13:13">
      <c r="M245" s="401"/>
    </row>
    <row r="246" spans="13:13">
      <c r="M246" s="401"/>
    </row>
    <row r="247" spans="13:13">
      <c r="M247" s="401"/>
    </row>
    <row r="248" spans="13:13">
      <c r="M248" s="401"/>
    </row>
    <row r="249" spans="13:13">
      <c r="M249" s="401"/>
    </row>
    <row r="250" spans="13:13">
      <c r="M250" s="401"/>
    </row>
    <row r="251" spans="13:13">
      <c r="M251" s="401"/>
    </row>
    <row r="252" spans="13:13">
      <c r="M252" s="401"/>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&amp;RTO2025 Annual Update 
Attachment 1</oddHeader>
    <oddFooter>&amp;R&amp;A</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98"/>
  <sheetViews>
    <sheetView tabSelected="1" zoomScaleNormal="100" workbookViewId="0"/>
  </sheetViews>
  <sheetFormatPr defaultRowHeight="12.75"/>
  <cols>
    <col min="1" max="1" width="4.5703125" customWidth="1"/>
    <col min="2" max="2" width="7.85546875" customWidth="1"/>
    <col min="4" max="4" width="10.42578125" customWidth="1"/>
    <col min="6" max="6" width="11.85546875" customWidth="1"/>
    <col min="7" max="7" width="13.5703125" customWidth="1"/>
    <col min="8" max="8" width="22.85546875" customWidth="1"/>
    <col min="9" max="9" width="29.42578125" customWidth="1"/>
    <col min="10" max="10" width="2.5703125" customWidth="1"/>
    <col min="11" max="11" width="23.140625" customWidth="1"/>
    <col min="12" max="12" width="2.5703125" customWidth="1"/>
    <col min="13" max="13" width="23.140625" customWidth="1"/>
    <col min="14" max="14" width="31.140625" customWidth="1"/>
    <col min="15" max="15" width="15" bestFit="1" customWidth="1"/>
    <col min="16" max="16" width="19.140625" bestFit="1" customWidth="1"/>
  </cols>
  <sheetData>
    <row r="1" spans="1:11">
      <c r="A1" s="1" t="s">
        <v>95</v>
      </c>
    </row>
    <row r="2" spans="1:11">
      <c r="I2" s="54" t="s">
        <v>96</v>
      </c>
      <c r="J2" s="54"/>
    </row>
    <row r="3" spans="1:11">
      <c r="A3" s="1" t="s">
        <v>97</v>
      </c>
      <c r="K3" s="2"/>
    </row>
    <row r="4" spans="1:11">
      <c r="H4" s="2"/>
      <c r="I4" s="2" t="s">
        <v>98</v>
      </c>
      <c r="K4" s="127">
        <v>2023</v>
      </c>
    </row>
    <row r="5" spans="1:11">
      <c r="A5" s="32" t="s">
        <v>99</v>
      </c>
      <c r="H5" s="3" t="s">
        <v>100</v>
      </c>
      <c r="I5" s="3" t="s">
        <v>101</v>
      </c>
      <c r="K5" s="3" t="s">
        <v>102</v>
      </c>
    </row>
    <row r="7" spans="1:11">
      <c r="A7" s="9" t="s">
        <v>103</v>
      </c>
      <c r="B7" s="10"/>
      <c r="C7" s="10"/>
      <c r="D7" s="10"/>
      <c r="E7" s="10"/>
      <c r="F7" s="10"/>
      <c r="G7" s="10"/>
      <c r="H7" s="8"/>
      <c r="I7" s="8"/>
      <c r="J7" s="8"/>
      <c r="K7" s="8"/>
    </row>
    <row r="9" spans="1:11">
      <c r="A9" s="2">
        <v>1</v>
      </c>
      <c r="B9" s="278" t="s">
        <v>104</v>
      </c>
      <c r="I9" s="235" t="str">
        <f>"6-PlantInService, Line "&amp;'6-PlantInService'!A44&amp;""</f>
        <v>6-PlantInService, Line 19</v>
      </c>
      <c r="K9" s="6">
        <f>'6-PlantInService'!D44</f>
        <v>11054605947.014814</v>
      </c>
    </row>
    <row r="10" spans="1:11">
      <c r="A10" s="2">
        <f>A9+1</f>
        <v>2</v>
      </c>
      <c r="B10" s="278" t="s">
        <v>105</v>
      </c>
      <c r="I10" s="235" t="str">
        <f>"6-PlantInService, Line "&amp;'6-PlantInService'!A64&amp;""</f>
        <v>6-PlantInService, Line 27</v>
      </c>
      <c r="K10" s="6">
        <f>'6-PlantInService'!F64</f>
        <v>374403539.02561712</v>
      </c>
    </row>
    <row r="11" spans="1:11">
      <c r="A11" s="2">
        <f>A10+1</f>
        <v>3</v>
      </c>
      <c r="B11" s="278" t="s">
        <v>106</v>
      </c>
      <c r="I11" s="235" t="str">
        <f>"11-PHFU, Line "&amp;'11-PHFU'!A39&amp;""</f>
        <v>11-PHFU, Line 8</v>
      </c>
      <c r="K11" s="6">
        <f>'11-PHFU'!E39</f>
        <v>9132042.8139648717</v>
      </c>
    </row>
    <row r="12" spans="1:11">
      <c r="A12" s="2">
        <f>A11+1</f>
        <v>4</v>
      </c>
      <c r="B12" s="278" t="s">
        <v>107</v>
      </c>
      <c r="I12" s="235" t="str">
        <f>"12-AbandonedPlant, Line "&amp;'12-AbandonedPlant'!A20&amp;""</f>
        <v>12-AbandonedPlant, Line 3</v>
      </c>
      <c r="K12" s="6">
        <f>'12-AbandonedPlant'!G20</f>
        <v>0</v>
      </c>
    </row>
    <row r="13" spans="1:11">
      <c r="A13" s="2"/>
      <c r="B13" s="278"/>
      <c r="K13" s="6"/>
    </row>
    <row r="14" spans="1:11">
      <c r="A14" s="2"/>
      <c r="B14" s="28" t="s">
        <v>108</v>
      </c>
      <c r="K14" s="6"/>
    </row>
    <row r="15" spans="1:11">
      <c r="A15" s="2">
        <f>A12+1</f>
        <v>5</v>
      </c>
      <c r="B15" s="234" t="s">
        <v>109</v>
      </c>
      <c r="I15" s="235" t="str">
        <f>"13-WorkCap, Line "&amp;'13-WorkCap'!A26&amp;""</f>
        <v>13-WorkCap, Line 16</v>
      </c>
      <c r="K15" s="6">
        <f>'13-WorkCap'!F26</f>
        <v>30537331.491019432</v>
      </c>
    </row>
    <row r="16" spans="1:11">
      <c r="A16" s="2">
        <f>A15+1</f>
        <v>6</v>
      </c>
      <c r="B16" s="12" t="s">
        <v>110</v>
      </c>
      <c r="I16" s="235" t="str">
        <f>"13-WorkCap, Line "&amp;'13-WorkCap'!A55&amp;""</f>
        <v>13-WorkCap, Line 36</v>
      </c>
      <c r="K16" s="6">
        <f>'13-WorkCap'!F55</f>
        <v>5858672.6844997332</v>
      </c>
    </row>
    <row r="17" spans="1:11">
      <c r="A17" s="2">
        <f>A16+1</f>
        <v>7</v>
      </c>
      <c r="B17" s="234" t="s">
        <v>111</v>
      </c>
      <c r="I17" s="235" t="str">
        <f>"(Line "&amp;A126&amp;" + Line "&amp;A127&amp;") / 8"</f>
        <v>(Line 66 + Line 67) / 8</v>
      </c>
      <c r="K17" s="53">
        <f>(K126+K127)/8</f>
        <v>25717913.472511321</v>
      </c>
    </row>
    <row r="18" spans="1:11">
      <c r="A18" s="2">
        <f>A17+1</f>
        <v>8</v>
      </c>
      <c r="B18" s="234" t="s">
        <v>112</v>
      </c>
      <c r="I18" s="235" t="str">
        <f>"Line "&amp;A15&amp;" + Line "&amp;A16&amp;" + Line "&amp;A17&amp;""</f>
        <v>Line 5 + Line 6 + Line 7</v>
      </c>
      <c r="K18" s="6">
        <f>SUM(K15:K17)</f>
        <v>62113917.64803049</v>
      </c>
    </row>
    <row r="19" spans="1:11">
      <c r="A19" s="2"/>
      <c r="B19" s="234"/>
      <c r="K19" s="6"/>
    </row>
    <row r="20" spans="1:11">
      <c r="A20" s="2"/>
      <c r="B20" s="44" t="s">
        <v>113</v>
      </c>
      <c r="K20" s="6"/>
    </row>
    <row r="21" spans="1:11">
      <c r="A21" s="2">
        <f>A18+1</f>
        <v>9</v>
      </c>
      <c r="B21" s="234" t="s">
        <v>114</v>
      </c>
      <c r="H21" t="s">
        <v>115</v>
      </c>
      <c r="I21" s="235" t="str">
        <f>"8-AccDep, Line "&amp;'8-AccDep'!A24&amp;", Col. 12"</f>
        <v>8-AccDep, Line 13, Col. 12</v>
      </c>
      <c r="K21" s="6">
        <f>-'8-AccDep'!N24</f>
        <v>-2637149925.0251389</v>
      </c>
    </row>
    <row r="22" spans="1:11">
      <c r="A22" s="2">
        <f>A21+1</f>
        <v>10</v>
      </c>
      <c r="B22" s="234" t="s">
        <v>116</v>
      </c>
      <c r="H22" t="s">
        <v>115</v>
      </c>
      <c r="I22" s="235" t="str">
        <f>"8-AccDep, Line "&amp;'8-AccDep'!A34&amp;", Col. 5"</f>
        <v>8-AccDep, Line 16, Col. 5</v>
      </c>
      <c r="K22" s="6">
        <f>-'8-AccDep'!G34</f>
        <v>0</v>
      </c>
    </row>
    <row r="23" spans="1:11">
      <c r="A23" s="2">
        <f>A22+1</f>
        <v>11</v>
      </c>
      <c r="B23" s="234" t="s">
        <v>117</v>
      </c>
      <c r="C23" s="15"/>
      <c r="H23" t="s">
        <v>115</v>
      </c>
      <c r="I23" s="235" t="str">
        <f>"8-AccDep, Line "&amp;'8-AccDep'!A60&amp;""</f>
        <v>8-AccDep, Line 26</v>
      </c>
      <c r="K23" s="53">
        <f>-'8-AccDep'!F60</f>
        <v>-145009945.3536126</v>
      </c>
    </row>
    <row r="24" spans="1:11">
      <c r="A24" s="2">
        <f>A23+1</f>
        <v>12</v>
      </c>
      <c r="B24" s="45" t="s">
        <v>118</v>
      </c>
      <c r="C24" s="15"/>
      <c r="I24" s="235" t="str">
        <f>"Line "&amp;A21&amp;" + Line "&amp;A22&amp;" + Line "&amp;A23&amp;""</f>
        <v>Line 9 + Line 10 + Line 11</v>
      </c>
      <c r="K24" s="6">
        <f>SUM(K21:K23)</f>
        <v>-2782159870.3787513</v>
      </c>
    </row>
    <row r="25" spans="1:11">
      <c r="B25" s="235"/>
      <c r="K25" s="6"/>
    </row>
    <row r="26" spans="1:11">
      <c r="A26" s="2">
        <f>A24+1</f>
        <v>13</v>
      </c>
      <c r="B26" s="278" t="s">
        <v>119</v>
      </c>
      <c r="I26" s="235" t="str">
        <f>"9-ADIT-1, Line "&amp;'9-ADIT-1'!A14&amp;", Col. 2"</f>
        <v>9-ADIT-1, Line 5, Col. 2</v>
      </c>
      <c r="K26" s="6">
        <f>'9-ADIT-1'!D14</f>
        <v>-1508591508.9151964</v>
      </c>
    </row>
    <row r="27" spans="1:11">
      <c r="A27" s="2"/>
      <c r="B27" s="38"/>
    </row>
    <row r="28" spans="1:11">
      <c r="A28" s="2">
        <f>A26+1</f>
        <v>14</v>
      </c>
      <c r="B28" s="278" t="s">
        <v>120</v>
      </c>
      <c r="I28" s="235" t="str">
        <f>"14-IncentivePlant, L "&amp;'14-IncentivePlant'!A40&amp;", Col 1"</f>
        <v>14-IncentivePlant, L 15, Col 1</v>
      </c>
      <c r="K28" s="6">
        <f>'14-IncentivePlant'!E40</f>
        <v>310658936.53000003</v>
      </c>
    </row>
    <row r="29" spans="1:11">
      <c r="A29" s="2"/>
      <c r="B29" s="278"/>
      <c r="K29" s="6"/>
    </row>
    <row r="30" spans="1:11">
      <c r="A30" s="2">
        <f>A28+1</f>
        <v>15</v>
      </c>
      <c r="B30" s="278" t="s">
        <v>121</v>
      </c>
      <c r="I30" s="235" t="str">
        <f>"23-RegAssets, Line "&amp;'23-RegAssets'!A17&amp;""</f>
        <v>23-RegAssets, Line 14</v>
      </c>
      <c r="K30" s="6">
        <f>'23-RegAssets'!E17</f>
        <v>0</v>
      </c>
    </row>
    <row r="31" spans="1:11">
      <c r="A31" s="2">
        <f t="shared" ref="A31:A32" si="0">A30+1</f>
        <v>16</v>
      </c>
      <c r="B31" s="38" t="s">
        <v>72</v>
      </c>
      <c r="I31" s="235" t="str">
        <f>"34-UnfundedReserves, Line "&amp;'34-UnfundedReserves'!A9&amp;""</f>
        <v>34-UnfundedReserves, Line 6</v>
      </c>
      <c r="K31" s="6">
        <f>'34-UnfundedReserves'!K9</f>
        <v>-50038773.090345122</v>
      </c>
    </row>
    <row r="32" spans="1:11">
      <c r="A32" s="2">
        <f t="shared" si="0"/>
        <v>17</v>
      </c>
      <c r="B32" s="38" t="s">
        <v>122</v>
      </c>
      <c r="H32" t="s">
        <v>115</v>
      </c>
      <c r="I32" s="235" t="str">
        <f>"22-NUCs, Line "&amp;'22-NUCs'!A11&amp;""</f>
        <v>22-NUCs, Line 4</v>
      </c>
      <c r="K32" s="6">
        <f>-'22-NUCs'!E11</f>
        <v>-40828269.768610984</v>
      </c>
    </row>
    <row r="33" spans="1:11">
      <c r="A33" s="2"/>
      <c r="B33" s="38"/>
    </row>
    <row r="34" spans="1:11">
      <c r="A34" s="2">
        <f>A32+1</f>
        <v>18</v>
      </c>
      <c r="B34" t="s">
        <v>123</v>
      </c>
      <c r="I34" s="235" t="str">
        <f>"L"&amp;A9&amp;" + L"&amp;A10&amp;" + L"&amp;A11&amp;" + L"&amp;A12&amp;" + L"&amp;A18&amp;" + L"&amp;A24&amp;" +"</f>
        <v>L1 + L2 + L3 + L4 + L8 + L12 +</v>
      </c>
      <c r="K34" s="6">
        <f>K9+K10+K11+K12+K18+K24+K26+K28+K30+K31+K32</f>
        <v>7429295960.8795233</v>
      </c>
    </row>
    <row r="35" spans="1:11">
      <c r="A35" s="2"/>
      <c r="I35" s="278" t="str">
        <f>"L"&amp;A26&amp;" + L"&amp;A28&amp;"+ L"&amp;A30&amp;"+ L"&amp;A31&amp;" + L"&amp;A32&amp;""</f>
        <v>L13 + L14+ L15+ L16 + L17</v>
      </c>
      <c r="K35" s="6"/>
    </row>
    <row r="37" spans="1:11">
      <c r="A37" s="9" t="s">
        <v>124</v>
      </c>
      <c r="B37" s="10"/>
      <c r="C37" s="10"/>
      <c r="D37" s="10"/>
      <c r="E37" s="10"/>
      <c r="F37" s="10"/>
      <c r="G37" s="10"/>
      <c r="H37" s="8"/>
      <c r="I37" s="8"/>
      <c r="J37" s="8"/>
      <c r="K37" s="8"/>
    </row>
    <row r="39" spans="1:11">
      <c r="A39" s="2">
        <f>A34+1</f>
        <v>19</v>
      </c>
      <c r="B39" s="235" t="s">
        <v>125</v>
      </c>
      <c r="I39" s="235" t="s">
        <v>126</v>
      </c>
      <c r="J39" s="235"/>
      <c r="K39" s="237">
        <f>H178</f>
        <v>487699603.22055221</v>
      </c>
    </row>
    <row r="40" spans="1:11">
      <c r="A40" s="2">
        <f>A39+1</f>
        <v>20</v>
      </c>
      <c r="B40" s="12" t="s">
        <v>127</v>
      </c>
      <c r="I40" s="235" t="str">
        <f>"27-Allocators, Line "&amp;'27-Allocators'!A28&amp;""</f>
        <v>27-Allocators, Line 22</v>
      </c>
      <c r="K40" s="7">
        <f>'27-Allocators'!G28</f>
        <v>0.17820337068056696</v>
      </c>
    </row>
    <row r="41" spans="1:11">
      <c r="A41" s="2">
        <f>A40+1</f>
        <v>21</v>
      </c>
      <c r="B41" t="s">
        <v>128</v>
      </c>
      <c r="I41" s="235" t="str">
        <f>"Line "&amp;A39&amp;" * Line "&amp;A40&amp;""</f>
        <v>Line 19 * Line 20</v>
      </c>
      <c r="K41" s="237">
        <f>K39*K40</f>
        <v>86909713.173477501</v>
      </c>
    </row>
    <row r="42" spans="1:11">
      <c r="A42" s="2" t="s">
        <v>129</v>
      </c>
      <c r="H42" s="235"/>
      <c r="K42" s="7"/>
    </row>
    <row r="43" spans="1:11">
      <c r="A43" s="2">
        <f>A41+1</f>
        <v>22</v>
      </c>
      <c r="B43" s="235" t="s">
        <v>130</v>
      </c>
      <c r="K43" s="7"/>
    </row>
    <row r="44" spans="1:11">
      <c r="A44" s="2">
        <f t="shared" ref="A44:A56" si="1">A43+1</f>
        <v>23</v>
      </c>
      <c r="B44" s="12" t="s">
        <v>131</v>
      </c>
      <c r="E44" s="1"/>
      <c r="F44" s="1"/>
      <c r="G44" s="1"/>
      <c r="I44" s="235" t="str">
        <f>"Line "&amp;A45&amp;" + Line "&amp;A46&amp;"+ Line "&amp;A47&amp;""</f>
        <v>Line 24 + Line 25+ Line 26</v>
      </c>
      <c r="K44" s="6">
        <f>SUM(K45:K47)</f>
        <v>146909390.27461696</v>
      </c>
    </row>
    <row r="45" spans="1:11">
      <c r="A45" s="2">
        <f t="shared" si="1"/>
        <v>24</v>
      </c>
      <c r="B45" s="190" t="s">
        <v>132</v>
      </c>
      <c r="E45" s="1"/>
      <c r="F45" s="1"/>
      <c r="G45" s="1"/>
      <c r="I45" s="235" t="s">
        <v>126</v>
      </c>
      <c r="J45" s="235"/>
      <c r="K45" s="237">
        <f t="shared" ref="K45:K51" si="2">H179</f>
        <v>146377334.64962578</v>
      </c>
    </row>
    <row r="46" spans="1:11">
      <c r="A46" s="2">
        <f t="shared" si="1"/>
        <v>25</v>
      </c>
      <c r="B46" s="190" t="s">
        <v>133</v>
      </c>
      <c r="E46" s="1"/>
      <c r="F46" s="1"/>
      <c r="G46" s="1"/>
      <c r="I46" s="235" t="s">
        <v>126</v>
      </c>
      <c r="J46" s="235"/>
      <c r="K46" s="237">
        <f>H180</f>
        <v>431416.37999092467</v>
      </c>
    </row>
    <row r="47" spans="1:11">
      <c r="A47" s="2">
        <f t="shared" si="1"/>
        <v>26</v>
      </c>
      <c r="B47" s="190" t="s">
        <v>134</v>
      </c>
      <c r="E47" s="1"/>
      <c r="F47" s="1"/>
      <c r="G47" s="1"/>
      <c r="I47" s="235" t="s">
        <v>126</v>
      </c>
      <c r="J47" s="235"/>
      <c r="K47" s="237">
        <f>H181</f>
        <v>100639.24500024767</v>
      </c>
    </row>
    <row r="48" spans="1:11">
      <c r="A48" s="2">
        <f t="shared" si="1"/>
        <v>27</v>
      </c>
      <c r="B48" s="234" t="s">
        <v>135</v>
      </c>
      <c r="I48" s="235" t="s">
        <v>126</v>
      </c>
      <c r="J48" s="235"/>
      <c r="K48" s="237">
        <f t="shared" si="2"/>
        <v>3543311.0549865398</v>
      </c>
    </row>
    <row r="49" spans="1:11">
      <c r="A49" s="2">
        <f t="shared" si="1"/>
        <v>28</v>
      </c>
      <c r="B49" s="12" t="s">
        <v>136</v>
      </c>
      <c r="I49" s="235" t="s">
        <v>126</v>
      </c>
      <c r="J49" s="235"/>
      <c r="K49" s="237">
        <f t="shared" si="2"/>
        <v>1256058.2399982389</v>
      </c>
    </row>
    <row r="50" spans="1:11">
      <c r="A50" s="2">
        <f t="shared" si="1"/>
        <v>29</v>
      </c>
      <c r="B50" s="12" t="s">
        <v>137</v>
      </c>
      <c r="I50" s="235" t="s">
        <v>126</v>
      </c>
      <c r="J50" s="235"/>
      <c r="K50" s="237">
        <f t="shared" si="2"/>
        <v>2033134.3949926833</v>
      </c>
    </row>
    <row r="51" spans="1:11">
      <c r="A51" s="2">
        <f t="shared" si="1"/>
        <v>30</v>
      </c>
      <c r="B51" s="12" t="s">
        <v>138</v>
      </c>
      <c r="I51" s="235" t="s">
        <v>126</v>
      </c>
      <c r="J51" s="235"/>
      <c r="K51" s="237">
        <f t="shared" si="2"/>
        <v>41422.729999919189</v>
      </c>
    </row>
    <row r="52" spans="1:11">
      <c r="A52" s="2">
        <f t="shared" si="1"/>
        <v>31</v>
      </c>
      <c r="B52" t="s">
        <v>139</v>
      </c>
      <c r="I52" s="235" t="str">
        <f>"Line "&amp;A44&amp;" + (Line "&amp;A48&amp;" to Line "&amp;A51&amp;")"</f>
        <v>Line 23 + (Line 27 to Line 30)</v>
      </c>
      <c r="K52" s="6">
        <f>K44+K48+K49+K50+K51</f>
        <v>153783316.69459435</v>
      </c>
    </row>
    <row r="53" spans="1:11">
      <c r="A53" s="2">
        <f t="shared" si="1"/>
        <v>32</v>
      </c>
      <c r="B53" s="235" t="s">
        <v>140</v>
      </c>
      <c r="H53" s="235"/>
      <c r="I53" s="235" t="str">
        <f>"26-TaxRates, Line "&amp;'26-TaxRates'!A22&amp;""</f>
        <v>26-TaxRates, Line 16</v>
      </c>
      <c r="K53" s="115">
        <f>'26-TaxRates'!F22</f>
        <v>76891658.347297177</v>
      </c>
    </row>
    <row r="54" spans="1:11">
      <c r="A54" s="2">
        <f t="shared" si="1"/>
        <v>33</v>
      </c>
      <c r="B54" t="s">
        <v>141</v>
      </c>
      <c r="I54" s="235" t="str">
        <f>"Line "&amp;A52&amp;" - Line "&amp;A53&amp;""</f>
        <v>Line 31 - Line 32</v>
      </c>
      <c r="K54" s="6">
        <f>K52-K53</f>
        <v>76891658.347297177</v>
      </c>
    </row>
    <row r="55" spans="1:11">
      <c r="A55" s="2">
        <f>A54+1</f>
        <v>34</v>
      </c>
      <c r="B55" s="234" t="s">
        <v>142</v>
      </c>
      <c r="I55" s="235" t="str">
        <f>"27-Allocators, Line "&amp;'27-Allocators'!A15&amp;""</f>
        <v>27-Allocators, Line 9</v>
      </c>
      <c r="K55" s="7">
        <f>'27-Allocators'!G15</f>
        <v>5.8811663225218191E-2</v>
      </c>
    </row>
    <row r="56" spans="1:11">
      <c r="A56" s="2">
        <f t="shared" si="1"/>
        <v>35</v>
      </c>
      <c r="B56" s="278" t="s">
        <v>130</v>
      </c>
      <c r="I56" s="235" t="str">
        <f>"Line "&amp;A54&amp;" * Line "&amp;A55&amp;""</f>
        <v>Line 33 * Line 34</v>
      </c>
      <c r="K56" s="237">
        <f>K54*K55</f>
        <v>4522126.3155497788</v>
      </c>
    </row>
    <row r="57" spans="1:11">
      <c r="A57" s="2"/>
      <c r="K57" s="6"/>
    </row>
    <row r="58" spans="1:11">
      <c r="A58" s="2">
        <f>A56+1</f>
        <v>36</v>
      </c>
      <c r="B58" s="235" t="s">
        <v>143</v>
      </c>
      <c r="H58" s="235" t="s">
        <v>144</v>
      </c>
      <c r="I58" s="235" t="str">
        <f>"Line "&amp;A41&amp;" + Line "&amp;A56&amp;""</f>
        <v>Line 21 + Line 35</v>
      </c>
      <c r="K58" s="6">
        <f>K41+K56</f>
        <v>91431839.489027277</v>
      </c>
    </row>
    <row r="60" spans="1:11">
      <c r="A60" s="9" t="s">
        <v>145</v>
      </c>
      <c r="B60" s="10"/>
      <c r="C60" s="10"/>
      <c r="D60" s="10"/>
      <c r="E60" s="10"/>
      <c r="F60" s="10"/>
      <c r="G60" s="10"/>
      <c r="H60" s="8"/>
      <c r="I60" s="8"/>
      <c r="J60" s="8"/>
      <c r="K60" s="8"/>
    </row>
    <row r="61" spans="1:11">
      <c r="A61" s="1"/>
      <c r="B61" s="235"/>
      <c r="C61" s="235"/>
      <c r="D61" s="235"/>
      <c r="E61" s="235"/>
      <c r="F61" s="235"/>
      <c r="G61" s="235"/>
      <c r="H61" s="235"/>
      <c r="I61" s="235"/>
      <c r="J61" s="235"/>
      <c r="K61" s="235"/>
    </row>
    <row r="62" spans="1:11">
      <c r="A62" s="236"/>
      <c r="B62" s="28" t="s">
        <v>146</v>
      </c>
      <c r="C62" s="235"/>
      <c r="D62" s="235"/>
      <c r="E62" s="235"/>
      <c r="F62" s="235"/>
      <c r="G62" s="235"/>
      <c r="H62" s="235"/>
      <c r="I62" s="235"/>
      <c r="J62" s="235"/>
      <c r="K62" s="235"/>
    </row>
    <row r="63" spans="1:11">
      <c r="A63" s="2">
        <f>A58+1</f>
        <v>37</v>
      </c>
      <c r="B63" s="235" t="s">
        <v>147</v>
      </c>
      <c r="C63" s="235"/>
      <c r="D63" s="235"/>
      <c r="E63" s="235"/>
      <c r="F63" s="235"/>
      <c r="G63" s="235"/>
      <c r="H63" s="235"/>
      <c r="I63" s="235" t="str">
        <f>"5-ROR-1, Line "&amp;'5-ROR-1'!A12&amp;""</f>
        <v>5-ROR-1, Line 4</v>
      </c>
      <c r="J63" s="235"/>
      <c r="K63" s="237">
        <f>'5-ROR-1'!L12</f>
        <v>26354196027.181538</v>
      </c>
    </row>
    <row r="64" spans="1:11">
      <c r="A64" s="2">
        <f>A63+1</f>
        <v>38</v>
      </c>
      <c r="B64" s="235" t="s">
        <v>148</v>
      </c>
      <c r="C64" s="235"/>
      <c r="D64" s="235"/>
      <c r="E64" s="235"/>
      <c r="F64" s="235"/>
      <c r="G64" s="235"/>
      <c r="H64" s="235"/>
      <c r="I64" s="235" t="str">
        <f>"5-ROR-1, Line "&amp;'5-ROR-1'!A21&amp;""</f>
        <v>5-ROR-1, Line 11</v>
      </c>
      <c r="J64" s="235"/>
      <c r="K64" s="237">
        <f>'5-ROR-1'!L21</f>
        <v>1096472198</v>
      </c>
    </row>
    <row r="65" spans="1:11">
      <c r="A65" s="2">
        <f>A64+1</f>
        <v>39</v>
      </c>
      <c r="B65" s="235" t="s">
        <v>149</v>
      </c>
      <c r="C65" s="235"/>
      <c r="D65" s="235"/>
      <c r="E65" s="235"/>
      <c r="F65" s="235"/>
      <c r="G65" s="235"/>
      <c r="I65" s="235" t="str">
        <f>"5-ROR-1, Line "&amp;'5-ROR-1'!A23&amp;""</f>
        <v>5-ROR-1, Line 12</v>
      </c>
      <c r="J65" s="235"/>
      <c r="K65" s="205">
        <f>'5-ROR-1'!L23</f>
        <v>4.1605222821789217E-2</v>
      </c>
    </row>
    <row r="66" spans="1:11">
      <c r="A66" s="2"/>
      <c r="B66" s="235"/>
      <c r="C66" s="235"/>
      <c r="D66" s="235"/>
      <c r="E66" s="235"/>
      <c r="F66" s="235"/>
      <c r="G66" s="235"/>
      <c r="I66" s="235"/>
      <c r="J66" s="235"/>
      <c r="K66" s="205"/>
    </row>
    <row r="67" spans="1:11">
      <c r="A67" s="2"/>
      <c r="B67" s="28" t="s">
        <v>150</v>
      </c>
      <c r="C67" s="235"/>
      <c r="D67" s="235"/>
      <c r="E67" s="235"/>
      <c r="F67" s="235"/>
      <c r="G67" s="235"/>
      <c r="H67" s="235"/>
      <c r="I67" s="235"/>
      <c r="J67" s="235"/>
      <c r="K67" s="235"/>
    </row>
    <row r="68" spans="1:11">
      <c r="A68" s="2">
        <f>A65+1</f>
        <v>40</v>
      </c>
      <c r="B68" s="235" t="s">
        <v>151</v>
      </c>
      <c r="C68" s="235"/>
      <c r="D68" s="235"/>
      <c r="E68" s="235"/>
      <c r="F68" s="235"/>
      <c r="G68" s="235"/>
      <c r="H68" s="235"/>
      <c r="I68" s="235" t="str">
        <f>"5-ROR-1, Line "&amp;'5-ROR-1'!A29&amp;""</f>
        <v>5-ROR-1, Line 16</v>
      </c>
      <c r="J68" s="235"/>
      <c r="K68" s="237">
        <f>'5-ROR-1'!L29</f>
        <v>1986790689.3769321</v>
      </c>
    </row>
    <row r="69" spans="1:11">
      <c r="A69" s="2">
        <f>A68+1</f>
        <v>41</v>
      </c>
      <c r="B69" s="235" t="s">
        <v>152</v>
      </c>
      <c r="C69" s="235"/>
      <c r="D69" s="235"/>
      <c r="E69" s="235"/>
      <c r="F69" s="235"/>
      <c r="G69" s="235"/>
      <c r="H69" s="235"/>
      <c r="I69" s="235" t="str">
        <f>"5-ROR-1, Line "&amp;'5-ROR-1'!A35&amp;""</f>
        <v>5-ROR-1, Line 20</v>
      </c>
      <c r="J69" s="235"/>
      <c r="K69" s="237">
        <f>'5-ROR-1'!L35</f>
        <v>127067412.63840115</v>
      </c>
    </row>
    <row r="70" spans="1:11">
      <c r="A70" s="2">
        <f>A69+1</f>
        <v>42</v>
      </c>
      <c r="B70" s="235" t="s">
        <v>153</v>
      </c>
      <c r="C70" s="235"/>
      <c r="D70" s="235"/>
      <c r="E70" s="235"/>
      <c r="F70" s="235"/>
      <c r="G70" s="235"/>
      <c r="I70" s="235" t="str">
        <f>"5-ROR-1, Line "&amp;'5-ROR-1'!A37&amp;""</f>
        <v>5-ROR-1, Line 21</v>
      </c>
      <c r="J70" s="235"/>
      <c r="K70" s="205">
        <f>'5-ROR-1'!L37</f>
        <v>6.3956114409943282E-2</v>
      </c>
    </row>
    <row r="71" spans="1:11">
      <c r="A71" s="2"/>
      <c r="B71" s="235"/>
      <c r="C71" s="235"/>
      <c r="D71" s="235"/>
      <c r="E71" s="235"/>
      <c r="F71" s="235"/>
      <c r="G71" s="235"/>
      <c r="I71" s="235"/>
      <c r="J71" s="235"/>
      <c r="K71" s="205"/>
    </row>
    <row r="72" spans="1:11">
      <c r="A72" s="2"/>
      <c r="B72" s="28" t="s">
        <v>154</v>
      </c>
      <c r="C72" s="235"/>
      <c r="D72" s="235"/>
      <c r="E72" s="235"/>
      <c r="F72" s="235"/>
      <c r="G72" s="235"/>
      <c r="H72" s="235"/>
      <c r="I72" s="235"/>
      <c r="J72" s="235"/>
      <c r="K72" s="235"/>
    </row>
    <row r="73" spans="1:11">
      <c r="A73" s="2">
        <f>A70+1</f>
        <v>43</v>
      </c>
      <c r="B73" s="235" t="s">
        <v>155</v>
      </c>
      <c r="C73" s="235"/>
      <c r="D73" s="235"/>
      <c r="E73" s="235"/>
      <c r="F73" s="235"/>
      <c r="G73" s="235"/>
      <c r="H73" s="235"/>
      <c r="I73" s="235" t="str">
        <f>"5-ROR-1, Line "&amp;'5-ROR-1'!A45&amp;""</f>
        <v>5-ROR-1, Line 27</v>
      </c>
      <c r="J73" s="235"/>
      <c r="K73" s="237">
        <f>'5-ROR-1'!L45</f>
        <v>18973808773.717941</v>
      </c>
    </row>
    <row r="74" spans="1:11">
      <c r="A74" s="2"/>
      <c r="B74" s="235"/>
      <c r="C74" s="235"/>
      <c r="D74" s="235"/>
      <c r="E74" s="235"/>
      <c r="F74" s="235"/>
      <c r="G74" s="235"/>
      <c r="H74" s="235"/>
      <c r="I74" s="607"/>
      <c r="J74" s="235"/>
      <c r="K74" s="235"/>
    </row>
    <row r="75" spans="1:11">
      <c r="A75" s="2">
        <f>A73+1</f>
        <v>44</v>
      </c>
      <c r="B75" s="235" t="s">
        <v>156</v>
      </c>
      <c r="C75" s="235"/>
      <c r="D75" s="235"/>
      <c r="E75" s="235"/>
      <c r="F75" s="235"/>
      <c r="G75" s="235"/>
      <c r="H75" s="235"/>
      <c r="I75" s="235" t="str">
        <f>"Line "&amp;A63&amp;" + Line "&amp;A68&amp;" + Line "&amp;A73&amp;""</f>
        <v>Line 37 + Line 40 + Line 43</v>
      </c>
      <c r="J75" s="235"/>
      <c r="K75" s="237">
        <f>K63+K68+K73</f>
        <v>47314795490.276413</v>
      </c>
    </row>
    <row r="76" spans="1:11">
      <c r="A76" s="2"/>
      <c r="B76" s="235"/>
      <c r="C76" s="235"/>
      <c r="D76" s="235"/>
      <c r="E76" s="235"/>
      <c r="F76" s="235"/>
      <c r="G76" s="235"/>
      <c r="H76" s="235"/>
      <c r="I76" s="235"/>
      <c r="J76" s="235"/>
      <c r="K76" s="237"/>
    </row>
    <row r="77" spans="1:11">
      <c r="A77" s="2" t="s">
        <v>157</v>
      </c>
      <c r="B77" s="235" t="s">
        <v>158</v>
      </c>
      <c r="C77" s="235"/>
      <c r="D77" s="235"/>
      <c r="E77" s="235"/>
      <c r="F77" s="235"/>
      <c r="G77" s="235"/>
      <c r="H77" s="235"/>
      <c r="I77" s="235"/>
      <c r="J77" s="235"/>
      <c r="K77" s="260">
        <v>0.47499999999999998</v>
      </c>
    </row>
    <row r="78" spans="1:11">
      <c r="A78" s="2"/>
      <c r="B78" s="234"/>
      <c r="C78" s="235"/>
      <c r="D78" s="235"/>
      <c r="E78" s="235"/>
      <c r="F78" s="235"/>
      <c r="G78" s="235"/>
      <c r="I78" s="235"/>
      <c r="J78" s="235"/>
      <c r="K78" s="237"/>
    </row>
    <row r="79" spans="1:11">
      <c r="A79" s="2"/>
      <c r="B79" s="28" t="s">
        <v>159</v>
      </c>
      <c r="C79" s="235"/>
      <c r="D79" s="235"/>
      <c r="E79" s="235"/>
      <c r="F79" s="235"/>
      <c r="G79" s="235"/>
      <c r="H79" s="235"/>
      <c r="I79" s="235"/>
      <c r="J79" s="235"/>
      <c r="K79" s="235"/>
    </row>
    <row r="80" spans="1:11">
      <c r="A80" s="2">
        <f>A75+1</f>
        <v>45</v>
      </c>
      <c r="B80" s="235" t="s">
        <v>160</v>
      </c>
      <c r="C80" s="235"/>
      <c r="D80" s="235"/>
      <c r="E80" s="235"/>
      <c r="F80" s="235"/>
      <c r="G80" s="235"/>
      <c r="H80" s="235"/>
      <c r="I80" s="235" t="str">
        <f>"100% - (Line "&amp;A81&amp;" + Line "&amp;A82&amp;")"</f>
        <v>100% - (Line 46 + Line 47)</v>
      </c>
      <c r="J80" s="235"/>
      <c r="K80" s="205">
        <f>1-(K81+K82)</f>
        <v>0.48300910330923374</v>
      </c>
    </row>
    <row r="81" spans="1:11">
      <c r="A81" s="2">
        <f>A80+1</f>
        <v>46</v>
      </c>
      <c r="B81" s="235" t="s">
        <v>161</v>
      </c>
      <c r="C81" s="235"/>
      <c r="D81" s="235"/>
      <c r="E81" s="235"/>
      <c r="F81" s="235"/>
      <c r="G81" s="235"/>
      <c r="H81" s="235"/>
      <c r="I81" s="235" t="str">
        <f>"Line "&amp;A68&amp;" / Line "&amp;A75&amp;""</f>
        <v>Line 40 / Line 44</v>
      </c>
      <c r="J81" s="235"/>
      <c r="K81" s="205">
        <f>K68/K75</f>
        <v>4.1990896690766298E-2</v>
      </c>
    </row>
    <row r="82" spans="1:11">
      <c r="A82" s="2">
        <f>A81+1</f>
        <v>47</v>
      </c>
      <c r="B82" s="235" t="s">
        <v>162</v>
      </c>
      <c r="C82" s="235"/>
      <c r="D82" s="235"/>
      <c r="E82" s="235"/>
      <c r="F82" s="235"/>
      <c r="G82" s="235"/>
      <c r="H82" s="235"/>
      <c r="I82" s="235" t="str">
        <f>"Max Line "&amp;A77&amp;" or (Line "&amp;A73&amp;" / Line "&amp;A75&amp;")"</f>
        <v>Max Line 44a or (Line 43 / Line 44)</v>
      </c>
      <c r="J82" s="235"/>
      <c r="K82" s="29">
        <f>MAX((K73/K75),K77)</f>
        <v>0.47499999999999998</v>
      </c>
    </row>
    <row r="83" spans="1:11">
      <c r="A83" s="2"/>
      <c r="B83" s="235"/>
      <c r="C83" s="235"/>
      <c r="D83" s="235"/>
      <c r="E83" s="235"/>
      <c r="F83" s="235"/>
      <c r="G83" s="235"/>
      <c r="H83" s="235"/>
      <c r="I83" s="235" t="str">
        <f>"Line "&amp;A80&amp;" + Line "&amp;A81&amp;"+ Line "&amp;A82&amp;""</f>
        <v>Line 45 + Line 46+ Line 47</v>
      </c>
      <c r="J83" s="235"/>
      <c r="K83" s="205">
        <f>SUM(K80:K82)</f>
        <v>1</v>
      </c>
    </row>
    <row r="84" spans="1:11">
      <c r="A84" s="2"/>
      <c r="B84" s="28" t="s">
        <v>163</v>
      </c>
      <c r="C84" s="235"/>
      <c r="D84" s="235"/>
      <c r="E84" s="235"/>
      <c r="F84" s="235"/>
      <c r="G84" s="235"/>
      <c r="H84" s="235"/>
      <c r="I84" s="235"/>
      <c r="J84" s="235"/>
      <c r="K84" s="205"/>
    </row>
    <row r="85" spans="1:11">
      <c r="A85" s="2">
        <f>A82+1</f>
        <v>48</v>
      </c>
      <c r="B85" s="235" t="s">
        <v>149</v>
      </c>
      <c r="C85" s="235"/>
      <c r="D85" s="235"/>
      <c r="E85" s="235"/>
      <c r="F85" s="235"/>
      <c r="G85" s="235"/>
      <c r="I85" s="235" t="str">
        <f>"Line "&amp;A65&amp;""</f>
        <v>Line 39</v>
      </c>
      <c r="J85" s="235"/>
      <c r="K85" s="205">
        <f>K65</f>
        <v>4.1605222821789217E-2</v>
      </c>
    </row>
    <row r="86" spans="1:11">
      <c r="A86" s="2">
        <f>A85+1</f>
        <v>49</v>
      </c>
      <c r="B86" s="235" t="s">
        <v>153</v>
      </c>
      <c r="C86" s="235"/>
      <c r="D86" s="235"/>
      <c r="E86" s="235"/>
      <c r="F86" s="235"/>
      <c r="G86" s="235"/>
      <c r="I86" s="235" t="str">
        <f>"Line "&amp;A70&amp;""</f>
        <v>Line 42</v>
      </c>
      <c r="J86" s="235"/>
      <c r="K86" s="205">
        <f>K70</f>
        <v>6.3956114409943282E-2</v>
      </c>
    </row>
    <row r="87" spans="1:11">
      <c r="A87" s="2">
        <f>A86+1</f>
        <v>50</v>
      </c>
      <c r="B87" s="235" t="s">
        <v>164</v>
      </c>
      <c r="C87" s="235"/>
      <c r="D87" s="235"/>
      <c r="E87" s="235"/>
      <c r="F87" s="235"/>
      <c r="G87" s="235"/>
      <c r="H87" s="235" t="s">
        <v>165</v>
      </c>
      <c r="I87" s="235" t="s">
        <v>166</v>
      </c>
      <c r="J87" s="235"/>
      <c r="K87" s="120">
        <v>0.10299999999999999</v>
      </c>
    </row>
    <row r="88" spans="1:11">
      <c r="A88" s="2"/>
      <c r="B88" s="235"/>
      <c r="C88" s="235"/>
      <c r="D88" s="235"/>
      <c r="E88" s="235"/>
      <c r="F88" s="235"/>
      <c r="G88" s="235"/>
      <c r="I88" s="281"/>
      <c r="J88" s="235"/>
      <c r="K88" s="205"/>
    </row>
    <row r="89" spans="1:11">
      <c r="A89" s="2"/>
      <c r="B89" s="28" t="s">
        <v>167</v>
      </c>
      <c r="C89" s="235"/>
      <c r="D89" s="235"/>
      <c r="E89" s="235"/>
      <c r="F89" s="235"/>
      <c r="G89" s="235"/>
      <c r="H89" s="235"/>
      <c r="I89" s="235"/>
      <c r="J89" s="235"/>
      <c r="K89" s="235"/>
    </row>
    <row r="90" spans="1:11">
      <c r="A90" s="2">
        <f>A87+1</f>
        <v>51</v>
      </c>
      <c r="B90" s="235" t="s">
        <v>168</v>
      </c>
      <c r="C90" s="235"/>
      <c r="D90" s="235"/>
      <c r="E90" s="235"/>
      <c r="F90" s="235"/>
      <c r="G90" s="235"/>
      <c r="I90" s="235" t="str">
        <f>"Line "&amp;A65&amp;" * Line "&amp;A80&amp;""</f>
        <v>Line 39 * Line 45</v>
      </c>
      <c r="J90" s="235"/>
      <c r="K90" s="205">
        <f>K65*K80</f>
        <v>2.0095701368133278E-2</v>
      </c>
    </row>
    <row r="91" spans="1:11">
      <c r="A91" s="2">
        <f>A90+1</f>
        <v>52</v>
      </c>
      <c r="B91" s="235" t="s">
        <v>169</v>
      </c>
      <c r="C91" s="235"/>
      <c r="D91" s="235"/>
      <c r="E91" s="235"/>
      <c r="F91" s="235"/>
      <c r="G91" s="235"/>
      <c r="I91" s="235" t="str">
        <f>"Line "&amp;A70&amp;" * Line "&amp;A81&amp;""</f>
        <v>Line 42 * Line 46</v>
      </c>
      <c r="J91" s="235"/>
      <c r="K91" s="205">
        <f>K70*K81</f>
        <v>2.6855745929307579E-3</v>
      </c>
    </row>
    <row r="92" spans="1:11">
      <c r="A92" s="2">
        <f>A91+1</f>
        <v>53</v>
      </c>
      <c r="B92" s="235" t="s">
        <v>170</v>
      </c>
      <c r="C92" s="235"/>
      <c r="D92" s="235"/>
      <c r="E92" s="235"/>
      <c r="F92" s="235"/>
      <c r="G92" s="235"/>
      <c r="I92" s="235" t="str">
        <f>"Line "&amp;A82&amp;" * Line "&amp;A87&amp;""</f>
        <v>Line 47 * Line 50</v>
      </c>
      <c r="J92" s="235"/>
      <c r="K92" s="29">
        <f>K82*K87</f>
        <v>4.8924999999999996E-2</v>
      </c>
    </row>
    <row r="93" spans="1:11">
      <c r="A93" s="2">
        <f>A92+1</f>
        <v>54</v>
      </c>
      <c r="B93" s="234" t="s">
        <v>171</v>
      </c>
      <c r="C93" s="235"/>
      <c r="D93" s="235"/>
      <c r="E93" s="235"/>
      <c r="F93" s="235"/>
      <c r="G93" s="235"/>
      <c r="I93" s="235" t="str">
        <f>"Line "&amp;A90&amp;" + Line "&amp;A91&amp;" + Line "&amp;A92&amp;""</f>
        <v>Line 51 + Line 52 + Line 53</v>
      </c>
      <c r="J93" s="235"/>
      <c r="K93" s="205">
        <f>SUM(K90:K92)</f>
        <v>7.1706275961064034E-2</v>
      </c>
    </row>
    <row r="94" spans="1:11">
      <c r="A94" s="2"/>
      <c r="B94" s="234"/>
      <c r="C94" s="235"/>
      <c r="D94" s="235"/>
      <c r="E94" s="235"/>
      <c r="F94" s="235"/>
      <c r="G94" s="235"/>
      <c r="I94" s="235"/>
      <c r="J94" s="235"/>
      <c r="K94" s="1009"/>
    </row>
    <row r="95" spans="1:11">
      <c r="A95" s="2">
        <f>A93+1</f>
        <v>55</v>
      </c>
      <c r="B95" s="278" t="s">
        <v>172</v>
      </c>
      <c r="C95" s="235"/>
      <c r="D95" s="235"/>
      <c r="E95" s="235"/>
      <c r="F95" s="235"/>
      <c r="G95" s="235"/>
      <c r="H95" s="235" t="s">
        <v>173</v>
      </c>
      <c r="I95" s="235" t="str">
        <f>"Line "&amp;A91&amp;" + Line "&amp;A92&amp;""</f>
        <v>Line 52 + Line 53</v>
      </c>
      <c r="J95" s="235"/>
      <c r="K95" s="205">
        <f>K91+K92</f>
        <v>5.1610574592930752E-2</v>
      </c>
    </row>
    <row r="96" spans="1:11">
      <c r="A96" s="2"/>
      <c r="B96" s="235"/>
      <c r="C96" s="235"/>
      <c r="D96" s="235"/>
      <c r="E96" s="235"/>
      <c r="F96" s="235"/>
      <c r="G96" s="235"/>
      <c r="I96" s="235"/>
      <c r="J96" s="235"/>
      <c r="K96" s="1009"/>
    </row>
    <row r="97" spans="1:11">
      <c r="A97" s="2">
        <f>A95+1</f>
        <v>56</v>
      </c>
      <c r="B97" s="235" t="s">
        <v>174</v>
      </c>
      <c r="C97" s="235"/>
      <c r="D97" s="235"/>
      <c r="E97" s="235"/>
      <c r="F97" s="235"/>
      <c r="G97" s="235"/>
      <c r="I97" s="235" t="str">
        <f>"Line "&amp;A34&amp;" * Line "&amp;A93&amp;""</f>
        <v>Line 18 * Line 54</v>
      </c>
      <c r="J97" s="235"/>
      <c r="K97" s="237">
        <f>K34*K93</f>
        <v>532727146.3672455</v>
      </c>
    </row>
    <row r="98" spans="1:11">
      <c r="A98" s="236"/>
      <c r="B98" s="235"/>
      <c r="C98" s="235"/>
      <c r="D98" s="235"/>
      <c r="E98" s="235"/>
      <c r="F98" s="235"/>
      <c r="G98" s="235"/>
      <c r="H98" s="235"/>
      <c r="I98" s="235"/>
      <c r="J98" s="235"/>
      <c r="K98" s="235"/>
    </row>
    <row r="99" spans="1:11">
      <c r="A99" s="235"/>
      <c r="B99" s="235"/>
      <c r="C99" s="235"/>
      <c r="D99" s="235"/>
      <c r="E99" s="235"/>
      <c r="F99" s="235"/>
      <c r="G99" s="235"/>
      <c r="H99" s="235"/>
      <c r="I99" s="235"/>
      <c r="J99" s="235"/>
      <c r="K99" s="235"/>
    </row>
    <row r="100" spans="1:11">
      <c r="A100" s="668" t="s">
        <v>175</v>
      </c>
      <c r="B100" s="10"/>
      <c r="C100" s="10"/>
      <c r="D100" s="10"/>
      <c r="E100" s="10"/>
      <c r="F100" s="10"/>
      <c r="G100" s="10"/>
      <c r="H100" s="8"/>
      <c r="I100" s="8"/>
      <c r="J100" s="8"/>
      <c r="K100" s="8"/>
    </row>
    <row r="102" spans="1:11">
      <c r="A102" s="2">
        <f>A97+1</f>
        <v>57</v>
      </c>
      <c r="B102" t="s">
        <v>176</v>
      </c>
      <c r="I102" t="str">
        <f>"26-Tax Rates, Line "&amp;'26-TaxRates'!A7&amp;""</f>
        <v>26-Tax Rates, Line 1</v>
      </c>
      <c r="K102" s="7">
        <f>'26-TaxRates'!D7</f>
        <v>0.21</v>
      </c>
    </row>
    <row r="103" spans="1:11">
      <c r="A103" s="2">
        <f>A102+1</f>
        <v>58</v>
      </c>
      <c r="B103" s="235" t="s">
        <v>177</v>
      </c>
      <c r="I103" t="str">
        <f>"26-Tax Rates, Line "&amp;'26-TaxRates'!A14&amp;""</f>
        <v>26-Tax Rates, Line 8</v>
      </c>
      <c r="K103" s="7">
        <f>'26-TaxRates'!D14</f>
        <v>8.8400000000000006E-2</v>
      </c>
    </row>
    <row r="104" spans="1:11">
      <c r="A104" s="2">
        <f>A103+1</f>
        <v>59</v>
      </c>
      <c r="B104" s="235" t="s">
        <v>178</v>
      </c>
      <c r="H104" s="31" t="s">
        <v>179</v>
      </c>
      <c r="I104" s="235" t="str">
        <f>"(L"&amp;A102&amp;" + L"&amp;A103&amp;") - (L"&amp;A102&amp;" * L"&amp;A103&amp;")"</f>
        <v>(L57 + L58) - (L57 * L58)</v>
      </c>
      <c r="K104" s="7">
        <f>(K102+K103)-(K102*K103)</f>
        <v>0.27983599999999997</v>
      </c>
    </row>
    <row r="105" spans="1:11">
      <c r="A105" s="2"/>
      <c r="K105" s="7"/>
    </row>
    <row r="106" spans="1:11">
      <c r="A106" s="2"/>
      <c r="B106" s="28" t="s">
        <v>180</v>
      </c>
      <c r="K106" s="7"/>
    </row>
    <row r="107" spans="1:11">
      <c r="A107" s="2">
        <f>A104+1</f>
        <v>60</v>
      </c>
      <c r="B107" s="278" t="s">
        <v>181</v>
      </c>
      <c r="H107" s="235"/>
      <c r="I107" s="233" t="s">
        <v>182</v>
      </c>
      <c r="K107" s="6">
        <f>-'9-ADIT-2'!I49</f>
        <v>-2323330</v>
      </c>
    </row>
    <row r="108" spans="1:11">
      <c r="A108" s="2">
        <f>A107+1</f>
        <v>61</v>
      </c>
      <c r="B108" s="235" t="s">
        <v>2870</v>
      </c>
      <c r="C108" s="851"/>
      <c r="D108" s="851"/>
      <c r="E108" s="851"/>
      <c r="H108" s="235" t="s">
        <v>2893</v>
      </c>
      <c r="I108" s="242" t="s">
        <v>194</v>
      </c>
      <c r="K108" s="59">
        <v>0</v>
      </c>
    </row>
    <row r="109" spans="1:11">
      <c r="A109" s="2">
        <f t="shared" ref="A109:A110" si="3">A108+1</f>
        <v>62</v>
      </c>
      <c r="B109" s="235" t="s">
        <v>2871</v>
      </c>
      <c r="C109" s="851"/>
      <c r="D109" s="851"/>
      <c r="E109" s="851"/>
      <c r="G109" s="851"/>
      <c r="H109" s="851"/>
      <c r="I109" s="851"/>
      <c r="J109" s="851"/>
      <c r="K109" s="1039"/>
    </row>
    <row r="110" spans="1:11">
      <c r="A110" s="2">
        <f t="shared" si="3"/>
        <v>63</v>
      </c>
      <c r="B110" s="234" t="s">
        <v>184</v>
      </c>
      <c r="I110" s="235" t="s">
        <v>2885</v>
      </c>
      <c r="K110" s="6">
        <f>SUM(K107:K108)</f>
        <v>-2323330</v>
      </c>
    </row>
    <row r="111" spans="1:11">
      <c r="A111" s="611"/>
    </row>
    <row r="112" spans="1:11">
      <c r="A112" s="2">
        <f>A110+1</f>
        <v>64</v>
      </c>
      <c r="B112" s="235" t="s">
        <v>185</v>
      </c>
      <c r="I112" t="str">
        <f>"Formula on Line "&amp;A114&amp;""</f>
        <v>Formula on Line 65</v>
      </c>
      <c r="K112" s="6">
        <f>(((K34*K95) + K121)*(K104/(1-K104)))+(K110/(1-K104))</f>
        <v>147761355.99760267</v>
      </c>
    </row>
    <row r="113" spans="1:11">
      <c r="A113" s="2"/>
    </row>
    <row r="114" spans="1:11">
      <c r="A114" s="2">
        <f>A112+1</f>
        <v>65</v>
      </c>
      <c r="B114" s="235" t="s">
        <v>186</v>
      </c>
      <c r="C114" s="235"/>
      <c r="D114" s="235"/>
      <c r="E114" s="235"/>
      <c r="F114" s="235"/>
      <c r="G114" s="235"/>
    </row>
    <row r="115" spans="1:11">
      <c r="A115" s="37"/>
      <c r="I115" s="235"/>
    </row>
    <row r="116" spans="1:11">
      <c r="A116" s="37"/>
      <c r="C116" t="s">
        <v>187</v>
      </c>
    </row>
    <row r="117" spans="1:11">
      <c r="A117" s="37"/>
      <c r="C117" s="12" t="s">
        <v>188</v>
      </c>
      <c r="I117" s="235" t="str">
        <f>"Line "&amp;A34&amp;""</f>
        <v>Line 18</v>
      </c>
    </row>
    <row r="118" spans="1:11">
      <c r="A118" s="37"/>
      <c r="C118" s="234" t="s">
        <v>189</v>
      </c>
      <c r="I118" s="235" t="str">
        <f>"Line "&amp;A95&amp;""</f>
        <v>Line 55</v>
      </c>
    </row>
    <row r="119" spans="1:11">
      <c r="A119" s="37"/>
      <c r="C119" s="12" t="s">
        <v>190</v>
      </c>
      <c r="I119" s="235" t="str">
        <f>"Line "&amp;A104&amp;""</f>
        <v>Line 59</v>
      </c>
    </row>
    <row r="120" spans="1:11">
      <c r="A120" s="37"/>
      <c r="C120" s="12" t="s">
        <v>191</v>
      </c>
      <c r="I120" s="235" t="str">
        <f>"Line "&amp;A110&amp;""</f>
        <v>Line 63</v>
      </c>
    </row>
    <row r="121" spans="1:11">
      <c r="A121" s="37"/>
      <c r="C121" s="234" t="s">
        <v>192</v>
      </c>
      <c r="H121" s="233" t="s">
        <v>193</v>
      </c>
      <c r="I121" s="242" t="s">
        <v>194</v>
      </c>
      <c r="K121" s="255">
        <v>5139283</v>
      </c>
    </row>
    <row r="122" spans="1:11">
      <c r="H122" s="25"/>
    </row>
    <row r="123" spans="1:11">
      <c r="A123" s="668" t="s">
        <v>195</v>
      </c>
      <c r="B123" s="10"/>
      <c r="C123" s="10"/>
      <c r="D123" s="10"/>
      <c r="E123" s="10"/>
      <c r="F123" s="10"/>
      <c r="G123" s="10"/>
      <c r="H123" s="8"/>
      <c r="I123" s="8"/>
      <c r="J123" s="8"/>
      <c r="K123" s="8"/>
    </row>
    <row r="125" spans="1:11">
      <c r="B125" s="28" t="s">
        <v>196</v>
      </c>
    </row>
    <row r="126" spans="1:11">
      <c r="A126" s="2">
        <f>A114+1</f>
        <v>66</v>
      </c>
      <c r="B126" t="s">
        <v>197</v>
      </c>
      <c r="H126" s="12"/>
      <c r="I126" t="str">
        <f>"19-OandM, Line "&amp;'19-OandM'!A124&amp;", Col. 6"</f>
        <v>19-OandM, Line 91, Col. 6</v>
      </c>
      <c r="K126" s="6">
        <f>'19-OandM'!G124</f>
        <v>105996728.55320503</v>
      </c>
    </row>
    <row r="127" spans="1:11">
      <c r="A127" s="2">
        <f t="shared" ref="A127:A142" si="4">A126+1</f>
        <v>67</v>
      </c>
      <c r="B127" s="235" t="s">
        <v>198</v>
      </c>
      <c r="H127" s="12"/>
      <c r="I127" t="str">
        <f>"20-AandG, Line "&amp;'20-AandG'!A31&amp;""</f>
        <v>20-AandG, Line 23</v>
      </c>
      <c r="K127" s="6">
        <f>'20-AandG'!F31</f>
        <v>99746579.226885542</v>
      </c>
    </row>
    <row r="128" spans="1:11">
      <c r="A128" s="2">
        <f t="shared" si="4"/>
        <v>68</v>
      </c>
      <c r="B128" t="s">
        <v>199</v>
      </c>
      <c r="H128" s="12"/>
      <c r="I128" s="235" t="str">
        <f>"22-NUCs, Line "&amp;'22-NUCs'!A17&amp;""</f>
        <v>22-NUCs, Line 8</v>
      </c>
      <c r="K128" s="6">
        <f>'22-NUCs'!E17</f>
        <v>4204158.4508966263</v>
      </c>
    </row>
    <row r="129" spans="1:11">
      <c r="A129" s="2">
        <f t="shared" si="4"/>
        <v>69</v>
      </c>
      <c r="B129" s="235" t="s">
        <v>200</v>
      </c>
      <c r="H129" s="12"/>
      <c r="I129" t="str">
        <f>"17-Depreciation, Line "&amp;'17-Depreciation'!A94&amp;""</f>
        <v>17-Depreciation, Line 70</v>
      </c>
      <c r="K129" s="6">
        <f>'17-Depreciation'!F94</f>
        <v>322943232.29123127</v>
      </c>
    </row>
    <row r="130" spans="1:11">
      <c r="A130" s="2">
        <f t="shared" si="4"/>
        <v>70</v>
      </c>
      <c r="B130" s="235" t="s">
        <v>201</v>
      </c>
      <c r="H130" s="12"/>
      <c r="I130" t="str">
        <f>"12-AbandonedPlant, Line "&amp;'12-AbandonedPlant'!A18&amp;""</f>
        <v>12-AbandonedPlant, Line 1</v>
      </c>
      <c r="K130" s="6">
        <f>'12-AbandonedPlant'!G18</f>
        <v>0</v>
      </c>
    </row>
    <row r="131" spans="1:11">
      <c r="A131" s="2">
        <f t="shared" si="4"/>
        <v>71</v>
      </c>
      <c r="B131" s="235" t="s">
        <v>143</v>
      </c>
      <c r="H131" s="12"/>
      <c r="I131" t="str">
        <f>"Line "&amp;A58&amp;""</f>
        <v>Line 36</v>
      </c>
      <c r="K131" s="6">
        <f>K58</f>
        <v>91431839.489027277</v>
      </c>
    </row>
    <row r="132" spans="1:11">
      <c r="A132" s="2">
        <f t="shared" si="4"/>
        <v>72</v>
      </c>
      <c r="B132" t="s">
        <v>202</v>
      </c>
      <c r="H132" s="234" t="s">
        <v>115</v>
      </c>
      <c r="I132" t="str">
        <f>"21-Revenue Credits, Line "&amp;'21-RevenueCredits'!A272&amp;""</f>
        <v>21-Revenue Credits, Line 44</v>
      </c>
      <c r="K132" s="6">
        <f>-'21-RevenueCredits'!E272</f>
        <v>-58664880.791078113</v>
      </c>
    </row>
    <row r="133" spans="1:11">
      <c r="A133" s="2">
        <f t="shared" si="4"/>
        <v>73</v>
      </c>
      <c r="B133" t="s">
        <v>203</v>
      </c>
      <c r="H133" s="12"/>
      <c r="I133" t="str">
        <f>"Line "&amp;A97&amp;""</f>
        <v>Line 56</v>
      </c>
      <c r="K133" s="6">
        <f>K97</f>
        <v>532727146.3672455</v>
      </c>
    </row>
    <row r="134" spans="1:11">
      <c r="A134" s="2">
        <f t="shared" si="4"/>
        <v>74</v>
      </c>
      <c r="B134" t="s">
        <v>204</v>
      </c>
      <c r="H134" s="12"/>
      <c r="I134" t="str">
        <f>"Line "&amp;A112&amp;""</f>
        <v>Line 64</v>
      </c>
      <c r="K134" s="237">
        <f>K112</f>
        <v>147761355.99760267</v>
      </c>
    </row>
    <row r="135" spans="1:11">
      <c r="A135" s="2">
        <f t="shared" si="4"/>
        <v>75</v>
      </c>
      <c r="B135" t="s">
        <v>205</v>
      </c>
      <c r="H135" s="234" t="s">
        <v>206</v>
      </c>
      <c r="I135" s="235" t="str">
        <f>"11-PHFU, Line "&amp;'11-PHFU'!A47&amp;""</f>
        <v>11-PHFU, Line 10</v>
      </c>
      <c r="K135" s="237">
        <f>-'11-PHFU'!E47</f>
        <v>0</v>
      </c>
    </row>
    <row r="136" spans="1:11">
      <c r="A136" s="2">
        <f t="shared" si="4"/>
        <v>76</v>
      </c>
      <c r="B136" s="291" t="s">
        <v>207</v>
      </c>
      <c r="C136" s="291"/>
      <c r="H136" s="12"/>
      <c r="I136" s="235" t="str">
        <f>"23-RegAssets, Line "&amp;'23-RegAssets'!A19&amp;""</f>
        <v>23-RegAssets, Line 16</v>
      </c>
      <c r="K136" s="237">
        <f>'23-RegAssets'!E19</f>
        <v>0</v>
      </c>
    </row>
    <row r="137" spans="1:11">
      <c r="A137" s="2">
        <f t="shared" si="4"/>
        <v>77</v>
      </c>
      <c r="B137" s="235" t="s">
        <v>208</v>
      </c>
      <c r="H137" s="12"/>
      <c r="I137" t="str">
        <f>"15-IncentiveAdder, Line "&amp;'15-IncentiveAdder'!A44&amp;""</f>
        <v>15-IncentiveAdder, Line 14</v>
      </c>
      <c r="K137" s="237">
        <f>'15-IncentiveAdder'!G44</f>
        <v>23227679.730628852</v>
      </c>
    </row>
    <row r="138" spans="1:11">
      <c r="A138" s="2" t="s">
        <v>209</v>
      </c>
      <c r="B138" s="235" t="s">
        <v>210</v>
      </c>
      <c r="H138" s="234" t="s">
        <v>211</v>
      </c>
      <c r="I138" s="235" t="s">
        <v>212</v>
      </c>
      <c r="K138" s="53">
        <f>-K137</f>
        <v>-23227679.730628852</v>
      </c>
    </row>
    <row r="139" spans="1:11">
      <c r="A139" s="2">
        <f>A137+1</f>
        <v>78</v>
      </c>
      <c r="B139" s="235" t="s">
        <v>213</v>
      </c>
      <c r="H139" s="12"/>
      <c r="I139" t="str">
        <f>"Sum of Lines "&amp;A126&amp;" to "&amp;A138&amp;""</f>
        <v>Sum of Lines 66 to 77a</v>
      </c>
      <c r="K139" s="6">
        <f>SUM(K126:K138)</f>
        <v>1246146159.5850158</v>
      </c>
    </row>
    <row r="140" spans="1:11">
      <c r="A140" s="611"/>
      <c r="B140" s="235"/>
      <c r="H140" s="12"/>
      <c r="K140" s="6"/>
    </row>
    <row r="141" spans="1:11">
      <c r="A141" s="2">
        <f>A139+1</f>
        <v>79</v>
      </c>
      <c r="B141" s="235" t="s">
        <v>214</v>
      </c>
      <c r="I141" t="str">
        <f>"L "&amp;A139&amp;" * FF Factor (28-FFU, L "&amp;'28-FFU'!A22&amp;")"</f>
        <v>L 78 * FF Factor (28-FFU, L 5)</v>
      </c>
      <c r="K141" s="6">
        <f>'28-FFU'!D22*K139</f>
        <v>11669637.443681391</v>
      </c>
    </row>
    <row r="142" spans="1:11">
      <c r="A142" s="2">
        <f t="shared" si="4"/>
        <v>80</v>
      </c>
      <c r="B142" s="235" t="s">
        <v>215</v>
      </c>
      <c r="I142" t="str">
        <f>"L "&amp;A139&amp;" * U Factor (28-FFU, L "&amp;'28-FFU'!A22&amp;")"</f>
        <v>L 78 * U Factor (28-FFU, L 5)</v>
      </c>
      <c r="K142" s="6">
        <f>'28-FFU'!E22*K139</f>
        <v>9540317.2487935498</v>
      </c>
    </row>
    <row r="143" spans="1:11">
      <c r="A143" s="2"/>
      <c r="B143" s="235"/>
      <c r="K143" s="6"/>
    </row>
    <row r="144" spans="1:11">
      <c r="A144" s="2">
        <f>A142+1</f>
        <v>81</v>
      </c>
      <c r="B144" s="235" t="s">
        <v>80</v>
      </c>
      <c r="I144" t="str">
        <f>"Line "&amp;A139&amp;" + Line "&amp;A141&amp;"+ Line "&amp;A142&amp;""</f>
        <v>Line 78 + Line 79+ Line 80</v>
      </c>
      <c r="K144" s="6">
        <f>K139+K141+K142</f>
        <v>1267356114.2774909</v>
      </c>
    </row>
    <row r="146" spans="1:15">
      <c r="A146" s="9" t="s">
        <v>216</v>
      </c>
      <c r="B146" s="10"/>
      <c r="C146" s="10"/>
      <c r="D146" s="10"/>
      <c r="E146" s="10"/>
      <c r="F146" s="10"/>
      <c r="G146" s="10"/>
      <c r="H146" s="8"/>
      <c r="I146" s="8"/>
      <c r="J146" s="8"/>
      <c r="K146" s="8"/>
    </row>
    <row r="148" spans="1:15">
      <c r="B148" s="28" t="s">
        <v>217</v>
      </c>
    </row>
    <row r="149" spans="1:15">
      <c r="A149" s="2">
        <f>A144+1</f>
        <v>82</v>
      </c>
      <c r="B149" t="s">
        <v>80</v>
      </c>
      <c r="I149" t="str">
        <f>"Line "&amp;A144&amp;""</f>
        <v>Line 81</v>
      </c>
      <c r="K149" s="6">
        <f>K144</f>
        <v>1267356114.2774909</v>
      </c>
    </row>
    <row r="150" spans="1:15">
      <c r="A150" s="2">
        <f>A149+1</f>
        <v>83</v>
      </c>
      <c r="B150" t="s">
        <v>81</v>
      </c>
      <c r="I150" s="235" t="str">
        <f>"2-IFPTRR, Line "&amp;'2-IFPTRR'!A91&amp;""</f>
        <v>2-IFPTRR, Line 82</v>
      </c>
      <c r="K150" s="6">
        <f>'2-IFPTRR'!D91</f>
        <v>75241491.781287596</v>
      </c>
    </row>
    <row r="151" spans="1:15">
      <c r="A151" s="2">
        <f>A150+1</f>
        <v>84</v>
      </c>
      <c r="B151" s="235" t="s">
        <v>218</v>
      </c>
      <c r="H151" s="235"/>
      <c r="I151" s="235" t="str">
        <f>"3-TrueUpAdjust, Line "&amp;'3-TrueUpAdjust'!A44&amp;""</f>
        <v>3-TrueUpAdjust, Line 30</v>
      </c>
      <c r="K151" s="237">
        <f>'3-TrueUpAdjust'!E44</f>
        <v>13247389.778997291</v>
      </c>
      <c r="L151" s="56"/>
    </row>
    <row r="152" spans="1:15">
      <c r="A152" s="2" t="s">
        <v>219</v>
      </c>
      <c r="B152" s="235" t="s">
        <v>83</v>
      </c>
      <c r="C152" s="235"/>
      <c r="D152" s="235"/>
      <c r="E152" s="235"/>
      <c r="F152" s="593"/>
      <c r="G152" s="593"/>
      <c r="I152" s="233" t="str">
        <f>"Negative of 35-Other Formula Revenue, L "&amp;'35-Other Formula Revenue'!A113&amp;""</f>
        <v>Negative of 35-Other Formula Revenue, L 80</v>
      </c>
      <c r="J152" s="593"/>
      <c r="K152" s="237">
        <f>-'35-Other Formula Revenue'!D113</f>
        <v>-11497999.826668495</v>
      </c>
      <c r="L152" s="846"/>
    </row>
    <row r="153" spans="1:15">
      <c r="A153" s="2">
        <f>A151+1</f>
        <v>85</v>
      </c>
      <c r="B153" s="235" t="s">
        <v>84</v>
      </c>
      <c r="H153" s="235" t="s">
        <v>220</v>
      </c>
      <c r="K153" s="117"/>
      <c r="N153" s="6"/>
      <c r="O153" s="235"/>
    </row>
    <row r="154" spans="1:15">
      <c r="A154" s="2"/>
      <c r="K154" s="6"/>
      <c r="N154" s="53"/>
      <c r="O154" s="28"/>
    </row>
    <row r="155" spans="1:15">
      <c r="A155" s="2">
        <f>A153+1</f>
        <v>86</v>
      </c>
      <c r="B155" s="235" t="s">
        <v>221</v>
      </c>
      <c r="H155" s="235" t="s">
        <v>222</v>
      </c>
      <c r="I155" s="235" t="str">
        <f>"L "&amp;A149&amp;" + L "&amp;A150&amp;" + L "&amp;A151&amp;"+ L "&amp;A152&amp;" + L "&amp;A153&amp;""</f>
        <v>L 82 + L 83 + L 84+ L 84a + L 85</v>
      </c>
      <c r="K155" s="237">
        <f>K149+K150+K151+K152+K153</f>
        <v>1344346996.0111072</v>
      </c>
      <c r="L155" s="6"/>
      <c r="M155" s="6"/>
      <c r="N155" s="6"/>
    </row>
    <row r="156" spans="1:15">
      <c r="A156" s="2"/>
      <c r="K156" s="6"/>
      <c r="M156" s="6"/>
    </row>
    <row r="157" spans="1:15">
      <c r="A157" s="2"/>
      <c r="B157" s="28" t="s">
        <v>223</v>
      </c>
      <c r="K157" s="6"/>
      <c r="M157" s="6"/>
    </row>
    <row r="158" spans="1:15">
      <c r="A158" s="2">
        <f>A155+1</f>
        <v>87</v>
      </c>
      <c r="B158" t="s">
        <v>224</v>
      </c>
      <c r="I158" t="str">
        <f>"Line "&amp;A155&amp;""</f>
        <v>Line 86</v>
      </c>
      <c r="K158" s="6">
        <f>K155</f>
        <v>1344346996.0111072</v>
      </c>
      <c r="M158" s="6"/>
      <c r="N158" s="6"/>
      <c r="O158" s="235"/>
    </row>
    <row r="159" spans="1:15">
      <c r="A159" s="2">
        <f>A158+1</f>
        <v>88</v>
      </c>
      <c r="B159" t="s">
        <v>225</v>
      </c>
      <c r="I159" s="235" t="s">
        <v>2884</v>
      </c>
      <c r="K159" s="53">
        <f>'25-WholesaleDifference'!H24</f>
        <v>-12075039.860690203</v>
      </c>
      <c r="M159" s="6"/>
      <c r="N159" s="53"/>
      <c r="O159" s="28"/>
    </row>
    <row r="160" spans="1:15">
      <c r="A160" s="2">
        <f>A159+1</f>
        <v>89</v>
      </c>
      <c r="B160" t="s">
        <v>223</v>
      </c>
      <c r="I160" t="str">
        <f>"Line "&amp;A158&amp;" + Line "&amp;A159&amp;""</f>
        <v>Line 87 + Line 88</v>
      </c>
      <c r="K160" s="6">
        <f>K158+K159</f>
        <v>1332271956.1504171</v>
      </c>
      <c r="M160" s="6"/>
      <c r="N160" s="6"/>
    </row>
    <row r="161" spans="2:16">
      <c r="H161" s="235"/>
    </row>
    <row r="162" spans="2:16">
      <c r="B162" s="30" t="s">
        <v>226</v>
      </c>
    </row>
    <row r="163" spans="2:16">
      <c r="B163" s="235" t="s">
        <v>227</v>
      </c>
    </row>
    <row r="164" spans="2:16">
      <c r="B164" s="234" t="s">
        <v>228</v>
      </c>
    </row>
    <row r="165" spans="2:16">
      <c r="B165" s="235" t="s">
        <v>229</v>
      </c>
    </row>
    <row r="166" spans="2:16">
      <c r="B166" s="235" t="s">
        <v>230</v>
      </c>
    </row>
    <row r="167" spans="2:16">
      <c r="B167" s="235" t="s">
        <v>231</v>
      </c>
    </row>
    <row r="168" spans="2:16">
      <c r="B168" s="235"/>
      <c r="C168" t="s">
        <v>232</v>
      </c>
      <c r="F168" s="242" t="s">
        <v>233</v>
      </c>
      <c r="G168" s="54"/>
      <c r="H168" s="54"/>
      <c r="I168" s="54"/>
    </row>
    <row r="169" spans="2:16">
      <c r="B169" s="235" t="s">
        <v>2946</v>
      </c>
      <c r="C169" s="235"/>
      <c r="D169" s="235"/>
      <c r="E169" s="235"/>
      <c r="F169" s="235"/>
      <c r="G169" s="235"/>
      <c r="H169" s="235"/>
      <c r="N169" s="1"/>
    </row>
    <row r="170" spans="2:16">
      <c r="B170" s="235" t="s">
        <v>234</v>
      </c>
      <c r="K170" s="618"/>
    </row>
    <row r="171" spans="2:16">
      <c r="B171" s="235" t="s">
        <v>235</v>
      </c>
    </row>
    <row r="172" spans="2:16">
      <c r="B172" s="234" t="s">
        <v>236</v>
      </c>
    </row>
    <row r="173" spans="2:16">
      <c r="B173" s="278" t="s">
        <v>237</v>
      </c>
      <c r="C173" s="235"/>
      <c r="D173" s="235"/>
      <c r="E173" s="235"/>
      <c r="F173" s="235"/>
      <c r="G173" s="235"/>
      <c r="H173" s="235"/>
      <c r="I173" s="235"/>
      <c r="J173" s="235"/>
      <c r="K173" s="235"/>
      <c r="M173" s="235"/>
    </row>
    <row r="174" spans="2:16">
      <c r="B174" s="840"/>
      <c r="O174" s="6"/>
      <c r="P174" s="6"/>
    </row>
    <row r="175" spans="2:16">
      <c r="B175" s="278"/>
      <c r="C175" s="235"/>
      <c r="D175" s="235"/>
      <c r="E175" s="235"/>
      <c r="F175" s="2" t="s">
        <v>238</v>
      </c>
      <c r="G175" s="2" t="s">
        <v>239</v>
      </c>
      <c r="H175" s="235"/>
      <c r="I175" s="235"/>
      <c r="J175" s="235"/>
      <c r="K175" s="235"/>
      <c r="M175" s="235"/>
    </row>
    <row r="176" spans="2:16">
      <c r="B176" s="235"/>
      <c r="C176" s="235"/>
      <c r="D176" s="235"/>
      <c r="E176" s="235"/>
      <c r="F176" s="2" t="s">
        <v>240</v>
      </c>
      <c r="G176" s="2" t="s">
        <v>241</v>
      </c>
      <c r="H176" s="235"/>
      <c r="I176" s="235"/>
      <c r="J176" s="235"/>
      <c r="K176" s="235"/>
      <c r="M176" s="235"/>
      <c r="O176" s="56"/>
      <c r="P176" s="6"/>
    </row>
    <row r="177" spans="2:16">
      <c r="B177" s="30" t="s">
        <v>242</v>
      </c>
      <c r="C177" s="30"/>
      <c r="D177" s="30"/>
      <c r="E177" s="30"/>
      <c r="F177" s="3" t="s">
        <v>243</v>
      </c>
      <c r="G177" s="3" t="s">
        <v>79</v>
      </c>
      <c r="H177" s="3" t="s">
        <v>244</v>
      </c>
      <c r="I177" s="30" t="s">
        <v>245</v>
      </c>
      <c r="J177" s="235"/>
      <c r="K177" s="3" t="s">
        <v>246</v>
      </c>
      <c r="M177" s="3"/>
      <c r="O177" s="56"/>
    </row>
    <row r="178" spans="2:16">
      <c r="B178" s="278" t="s">
        <v>247</v>
      </c>
      <c r="C178" s="242" t="s">
        <v>2935</v>
      </c>
      <c r="D178" s="242"/>
      <c r="E178" s="242"/>
      <c r="F178" s="237">
        <f>'35-Other Formula Revenue'!G77</f>
        <v>7061803.2205522228</v>
      </c>
      <c r="G178" s="255">
        <f>5682150+2847776+306820748+163003748+0+571296+1712082+0+0</f>
        <v>480637800</v>
      </c>
      <c r="H178" s="924">
        <f>SUM(F178:G178)</f>
        <v>487699603.22055221</v>
      </c>
      <c r="I178" s="235" t="s">
        <v>125</v>
      </c>
      <c r="J178" s="235"/>
      <c r="K178" s="235" t="s">
        <v>250</v>
      </c>
      <c r="M178" s="235"/>
      <c r="O178" s="56"/>
    </row>
    <row r="179" spans="2:16">
      <c r="B179" s="278" t="s">
        <v>248</v>
      </c>
      <c r="C179" s="242" t="s">
        <v>2936</v>
      </c>
      <c r="D179" s="242"/>
      <c r="E179" s="242"/>
      <c r="F179" s="237">
        <f>'35-Other Formula Revenue'!G84</f>
        <v>40426.649625772043</v>
      </c>
      <c r="G179" s="533">
        <v>146336908</v>
      </c>
      <c r="H179" s="924">
        <f>SUM(F179:G179)</f>
        <v>146377334.64962578</v>
      </c>
      <c r="I179" s="278" t="s">
        <v>132</v>
      </c>
      <c r="J179" s="235"/>
      <c r="K179" s="235" t="s">
        <v>252</v>
      </c>
      <c r="M179" s="235"/>
      <c r="O179" s="56"/>
    </row>
    <row r="180" spans="2:16">
      <c r="B180" s="278" t="s">
        <v>249</v>
      </c>
      <c r="C180" s="242" t="s">
        <v>2937</v>
      </c>
      <c r="D180" s="242"/>
      <c r="E180" s="242"/>
      <c r="F180" s="237">
        <f>'35-Other Formula Revenue'!G85</f>
        <v>980.37999092465975</v>
      </c>
      <c r="G180" s="533">
        <v>430436</v>
      </c>
      <c r="H180" s="924">
        <f t="shared" ref="H180:H185" si="5">SUM(F180:G180)</f>
        <v>431416.37999092467</v>
      </c>
      <c r="I180" s="278" t="s">
        <v>133</v>
      </c>
      <c r="J180" s="235"/>
      <c r="K180" s="235" t="s">
        <v>254</v>
      </c>
      <c r="M180" s="235"/>
    </row>
    <row r="181" spans="2:16">
      <c r="B181" s="278" t="s">
        <v>251</v>
      </c>
      <c r="C181" s="242" t="s">
        <v>2938</v>
      </c>
      <c r="D181" s="242"/>
      <c r="E181" s="242"/>
      <c r="F181" s="237">
        <f>'35-Other Formula Revenue'!G86</f>
        <v>-26.754999752329983</v>
      </c>
      <c r="G181" s="533">
        <v>100666</v>
      </c>
      <c r="H181" s="924">
        <f t="shared" si="5"/>
        <v>100639.24500024767</v>
      </c>
      <c r="I181" s="278" t="s">
        <v>134</v>
      </c>
      <c r="J181" s="235"/>
      <c r="K181" s="235" t="s">
        <v>256</v>
      </c>
      <c r="M181" s="235"/>
      <c r="O181" s="56"/>
    </row>
    <row r="182" spans="2:16">
      <c r="B182" s="278" t="s">
        <v>253</v>
      </c>
      <c r="C182" s="242" t="s">
        <v>2939</v>
      </c>
      <c r="D182" s="242"/>
      <c r="E182" s="242"/>
      <c r="F182" s="237">
        <f>'35-Other Formula Revenue'!G87</f>
        <v>1454.0549865398682</v>
      </c>
      <c r="G182" s="533">
        <v>3541857</v>
      </c>
      <c r="H182" s="924">
        <f t="shared" si="5"/>
        <v>3543311.0549865398</v>
      </c>
      <c r="I182" s="278" t="s">
        <v>135</v>
      </c>
      <c r="J182" s="235"/>
      <c r="K182" s="235" t="s">
        <v>258</v>
      </c>
      <c r="M182" s="235"/>
      <c r="O182" s="56"/>
    </row>
    <row r="183" spans="2:16">
      <c r="B183" s="278" t="s">
        <v>255</v>
      </c>
      <c r="C183" s="242" t="s">
        <v>2940</v>
      </c>
      <c r="D183" s="242"/>
      <c r="E183" s="242"/>
      <c r="F183" s="237">
        <f>'35-Other Formula Revenue'!G88</f>
        <v>190.23999823895556</v>
      </c>
      <c r="G183" s="533">
        <v>1255868</v>
      </c>
      <c r="H183" s="924">
        <f t="shared" si="5"/>
        <v>1256058.2399982389</v>
      </c>
      <c r="I183" s="278" t="s">
        <v>136</v>
      </c>
      <c r="J183" s="235"/>
      <c r="K183" s="235" t="s">
        <v>260</v>
      </c>
      <c r="M183" s="235"/>
      <c r="P183" s="56"/>
    </row>
    <row r="184" spans="2:16">
      <c r="B184" s="278" t="s">
        <v>257</v>
      </c>
      <c r="C184" s="242" t="s">
        <v>2941</v>
      </c>
      <c r="D184" s="242"/>
      <c r="E184" s="242"/>
      <c r="F184" s="237">
        <f>'35-Other Formula Revenue'!G89</f>
        <v>790.3949926833435</v>
      </c>
      <c r="G184" s="533">
        <v>2032344</v>
      </c>
      <c r="H184" s="924">
        <f t="shared" si="5"/>
        <v>2033134.3949926833</v>
      </c>
      <c r="I184" s="278" t="s">
        <v>137</v>
      </c>
      <c r="J184" s="235"/>
      <c r="K184" s="235" t="s">
        <v>2894</v>
      </c>
      <c r="M184" s="235"/>
      <c r="P184" s="56"/>
    </row>
    <row r="185" spans="2:16">
      <c r="B185" s="278" t="s">
        <v>259</v>
      </c>
      <c r="C185" s="242" t="s">
        <v>2942</v>
      </c>
      <c r="D185" s="242"/>
      <c r="E185" s="242"/>
      <c r="F185" s="237">
        <f>'35-Other Formula Revenue'!G90</f>
        <v>8.7299999191867226</v>
      </c>
      <c r="G185" s="533">
        <v>41414</v>
      </c>
      <c r="H185" s="924">
        <f t="shared" si="5"/>
        <v>41422.729999919189</v>
      </c>
      <c r="I185" s="278" t="s">
        <v>138</v>
      </c>
      <c r="J185" s="235"/>
      <c r="K185" s="235" t="s">
        <v>2895</v>
      </c>
      <c r="M185" s="235"/>
      <c r="P185" s="56"/>
    </row>
    <row r="186" spans="2:16">
      <c r="K186" s="235"/>
      <c r="M186" s="235"/>
      <c r="P186" s="56"/>
    </row>
    <row r="187" spans="2:16">
      <c r="B187" s="996"/>
      <c r="C187" s="997"/>
      <c r="D187" s="997"/>
      <c r="E187" s="997"/>
      <c r="P187" s="56"/>
    </row>
    <row r="188" spans="2:16">
      <c r="B188" s="998"/>
      <c r="C188" s="997"/>
      <c r="D188" s="997"/>
      <c r="E188" s="997"/>
      <c r="P188" s="56"/>
    </row>
    <row r="189" spans="2:16">
      <c r="B189" s="998"/>
      <c r="C189" s="997"/>
      <c r="D189" s="997"/>
      <c r="E189" s="997"/>
      <c r="G189" s="56"/>
    </row>
    <row r="190" spans="2:16">
      <c r="B190" s="998"/>
      <c r="C190" s="997"/>
      <c r="D190" s="997"/>
      <c r="E190" s="997"/>
      <c r="G190" s="56"/>
      <c r="P190" s="56"/>
    </row>
    <row r="191" spans="2:16">
      <c r="B191" s="998"/>
      <c r="C191" s="997"/>
      <c r="D191" s="997"/>
      <c r="E191" s="997"/>
      <c r="G191" s="56"/>
    </row>
    <row r="192" spans="2:16">
      <c r="B192" s="234"/>
      <c r="G192" s="56"/>
    </row>
    <row r="193" spans="2:7">
      <c r="B193" s="234"/>
      <c r="G193" s="56"/>
    </row>
    <row r="194" spans="2:7">
      <c r="B194" s="234"/>
      <c r="G194" s="56"/>
    </row>
    <row r="195" spans="2:7">
      <c r="B195" s="234"/>
      <c r="G195" s="56"/>
    </row>
    <row r="196" spans="2:7">
      <c r="B196" s="234"/>
      <c r="G196" s="56"/>
    </row>
    <row r="197" spans="2:7">
      <c r="G197" s="56"/>
    </row>
    <row r="198" spans="2:7">
      <c r="G198" s="56"/>
    </row>
  </sheetData>
  <phoneticPr fontId="23" type="noConversion"/>
  <pageMargins left="0.7" right="0.7" top="0.75" bottom="0.75" header="0.3" footer="0.3"/>
  <pageSetup scale="50" fitToWidth="3" orientation="portrait" cellComments="asDisplayed" r:id="rId1"/>
  <headerFooter alignWithMargins="0">
    <oddHeader>&amp;CSchedule 1
Base TRR
&amp;RTO2025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zoomScaleNormal="100" workbookViewId="0"/>
  </sheetViews>
  <sheetFormatPr defaultRowHeight="12.75"/>
  <cols>
    <col min="1" max="1" width="4.5703125" customWidth="1"/>
    <col min="2" max="2" width="1.5703125" customWidth="1"/>
    <col min="3" max="3" width="46" customWidth="1"/>
    <col min="4" max="4" width="1.5703125" customWidth="1"/>
    <col min="5" max="5" width="34" customWidth="1"/>
    <col min="6" max="6" width="1.5703125" customWidth="1"/>
    <col min="7" max="7" width="16.5703125" customWidth="1"/>
    <col min="8" max="8" width="1.5703125" customWidth="1"/>
    <col min="9" max="9" width="16.5703125" customWidth="1"/>
    <col min="10" max="10" width="1.5703125" customWidth="1"/>
    <col min="11" max="11" width="16.5703125" customWidth="1"/>
    <col min="12" max="12" width="2.5703125" customWidth="1"/>
    <col min="13" max="13" width="35.42578125" bestFit="1" customWidth="1"/>
    <col min="14" max="14" width="20.42578125" customWidth="1"/>
    <col min="257" max="257" width="4.5703125" customWidth="1"/>
    <col min="258" max="258" width="1.5703125" customWidth="1"/>
    <col min="259" max="259" width="46" customWidth="1"/>
    <col min="260" max="260" width="1.5703125" customWidth="1"/>
    <col min="261" max="261" width="34" customWidth="1"/>
    <col min="262" max="262" width="1.5703125" customWidth="1"/>
    <col min="263" max="263" width="16" customWidth="1"/>
    <col min="264" max="264" width="1.5703125" customWidth="1"/>
    <col min="265" max="265" width="14" customWidth="1"/>
    <col min="266" max="266" width="1.5703125" customWidth="1"/>
    <col min="267" max="267" width="11.5703125" customWidth="1"/>
    <col min="268" max="268" width="2.5703125" customWidth="1"/>
    <col min="269" max="269" width="35.42578125" bestFit="1" customWidth="1"/>
    <col min="270" max="270" width="20.42578125" customWidth="1"/>
    <col min="513" max="513" width="4.5703125" customWidth="1"/>
    <col min="514" max="514" width="1.5703125" customWidth="1"/>
    <col min="515" max="515" width="46" customWidth="1"/>
    <col min="516" max="516" width="1.5703125" customWidth="1"/>
    <col min="517" max="517" width="34" customWidth="1"/>
    <col min="518" max="518" width="1.5703125" customWidth="1"/>
    <col min="519" max="519" width="16" customWidth="1"/>
    <col min="520" max="520" width="1.5703125" customWidth="1"/>
    <col min="521" max="521" width="14" customWidth="1"/>
    <col min="522" max="522" width="1.5703125" customWidth="1"/>
    <col min="523" max="523" width="11.5703125" customWidth="1"/>
    <col min="524" max="524" width="2.5703125" customWidth="1"/>
    <col min="525" max="525" width="35.42578125" bestFit="1" customWidth="1"/>
    <col min="526" max="526" width="20.42578125" customWidth="1"/>
    <col min="769" max="769" width="4.5703125" customWidth="1"/>
    <col min="770" max="770" width="1.5703125" customWidth="1"/>
    <col min="771" max="771" width="46" customWidth="1"/>
    <col min="772" max="772" width="1.5703125" customWidth="1"/>
    <col min="773" max="773" width="34" customWidth="1"/>
    <col min="774" max="774" width="1.5703125" customWidth="1"/>
    <col min="775" max="775" width="16" customWidth="1"/>
    <col min="776" max="776" width="1.5703125" customWidth="1"/>
    <col min="777" max="777" width="14" customWidth="1"/>
    <col min="778" max="778" width="1.5703125" customWidth="1"/>
    <col min="779" max="779" width="11.5703125" customWidth="1"/>
    <col min="780" max="780" width="2.5703125" customWidth="1"/>
    <col min="781" max="781" width="35.42578125" bestFit="1" customWidth="1"/>
    <col min="782" max="782" width="20.42578125" customWidth="1"/>
    <col min="1025" max="1025" width="4.5703125" customWidth="1"/>
    <col min="1026" max="1026" width="1.5703125" customWidth="1"/>
    <col min="1027" max="1027" width="46" customWidth="1"/>
    <col min="1028" max="1028" width="1.5703125" customWidth="1"/>
    <col min="1029" max="1029" width="34" customWidth="1"/>
    <col min="1030" max="1030" width="1.5703125" customWidth="1"/>
    <col min="1031" max="1031" width="16" customWidth="1"/>
    <col min="1032" max="1032" width="1.5703125" customWidth="1"/>
    <col min="1033" max="1033" width="14" customWidth="1"/>
    <col min="1034" max="1034" width="1.5703125" customWidth="1"/>
    <col min="1035" max="1035" width="11.5703125" customWidth="1"/>
    <col min="1036" max="1036" width="2.5703125" customWidth="1"/>
    <col min="1037" max="1037" width="35.42578125" bestFit="1" customWidth="1"/>
    <col min="1038" max="1038" width="20.42578125" customWidth="1"/>
    <col min="1281" max="1281" width="4.5703125" customWidth="1"/>
    <col min="1282" max="1282" width="1.5703125" customWidth="1"/>
    <col min="1283" max="1283" width="46" customWidth="1"/>
    <col min="1284" max="1284" width="1.5703125" customWidth="1"/>
    <col min="1285" max="1285" width="34" customWidth="1"/>
    <col min="1286" max="1286" width="1.5703125" customWidth="1"/>
    <col min="1287" max="1287" width="16" customWidth="1"/>
    <col min="1288" max="1288" width="1.5703125" customWidth="1"/>
    <col min="1289" max="1289" width="14" customWidth="1"/>
    <col min="1290" max="1290" width="1.5703125" customWidth="1"/>
    <col min="1291" max="1291" width="11.5703125" customWidth="1"/>
    <col min="1292" max="1292" width="2.5703125" customWidth="1"/>
    <col min="1293" max="1293" width="35.42578125" bestFit="1" customWidth="1"/>
    <col min="1294" max="1294" width="20.42578125" customWidth="1"/>
    <col min="1537" max="1537" width="4.5703125" customWidth="1"/>
    <col min="1538" max="1538" width="1.5703125" customWidth="1"/>
    <col min="1539" max="1539" width="46" customWidth="1"/>
    <col min="1540" max="1540" width="1.5703125" customWidth="1"/>
    <col min="1541" max="1541" width="34" customWidth="1"/>
    <col min="1542" max="1542" width="1.5703125" customWidth="1"/>
    <col min="1543" max="1543" width="16" customWidth="1"/>
    <col min="1544" max="1544" width="1.5703125" customWidth="1"/>
    <col min="1545" max="1545" width="14" customWidth="1"/>
    <col min="1546" max="1546" width="1.5703125" customWidth="1"/>
    <col min="1547" max="1547" width="11.5703125" customWidth="1"/>
    <col min="1548" max="1548" width="2.5703125" customWidth="1"/>
    <col min="1549" max="1549" width="35.42578125" bestFit="1" customWidth="1"/>
    <col min="1550" max="1550" width="20.42578125" customWidth="1"/>
    <col min="1793" max="1793" width="4.5703125" customWidth="1"/>
    <col min="1794" max="1794" width="1.5703125" customWidth="1"/>
    <col min="1795" max="1795" width="46" customWidth="1"/>
    <col min="1796" max="1796" width="1.5703125" customWidth="1"/>
    <col min="1797" max="1797" width="34" customWidth="1"/>
    <col min="1798" max="1798" width="1.5703125" customWidth="1"/>
    <col min="1799" max="1799" width="16" customWidth="1"/>
    <col min="1800" max="1800" width="1.5703125" customWidth="1"/>
    <col min="1801" max="1801" width="14" customWidth="1"/>
    <col min="1802" max="1802" width="1.5703125" customWidth="1"/>
    <col min="1803" max="1803" width="11.5703125" customWidth="1"/>
    <col min="1804" max="1804" width="2.5703125" customWidth="1"/>
    <col min="1805" max="1805" width="35.42578125" bestFit="1" customWidth="1"/>
    <col min="1806" max="1806" width="20.42578125" customWidth="1"/>
    <col min="2049" max="2049" width="4.5703125" customWidth="1"/>
    <col min="2050" max="2050" width="1.5703125" customWidth="1"/>
    <col min="2051" max="2051" width="46" customWidth="1"/>
    <col min="2052" max="2052" width="1.5703125" customWidth="1"/>
    <col min="2053" max="2053" width="34" customWidth="1"/>
    <col min="2054" max="2054" width="1.5703125" customWidth="1"/>
    <col min="2055" max="2055" width="16" customWidth="1"/>
    <col min="2056" max="2056" width="1.5703125" customWidth="1"/>
    <col min="2057" max="2057" width="14" customWidth="1"/>
    <col min="2058" max="2058" width="1.5703125" customWidth="1"/>
    <col min="2059" max="2059" width="11.5703125" customWidth="1"/>
    <col min="2060" max="2060" width="2.5703125" customWidth="1"/>
    <col min="2061" max="2061" width="35.42578125" bestFit="1" customWidth="1"/>
    <col min="2062" max="2062" width="20.42578125" customWidth="1"/>
    <col min="2305" max="2305" width="4.5703125" customWidth="1"/>
    <col min="2306" max="2306" width="1.5703125" customWidth="1"/>
    <col min="2307" max="2307" width="46" customWidth="1"/>
    <col min="2308" max="2308" width="1.5703125" customWidth="1"/>
    <col min="2309" max="2309" width="34" customWidth="1"/>
    <col min="2310" max="2310" width="1.5703125" customWidth="1"/>
    <col min="2311" max="2311" width="16" customWidth="1"/>
    <col min="2312" max="2312" width="1.5703125" customWidth="1"/>
    <col min="2313" max="2313" width="14" customWidth="1"/>
    <col min="2314" max="2314" width="1.5703125" customWidth="1"/>
    <col min="2315" max="2315" width="11.5703125" customWidth="1"/>
    <col min="2316" max="2316" width="2.5703125" customWidth="1"/>
    <col min="2317" max="2317" width="35.42578125" bestFit="1" customWidth="1"/>
    <col min="2318" max="2318" width="20.42578125" customWidth="1"/>
    <col min="2561" max="2561" width="4.5703125" customWidth="1"/>
    <col min="2562" max="2562" width="1.5703125" customWidth="1"/>
    <col min="2563" max="2563" width="46" customWidth="1"/>
    <col min="2564" max="2564" width="1.5703125" customWidth="1"/>
    <col min="2565" max="2565" width="34" customWidth="1"/>
    <col min="2566" max="2566" width="1.5703125" customWidth="1"/>
    <col min="2567" max="2567" width="16" customWidth="1"/>
    <col min="2568" max="2568" width="1.5703125" customWidth="1"/>
    <col min="2569" max="2569" width="14" customWidth="1"/>
    <col min="2570" max="2570" width="1.5703125" customWidth="1"/>
    <col min="2571" max="2571" width="11.5703125" customWidth="1"/>
    <col min="2572" max="2572" width="2.5703125" customWidth="1"/>
    <col min="2573" max="2573" width="35.42578125" bestFit="1" customWidth="1"/>
    <col min="2574" max="2574" width="20.42578125" customWidth="1"/>
    <col min="2817" max="2817" width="4.5703125" customWidth="1"/>
    <col min="2818" max="2818" width="1.5703125" customWidth="1"/>
    <col min="2819" max="2819" width="46" customWidth="1"/>
    <col min="2820" max="2820" width="1.5703125" customWidth="1"/>
    <col min="2821" max="2821" width="34" customWidth="1"/>
    <col min="2822" max="2822" width="1.5703125" customWidth="1"/>
    <col min="2823" max="2823" width="16" customWidth="1"/>
    <col min="2824" max="2824" width="1.5703125" customWidth="1"/>
    <col min="2825" max="2825" width="14" customWidth="1"/>
    <col min="2826" max="2826" width="1.5703125" customWidth="1"/>
    <col min="2827" max="2827" width="11.5703125" customWidth="1"/>
    <col min="2828" max="2828" width="2.5703125" customWidth="1"/>
    <col min="2829" max="2829" width="35.42578125" bestFit="1" customWidth="1"/>
    <col min="2830" max="2830" width="20.42578125" customWidth="1"/>
    <col min="3073" max="3073" width="4.5703125" customWidth="1"/>
    <col min="3074" max="3074" width="1.5703125" customWidth="1"/>
    <col min="3075" max="3075" width="46" customWidth="1"/>
    <col min="3076" max="3076" width="1.5703125" customWidth="1"/>
    <col min="3077" max="3077" width="34" customWidth="1"/>
    <col min="3078" max="3078" width="1.5703125" customWidth="1"/>
    <col min="3079" max="3079" width="16" customWidth="1"/>
    <col min="3080" max="3080" width="1.5703125" customWidth="1"/>
    <col min="3081" max="3081" width="14" customWidth="1"/>
    <col min="3082" max="3082" width="1.5703125" customWidth="1"/>
    <col min="3083" max="3083" width="11.5703125" customWidth="1"/>
    <col min="3084" max="3084" width="2.5703125" customWidth="1"/>
    <col min="3085" max="3085" width="35.42578125" bestFit="1" customWidth="1"/>
    <col min="3086" max="3086" width="20.42578125" customWidth="1"/>
    <col min="3329" max="3329" width="4.5703125" customWidth="1"/>
    <col min="3330" max="3330" width="1.5703125" customWidth="1"/>
    <col min="3331" max="3331" width="46" customWidth="1"/>
    <col min="3332" max="3332" width="1.5703125" customWidth="1"/>
    <col min="3333" max="3333" width="34" customWidth="1"/>
    <col min="3334" max="3334" width="1.5703125" customWidth="1"/>
    <col min="3335" max="3335" width="16" customWidth="1"/>
    <col min="3336" max="3336" width="1.5703125" customWidth="1"/>
    <col min="3337" max="3337" width="14" customWidth="1"/>
    <col min="3338" max="3338" width="1.5703125" customWidth="1"/>
    <col min="3339" max="3339" width="11.5703125" customWidth="1"/>
    <col min="3340" max="3340" width="2.5703125" customWidth="1"/>
    <col min="3341" max="3341" width="35.42578125" bestFit="1" customWidth="1"/>
    <col min="3342" max="3342" width="20.42578125" customWidth="1"/>
    <col min="3585" max="3585" width="4.5703125" customWidth="1"/>
    <col min="3586" max="3586" width="1.5703125" customWidth="1"/>
    <col min="3587" max="3587" width="46" customWidth="1"/>
    <col min="3588" max="3588" width="1.5703125" customWidth="1"/>
    <col min="3589" max="3589" width="34" customWidth="1"/>
    <col min="3590" max="3590" width="1.5703125" customWidth="1"/>
    <col min="3591" max="3591" width="16" customWidth="1"/>
    <col min="3592" max="3592" width="1.5703125" customWidth="1"/>
    <col min="3593" max="3593" width="14" customWidth="1"/>
    <col min="3594" max="3594" width="1.5703125" customWidth="1"/>
    <col min="3595" max="3595" width="11.5703125" customWidth="1"/>
    <col min="3596" max="3596" width="2.5703125" customWidth="1"/>
    <col min="3597" max="3597" width="35.42578125" bestFit="1" customWidth="1"/>
    <col min="3598" max="3598" width="20.42578125" customWidth="1"/>
    <col min="3841" max="3841" width="4.5703125" customWidth="1"/>
    <col min="3842" max="3842" width="1.5703125" customWidth="1"/>
    <col min="3843" max="3843" width="46" customWidth="1"/>
    <col min="3844" max="3844" width="1.5703125" customWidth="1"/>
    <col min="3845" max="3845" width="34" customWidth="1"/>
    <col min="3846" max="3846" width="1.5703125" customWidth="1"/>
    <col min="3847" max="3847" width="16" customWidth="1"/>
    <col min="3848" max="3848" width="1.5703125" customWidth="1"/>
    <col min="3849" max="3849" width="14" customWidth="1"/>
    <col min="3850" max="3850" width="1.5703125" customWidth="1"/>
    <col min="3851" max="3851" width="11.5703125" customWidth="1"/>
    <col min="3852" max="3852" width="2.5703125" customWidth="1"/>
    <col min="3853" max="3853" width="35.42578125" bestFit="1" customWidth="1"/>
    <col min="3854" max="3854" width="20.42578125" customWidth="1"/>
    <col min="4097" max="4097" width="4.5703125" customWidth="1"/>
    <col min="4098" max="4098" width="1.5703125" customWidth="1"/>
    <col min="4099" max="4099" width="46" customWidth="1"/>
    <col min="4100" max="4100" width="1.5703125" customWidth="1"/>
    <col min="4101" max="4101" width="34" customWidth="1"/>
    <col min="4102" max="4102" width="1.5703125" customWidth="1"/>
    <col min="4103" max="4103" width="16" customWidth="1"/>
    <col min="4104" max="4104" width="1.5703125" customWidth="1"/>
    <col min="4105" max="4105" width="14" customWidth="1"/>
    <col min="4106" max="4106" width="1.5703125" customWidth="1"/>
    <col min="4107" max="4107" width="11.5703125" customWidth="1"/>
    <col min="4108" max="4108" width="2.5703125" customWidth="1"/>
    <col min="4109" max="4109" width="35.42578125" bestFit="1" customWidth="1"/>
    <col min="4110" max="4110" width="20.42578125" customWidth="1"/>
    <col min="4353" max="4353" width="4.5703125" customWidth="1"/>
    <col min="4354" max="4354" width="1.5703125" customWidth="1"/>
    <col min="4355" max="4355" width="46" customWidth="1"/>
    <col min="4356" max="4356" width="1.5703125" customWidth="1"/>
    <col min="4357" max="4357" width="34" customWidth="1"/>
    <col min="4358" max="4358" width="1.5703125" customWidth="1"/>
    <col min="4359" max="4359" width="16" customWidth="1"/>
    <col min="4360" max="4360" width="1.5703125" customWidth="1"/>
    <col min="4361" max="4361" width="14" customWidth="1"/>
    <col min="4362" max="4362" width="1.5703125" customWidth="1"/>
    <col min="4363" max="4363" width="11.5703125" customWidth="1"/>
    <col min="4364" max="4364" width="2.5703125" customWidth="1"/>
    <col min="4365" max="4365" width="35.42578125" bestFit="1" customWidth="1"/>
    <col min="4366" max="4366" width="20.42578125" customWidth="1"/>
    <col min="4609" max="4609" width="4.5703125" customWidth="1"/>
    <col min="4610" max="4610" width="1.5703125" customWidth="1"/>
    <col min="4611" max="4611" width="46" customWidth="1"/>
    <col min="4612" max="4612" width="1.5703125" customWidth="1"/>
    <col min="4613" max="4613" width="34" customWidth="1"/>
    <col min="4614" max="4614" width="1.5703125" customWidth="1"/>
    <col min="4615" max="4615" width="16" customWidth="1"/>
    <col min="4616" max="4616" width="1.5703125" customWidth="1"/>
    <col min="4617" max="4617" width="14" customWidth="1"/>
    <col min="4618" max="4618" width="1.5703125" customWidth="1"/>
    <col min="4619" max="4619" width="11.5703125" customWidth="1"/>
    <col min="4620" max="4620" width="2.5703125" customWidth="1"/>
    <col min="4621" max="4621" width="35.42578125" bestFit="1" customWidth="1"/>
    <col min="4622" max="4622" width="20.42578125" customWidth="1"/>
    <col min="4865" max="4865" width="4.5703125" customWidth="1"/>
    <col min="4866" max="4866" width="1.5703125" customWidth="1"/>
    <col min="4867" max="4867" width="46" customWidth="1"/>
    <col min="4868" max="4868" width="1.5703125" customWidth="1"/>
    <col min="4869" max="4869" width="34" customWidth="1"/>
    <col min="4870" max="4870" width="1.5703125" customWidth="1"/>
    <col min="4871" max="4871" width="16" customWidth="1"/>
    <col min="4872" max="4872" width="1.5703125" customWidth="1"/>
    <col min="4873" max="4873" width="14" customWidth="1"/>
    <col min="4874" max="4874" width="1.5703125" customWidth="1"/>
    <col min="4875" max="4875" width="11.5703125" customWidth="1"/>
    <col min="4876" max="4876" width="2.5703125" customWidth="1"/>
    <col min="4877" max="4877" width="35.42578125" bestFit="1" customWidth="1"/>
    <col min="4878" max="4878" width="20.42578125" customWidth="1"/>
    <col min="5121" max="5121" width="4.5703125" customWidth="1"/>
    <col min="5122" max="5122" width="1.5703125" customWidth="1"/>
    <col min="5123" max="5123" width="46" customWidth="1"/>
    <col min="5124" max="5124" width="1.5703125" customWidth="1"/>
    <col min="5125" max="5125" width="34" customWidth="1"/>
    <col min="5126" max="5126" width="1.5703125" customWidth="1"/>
    <col min="5127" max="5127" width="16" customWidth="1"/>
    <col min="5128" max="5128" width="1.5703125" customWidth="1"/>
    <col min="5129" max="5129" width="14" customWidth="1"/>
    <col min="5130" max="5130" width="1.5703125" customWidth="1"/>
    <col min="5131" max="5131" width="11.5703125" customWidth="1"/>
    <col min="5132" max="5132" width="2.5703125" customWidth="1"/>
    <col min="5133" max="5133" width="35.42578125" bestFit="1" customWidth="1"/>
    <col min="5134" max="5134" width="20.42578125" customWidth="1"/>
    <col min="5377" max="5377" width="4.5703125" customWidth="1"/>
    <col min="5378" max="5378" width="1.5703125" customWidth="1"/>
    <col min="5379" max="5379" width="46" customWidth="1"/>
    <col min="5380" max="5380" width="1.5703125" customWidth="1"/>
    <col min="5381" max="5381" width="34" customWidth="1"/>
    <col min="5382" max="5382" width="1.5703125" customWidth="1"/>
    <col min="5383" max="5383" width="16" customWidth="1"/>
    <col min="5384" max="5384" width="1.5703125" customWidth="1"/>
    <col min="5385" max="5385" width="14" customWidth="1"/>
    <col min="5386" max="5386" width="1.5703125" customWidth="1"/>
    <col min="5387" max="5387" width="11.5703125" customWidth="1"/>
    <col min="5388" max="5388" width="2.5703125" customWidth="1"/>
    <col min="5389" max="5389" width="35.42578125" bestFit="1" customWidth="1"/>
    <col min="5390" max="5390" width="20.42578125" customWidth="1"/>
    <col min="5633" max="5633" width="4.5703125" customWidth="1"/>
    <col min="5634" max="5634" width="1.5703125" customWidth="1"/>
    <col min="5635" max="5635" width="46" customWidth="1"/>
    <col min="5636" max="5636" width="1.5703125" customWidth="1"/>
    <col min="5637" max="5637" width="34" customWidth="1"/>
    <col min="5638" max="5638" width="1.5703125" customWidth="1"/>
    <col min="5639" max="5639" width="16" customWidth="1"/>
    <col min="5640" max="5640" width="1.5703125" customWidth="1"/>
    <col min="5641" max="5641" width="14" customWidth="1"/>
    <col min="5642" max="5642" width="1.5703125" customWidth="1"/>
    <col min="5643" max="5643" width="11.5703125" customWidth="1"/>
    <col min="5644" max="5644" width="2.5703125" customWidth="1"/>
    <col min="5645" max="5645" width="35.42578125" bestFit="1" customWidth="1"/>
    <col min="5646" max="5646" width="20.42578125" customWidth="1"/>
    <col min="5889" max="5889" width="4.5703125" customWidth="1"/>
    <col min="5890" max="5890" width="1.5703125" customWidth="1"/>
    <col min="5891" max="5891" width="46" customWidth="1"/>
    <col min="5892" max="5892" width="1.5703125" customWidth="1"/>
    <col min="5893" max="5893" width="34" customWidth="1"/>
    <col min="5894" max="5894" width="1.5703125" customWidth="1"/>
    <col min="5895" max="5895" width="16" customWidth="1"/>
    <col min="5896" max="5896" width="1.5703125" customWidth="1"/>
    <col min="5897" max="5897" width="14" customWidth="1"/>
    <col min="5898" max="5898" width="1.5703125" customWidth="1"/>
    <col min="5899" max="5899" width="11.5703125" customWidth="1"/>
    <col min="5900" max="5900" width="2.5703125" customWidth="1"/>
    <col min="5901" max="5901" width="35.42578125" bestFit="1" customWidth="1"/>
    <col min="5902" max="5902" width="20.42578125" customWidth="1"/>
    <col min="6145" max="6145" width="4.5703125" customWidth="1"/>
    <col min="6146" max="6146" width="1.5703125" customWidth="1"/>
    <col min="6147" max="6147" width="46" customWidth="1"/>
    <col min="6148" max="6148" width="1.5703125" customWidth="1"/>
    <col min="6149" max="6149" width="34" customWidth="1"/>
    <col min="6150" max="6150" width="1.5703125" customWidth="1"/>
    <col min="6151" max="6151" width="16" customWidth="1"/>
    <col min="6152" max="6152" width="1.5703125" customWidth="1"/>
    <col min="6153" max="6153" width="14" customWidth="1"/>
    <col min="6154" max="6154" width="1.5703125" customWidth="1"/>
    <col min="6155" max="6155" width="11.5703125" customWidth="1"/>
    <col min="6156" max="6156" width="2.5703125" customWidth="1"/>
    <col min="6157" max="6157" width="35.42578125" bestFit="1" customWidth="1"/>
    <col min="6158" max="6158" width="20.42578125" customWidth="1"/>
    <col min="6401" max="6401" width="4.5703125" customWidth="1"/>
    <col min="6402" max="6402" width="1.5703125" customWidth="1"/>
    <col min="6403" max="6403" width="46" customWidth="1"/>
    <col min="6404" max="6404" width="1.5703125" customWidth="1"/>
    <col min="6405" max="6405" width="34" customWidth="1"/>
    <col min="6406" max="6406" width="1.5703125" customWidth="1"/>
    <col min="6407" max="6407" width="16" customWidth="1"/>
    <col min="6408" max="6408" width="1.5703125" customWidth="1"/>
    <col min="6409" max="6409" width="14" customWidth="1"/>
    <col min="6410" max="6410" width="1.5703125" customWidth="1"/>
    <col min="6411" max="6411" width="11.5703125" customWidth="1"/>
    <col min="6412" max="6412" width="2.5703125" customWidth="1"/>
    <col min="6413" max="6413" width="35.42578125" bestFit="1" customWidth="1"/>
    <col min="6414" max="6414" width="20.42578125" customWidth="1"/>
    <col min="6657" max="6657" width="4.5703125" customWidth="1"/>
    <col min="6658" max="6658" width="1.5703125" customWidth="1"/>
    <col min="6659" max="6659" width="46" customWidth="1"/>
    <col min="6660" max="6660" width="1.5703125" customWidth="1"/>
    <col min="6661" max="6661" width="34" customWidth="1"/>
    <col min="6662" max="6662" width="1.5703125" customWidth="1"/>
    <col min="6663" max="6663" width="16" customWidth="1"/>
    <col min="6664" max="6664" width="1.5703125" customWidth="1"/>
    <col min="6665" max="6665" width="14" customWidth="1"/>
    <col min="6666" max="6666" width="1.5703125" customWidth="1"/>
    <col min="6667" max="6667" width="11.5703125" customWidth="1"/>
    <col min="6668" max="6668" width="2.5703125" customWidth="1"/>
    <col min="6669" max="6669" width="35.42578125" bestFit="1" customWidth="1"/>
    <col min="6670" max="6670" width="20.42578125" customWidth="1"/>
    <col min="6913" max="6913" width="4.5703125" customWidth="1"/>
    <col min="6914" max="6914" width="1.5703125" customWidth="1"/>
    <col min="6915" max="6915" width="46" customWidth="1"/>
    <col min="6916" max="6916" width="1.5703125" customWidth="1"/>
    <col min="6917" max="6917" width="34" customWidth="1"/>
    <col min="6918" max="6918" width="1.5703125" customWidth="1"/>
    <col min="6919" max="6919" width="16" customWidth="1"/>
    <col min="6920" max="6920" width="1.5703125" customWidth="1"/>
    <col min="6921" max="6921" width="14" customWidth="1"/>
    <col min="6922" max="6922" width="1.5703125" customWidth="1"/>
    <col min="6923" max="6923" width="11.5703125" customWidth="1"/>
    <col min="6924" max="6924" width="2.5703125" customWidth="1"/>
    <col min="6925" max="6925" width="35.42578125" bestFit="1" customWidth="1"/>
    <col min="6926" max="6926" width="20.42578125" customWidth="1"/>
    <col min="7169" max="7169" width="4.5703125" customWidth="1"/>
    <col min="7170" max="7170" width="1.5703125" customWidth="1"/>
    <col min="7171" max="7171" width="46" customWidth="1"/>
    <col min="7172" max="7172" width="1.5703125" customWidth="1"/>
    <col min="7173" max="7173" width="34" customWidth="1"/>
    <col min="7174" max="7174" width="1.5703125" customWidth="1"/>
    <col min="7175" max="7175" width="16" customWidth="1"/>
    <col min="7176" max="7176" width="1.5703125" customWidth="1"/>
    <col min="7177" max="7177" width="14" customWidth="1"/>
    <col min="7178" max="7178" width="1.5703125" customWidth="1"/>
    <col min="7179" max="7179" width="11.5703125" customWidth="1"/>
    <col min="7180" max="7180" width="2.5703125" customWidth="1"/>
    <col min="7181" max="7181" width="35.42578125" bestFit="1" customWidth="1"/>
    <col min="7182" max="7182" width="20.42578125" customWidth="1"/>
    <col min="7425" max="7425" width="4.5703125" customWidth="1"/>
    <col min="7426" max="7426" width="1.5703125" customWidth="1"/>
    <col min="7427" max="7427" width="46" customWidth="1"/>
    <col min="7428" max="7428" width="1.5703125" customWidth="1"/>
    <col min="7429" max="7429" width="34" customWidth="1"/>
    <col min="7430" max="7430" width="1.5703125" customWidth="1"/>
    <col min="7431" max="7431" width="16" customWidth="1"/>
    <col min="7432" max="7432" width="1.5703125" customWidth="1"/>
    <col min="7433" max="7433" width="14" customWidth="1"/>
    <col min="7434" max="7434" width="1.5703125" customWidth="1"/>
    <col min="7435" max="7435" width="11.5703125" customWidth="1"/>
    <col min="7436" max="7436" width="2.5703125" customWidth="1"/>
    <col min="7437" max="7437" width="35.42578125" bestFit="1" customWidth="1"/>
    <col min="7438" max="7438" width="20.42578125" customWidth="1"/>
    <col min="7681" max="7681" width="4.5703125" customWidth="1"/>
    <col min="7682" max="7682" width="1.5703125" customWidth="1"/>
    <col min="7683" max="7683" width="46" customWidth="1"/>
    <col min="7684" max="7684" width="1.5703125" customWidth="1"/>
    <col min="7685" max="7685" width="34" customWidth="1"/>
    <col min="7686" max="7686" width="1.5703125" customWidth="1"/>
    <col min="7687" max="7687" width="16" customWidth="1"/>
    <col min="7688" max="7688" width="1.5703125" customWidth="1"/>
    <col min="7689" max="7689" width="14" customWidth="1"/>
    <col min="7690" max="7690" width="1.5703125" customWidth="1"/>
    <col min="7691" max="7691" width="11.5703125" customWidth="1"/>
    <col min="7692" max="7692" width="2.5703125" customWidth="1"/>
    <col min="7693" max="7693" width="35.42578125" bestFit="1" customWidth="1"/>
    <col min="7694" max="7694" width="20.42578125" customWidth="1"/>
    <col min="7937" max="7937" width="4.5703125" customWidth="1"/>
    <col min="7938" max="7938" width="1.5703125" customWidth="1"/>
    <col min="7939" max="7939" width="46" customWidth="1"/>
    <col min="7940" max="7940" width="1.5703125" customWidth="1"/>
    <col min="7941" max="7941" width="34" customWidth="1"/>
    <col min="7942" max="7942" width="1.5703125" customWidth="1"/>
    <col min="7943" max="7943" width="16" customWidth="1"/>
    <col min="7944" max="7944" width="1.5703125" customWidth="1"/>
    <col min="7945" max="7945" width="14" customWidth="1"/>
    <col min="7946" max="7946" width="1.5703125" customWidth="1"/>
    <col min="7947" max="7947" width="11.5703125" customWidth="1"/>
    <col min="7948" max="7948" width="2.5703125" customWidth="1"/>
    <col min="7949" max="7949" width="35.42578125" bestFit="1" customWidth="1"/>
    <col min="7950" max="7950" width="20.42578125" customWidth="1"/>
    <col min="8193" max="8193" width="4.5703125" customWidth="1"/>
    <col min="8194" max="8194" width="1.5703125" customWidth="1"/>
    <col min="8195" max="8195" width="46" customWidth="1"/>
    <col min="8196" max="8196" width="1.5703125" customWidth="1"/>
    <col min="8197" max="8197" width="34" customWidth="1"/>
    <col min="8198" max="8198" width="1.5703125" customWidth="1"/>
    <col min="8199" max="8199" width="16" customWidth="1"/>
    <col min="8200" max="8200" width="1.5703125" customWidth="1"/>
    <col min="8201" max="8201" width="14" customWidth="1"/>
    <col min="8202" max="8202" width="1.5703125" customWidth="1"/>
    <col min="8203" max="8203" width="11.5703125" customWidth="1"/>
    <col min="8204" max="8204" width="2.5703125" customWidth="1"/>
    <col min="8205" max="8205" width="35.42578125" bestFit="1" customWidth="1"/>
    <col min="8206" max="8206" width="20.42578125" customWidth="1"/>
    <col min="8449" max="8449" width="4.5703125" customWidth="1"/>
    <col min="8450" max="8450" width="1.5703125" customWidth="1"/>
    <col min="8451" max="8451" width="46" customWidth="1"/>
    <col min="8452" max="8452" width="1.5703125" customWidth="1"/>
    <col min="8453" max="8453" width="34" customWidth="1"/>
    <col min="8454" max="8454" width="1.5703125" customWidth="1"/>
    <col min="8455" max="8455" width="16" customWidth="1"/>
    <col min="8456" max="8456" width="1.5703125" customWidth="1"/>
    <col min="8457" max="8457" width="14" customWidth="1"/>
    <col min="8458" max="8458" width="1.5703125" customWidth="1"/>
    <col min="8459" max="8459" width="11.5703125" customWidth="1"/>
    <col min="8460" max="8460" width="2.5703125" customWidth="1"/>
    <col min="8461" max="8461" width="35.42578125" bestFit="1" customWidth="1"/>
    <col min="8462" max="8462" width="20.42578125" customWidth="1"/>
    <col min="8705" max="8705" width="4.5703125" customWidth="1"/>
    <col min="8706" max="8706" width="1.5703125" customWidth="1"/>
    <col min="8707" max="8707" width="46" customWidth="1"/>
    <col min="8708" max="8708" width="1.5703125" customWidth="1"/>
    <col min="8709" max="8709" width="34" customWidth="1"/>
    <col min="8710" max="8710" width="1.5703125" customWidth="1"/>
    <col min="8711" max="8711" width="16" customWidth="1"/>
    <col min="8712" max="8712" width="1.5703125" customWidth="1"/>
    <col min="8713" max="8713" width="14" customWidth="1"/>
    <col min="8714" max="8714" width="1.5703125" customWidth="1"/>
    <col min="8715" max="8715" width="11.5703125" customWidth="1"/>
    <col min="8716" max="8716" width="2.5703125" customWidth="1"/>
    <col min="8717" max="8717" width="35.42578125" bestFit="1" customWidth="1"/>
    <col min="8718" max="8718" width="20.42578125" customWidth="1"/>
    <col min="8961" max="8961" width="4.5703125" customWidth="1"/>
    <col min="8962" max="8962" width="1.5703125" customWidth="1"/>
    <col min="8963" max="8963" width="46" customWidth="1"/>
    <col min="8964" max="8964" width="1.5703125" customWidth="1"/>
    <col min="8965" max="8965" width="34" customWidth="1"/>
    <col min="8966" max="8966" width="1.5703125" customWidth="1"/>
    <col min="8967" max="8967" width="16" customWidth="1"/>
    <col min="8968" max="8968" width="1.5703125" customWidth="1"/>
    <col min="8969" max="8969" width="14" customWidth="1"/>
    <col min="8970" max="8970" width="1.5703125" customWidth="1"/>
    <col min="8971" max="8971" width="11.5703125" customWidth="1"/>
    <col min="8972" max="8972" width="2.5703125" customWidth="1"/>
    <col min="8973" max="8973" width="35.42578125" bestFit="1" customWidth="1"/>
    <col min="8974" max="8974" width="20.42578125" customWidth="1"/>
    <col min="9217" max="9217" width="4.5703125" customWidth="1"/>
    <col min="9218" max="9218" width="1.5703125" customWidth="1"/>
    <col min="9219" max="9219" width="46" customWidth="1"/>
    <col min="9220" max="9220" width="1.5703125" customWidth="1"/>
    <col min="9221" max="9221" width="34" customWidth="1"/>
    <col min="9222" max="9222" width="1.5703125" customWidth="1"/>
    <col min="9223" max="9223" width="16" customWidth="1"/>
    <col min="9224" max="9224" width="1.5703125" customWidth="1"/>
    <col min="9225" max="9225" width="14" customWidth="1"/>
    <col min="9226" max="9226" width="1.5703125" customWidth="1"/>
    <col min="9227" max="9227" width="11.5703125" customWidth="1"/>
    <col min="9228" max="9228" width="2.5703125" customWidth="1"/>
    <col min="9229" max="9229" width="35.42578125" bestFit="1" customWidth="1"/>
    <col min="9230" max="9230" width="20.42578125" customWidth="1"/>
    <col min="9473" max="9473" width="4.5703125" customWidth="1"/>
    <col min="9474" max="9474" width="1.5703125" customWidth="1"/>
    <col min="9475" max="9475" width="46" customWidth="1"/>
    <col min="9476" max="9476" width="1.5703125" customWidth="1"/>
    <col min="9477" max="9477" width="34" customWidth="1"/>
    <col min="9478" max="9478" width="1.5703125" customWidth="1"/>
    <col min="9479" max="9479" width="16" customWidth="1"/>
    <col min="9480" max="9480" width="1.5703125" customWidth="1"/>
    <col min="9481" max="9481" width="14" customWidth="1"/>
    <col min="9482" max="9482" width="1.5703125" customWidth="1"/>
    <col min="9483" max="9483" width="11.5703125" customWidth="1"/>
    <col min="9484" max="9484" width="2.5703125" customWidth="1"/>
    <col min="9485" max="9485" width="35.42578125" bestFit="1" customWidth="1"/>
    <col min="9486" max="9486" width="20.42578125" customWidth="1"/>
    <col min="9729" max="9729" width="4.5703125" customWidth="1"/>
    <col min="9730" max="9730" width="1.5703125" customWidth="1"/>
    <col min="9731" max="9731" width="46" customWidth="1"/>
    <col min="9732" max="9732" width="1.5703125" customWidth="1"/>
    <col min="9733" max="9733" width="34" customWidth="1"/>
    <col min="9734" max="9734" width="1.5703125" customWidth="1"/>
    <col min="9735" max="9735" width="16" customWidth="1"/>
    <col min="9736" max="9736" width="1.5703125" customWidth="1"/>
    <col min="9737" max="9737" width="14" customWidth="1"/>
    <col min="9738" max="9738" width="1.5703125" customWidth="1"/>
    <col min="9739" max="9739" width="11.5703125" customWidth="1"/>
    <col min="9740" max="9740" width="2.5703125" customWidth="1"/>
    <col min="9741" max="9741" width="35.42578125" bestFit="1" customWidth="1"/>
    <col min="9742" max="9742" width="20.42578125" customWidth="1"/>
    <col min="9985" max="9985" width="4.5703125" customWidth="1"/>
    <col min="9986" max="9986" width="1.5703125" customWidth="1"/>
    <col min="9987" max="9987" width="46" customWidth="1"/>
    <col min="9988" max="9988" width="1.5703125" customWidth="1"/>
    <col min="9989" max="9989" width="34" customWidth="1"/>
    <col min="9990" max="9990" width="1.5703125" customWidth="1"/>
    <col min="9991" max="9991" width="16" customWidth="1"/>
    <col min="9992" max="9992" width="1.5703125" customWidth="1"/>
    <col min="9993" max="9993" width="14" customWidth="1"/>
    <col min="9994" max="9994" width="1.5703125" customWidth="1"/>
    <col min="9995" max="9995" width="11.5703125" customWidth="1"/>
    <col min="9996" max="9996" width="2.5703125" customWidth="1"/>
    <col min="9997" max="9997" width="35.42578125" bestFit="1" customWidth="1"/>
    <col min="9998" max="9998" width="20.42578125" customWidth="1"/>
    <col min="10241" max="10241" width="4.5703125" customWidth="1"/>
    <col min="10242" max="10242" width="1.5703125" customWidth="1"/>
    <col min="10243" max="10243" width="46" customWidth="1"/>
    <col min="10244" max="10244" width="1.5703125" customWidth="1"/>
    <col min="10245" max="10245" width="34" customWidth="1"/>
    <col min="10246" max="10246" width="1.5703125" customWidth="1"/>
    <col min="10247" max="10247" width="16" customWidth="1"/>
    <col min="10248" max="10248" width="1.5703125" customWidth="1"/>
    <col min="10249" max="10249" width="14" customWidth="1"/>
    <col min="10250" max="10250" width="1.5703125" customWidth="1"/>
    <col min="10251" max="10251" width="11.5703125" customWidth="1"/>
    <col min="10252" max="10252" width="2.5703125" customWidth="1"/>
    <col min="10253" max="10253" width="35.42578125" bestFit="1" customWidth="1"/>
    <col min="10254" max="10254" width="20.42578125" customWidth="1"/>
    <col min="10497" max="10497" width="4.5703125" customWidth="1"/>
    <col min="10498" max="10498" width="1.5703125" customWidth="1"/>
    <col min="10499" max="10499" width="46" customWidth="1"/>
    <col min="10500" max="10500" width="1.5703125" customWidth="1"/>
    <col min="10501" max="10501" width="34" customWidth="1"/>
    <col min="10502" max="10502" width="1.5703125" customWidth="1"/>
    <col min="10503" max="10503" width="16" customWidth="1"/>
    <col min="10504" max="10504" width="1.5703125" customWidth="1"/>
    <col min="10505" max="10505" width="14" customWidth="1"/>
    <col min="10506" max="10506" width="1.5703125" customWidth="1"/>
    <col min="10507" max="10507" width="11.5703125" customWidth="1"/>
    <col min="10508" max="10508" width="2.5703125" customWidth="1"/>
    <col min="10509" max="10509" width="35.42578125" bestFit="1" customWidth="1"/>
    <col min="10510" max="10510" width="20.42578125" customWidth="1"/>
    <col min="10753" max="10753" width="4.5703125" customWidth="1"/>
    <col min="10754" max="10754" width="1.5703125" customWidth="1"/>
    <col min="10755" max="10755" width="46" customWidth="1"/>
    <col min="10756" max="10756" width="1.5703125" customWidth="1"/>
    <col min="10757" max="10757" width="34" customWidth="1"/>
    <col min="10758" max="10758" width="1.5703125" customWidth="1"/>
    <col min="10759" max="10759" width="16" customWidth="1"/>
    <col min="10760" max="10760" width="1.5703125" customWidth="1"/>
    <col min="10761" max="10761" width="14" customWidth="1"/>
    <col min="10762" max="10762" width="1.5703125" customWidth="1"/>
    <col min="10763" max="10763" width="11.5703125" customWidth="1"/>
    <col min="10764" max="10764" width="2.5703125" customWidth="1"/>
    <col min="10765" max="10765" width="35.42578125" bestFit="1" customWidth="1"/>
    <col min="10766" max="10766" width="20.42578125" customWidth="1"/>
    <col min="11009" max="11009" width="4.5703125" customWidth="1"/>
    <col min="11010" max="11010" width="1.5703125" customWidth="1"/>
    <col min="11011" max="11011" width="46" customWidth="1"/>
    <col min="11012" max="11012" width="1.5703125" customWidth="1"/>
    <col min="11013" max="11013" width="34" customWidth="1"/>
    <col min="11014" max="11014" width="1.5703125" customWidth="1"/>
    <col min="11015" max="11015" width="16" customWidth="1"/>
    <col min="11016" max="11016" width="1.5703125" customWidth="1"/>
    <col min="11017" max="11017" width="14" customWidth="1"/>
    <col min="11018" max="11018" width="1.5703125" customWidth="1"/>
    <col min="11019" max="11019" width="11.5703125" customWidth="1"/>
    <col min="11020" max="11020" width="2.5703125" customWidth="1"/>
    <col min="11021" max="11021" width="35.42578125" bestFit="1" customWidth="1"/>
    <col min="11022" max="11022" width="20.42578125" customWidth="1"/>
    <col min="11265" max="11265" width="4.5703125" customWidth="1"/>
    <col min="11266" max="11266" width="1.5703125" customWidth="1"/>
    <col min="11267" max="11267" width="46" customWidth="1"/>
    <col min="11268" max="11268" width="1.5703125" customWidth="1"/>
    <col min="11269" max="11269" width="34" customWidth="1"/>
    <col min="11270" max="11270" width="1.5703125" customWidth="1"/>
    <col min="11271" max="11271" width="16" customWidth="1"/>
    <col min="11272" max="11272" width="1.5703125" customWidth="1"/>
    <col min="11273" max="11273" width="14" customWidth="1"/>
    <col min="11274" max="11274" width="1.5703125" customWidth="1"/>
    <col min="11275" max="11275" width="11.5703125" customWidth="1"/>
    <col min="11276" max="11276" width="2.5703125" customWidth="1"/>
    <col min="11277" max="11277" width="35.42578125" bestFit="1" customWidth="1"/>
    <col min="11278" max="11278" width="20.42578125" customWidth="1"/>
    <col min="11521" max="11521" width="4.5703125" customWidth="1"/>
    <col min="11522" max="11522" width="1.5703125" customWidth="1"/>
    <col min="11523" max="11523" width="46" customWidth="1"/>
    <col min="11524" max="11524" width="1.5703125" customWidth="1"/>
    <col min="11525" max="11525" width="34" customWidth="1"/>
    <col min="11526" max="11526" width="1.5703125" customWidth="1"/>
    <col min="11527" max="11527" width="16" customWidth="1"/>
    <col min="11528" max="11528" width="1.5703125" customWidth="1"/>
    <col min="11529" max="11529" width="14" customWidth="1"/>
    <col min="11530" max="11530" width="1.5703125" customWidth="1"/>
    <col min="11531" max="11531" width="11.5703125" customWidth="1"/>
    <col min="11532" max="11532" width="2.5703125" customWidth="1"/>
    <col min="11533" max="11533" width="35.42578125" bestFit="1" customWidth="1"/>
    <col min="11534" max="11534" width="20.42578125" customWidth="1"/>
    <col min="11777" max="11777" width="4.5703125" customWidth="1"/>
    <col min="11778" max="11778" width="1.5703125" customWidth="1"/>
    <col min="11779" max="11779" width="46" customWidth="1"/>
    <col min="11780" max="11780" width="1.5703125" customWidth="1"/>
    <col min="11781" max="11781" width="34" customWidth="1"/>
    <col min="11782" max="11782" width="1.5703125" customWidth="1"/>
    <col min="11783" max="11783" width="16" customWidth="1"/>
    <col min="11784" max="11784" width="1.5703125" customWidth="1"/>
    <col min="11785" max="11785" width="14" customWidth="1"/>
    <col min="11786" max="11786" width="1.5703125" customWidth="1"/>
    <col min="11787" max="11787" width="11.5703125" customWidth="1"/>
    <col min="11788" max="11788" width="2.5703125" customWidth="1"/>
    <col min="11789" max="11789" width="35.42578125" bestFit="1" customWidth="1"/>
    <col min="11790" max="11790" width="20.42578125" customWidth="1"/>
    <col min="12033" max="12033" width="4.5703125" customWidth="1"/>
    <col min="12034" max="12034" width="1.5703125" customWidth="1"/>
    <col min="12035" max="12035" width="46" customWidth="1"/>
    <col min="12036" max="12036" width="1.5703125" customWidth="1"/>
    <col min="12037" max="12037" width="34" customWidth="1"/>
    <col min="12038" max="12038" width="1.5703125" customWidth="1"/>
    <col min="12039" max="12039" width="16" customWidth="1"/>
    <col min="12040" max="12040" width="1.5703125" customWidth="1"/>
    <col min="12041" max="12041" width="14" customWidth="1"/>
    <col min="12042" max="12042" width="1.5703125" customWidth="1"/>
    <col min="12043" max="12043" width="11.5703125" customWidth="1"/>
    <col min="12044" max="12044" width="2.5703125" customWidth="1"/>
    <col min="12045" max="12045" width="35.42578125" bestFit="1" customWidth="1"/>
    <col min="12046" max="12046" width="20.42578125" customWidth="1"/>
    <col min="12289" max="12289" width="4.5703125" customWidth="1"/>
    <col min="12290" max="12290" width="1.5703125" customWidth="1"/>
    <col min="12291" max="12291" width="46" customWidth="1"/>
    <col min="12292" max="12292" width="1.5703125" customWidth="1"/>
    <col min="12293" max="12293" width="34" customWidth="1"/>
    <col min="12294" max="12294" width="1.5703125" customWidth="1"/>
    <col min="12295" max="12295" width="16" customWidth="1"/>
    <col min="12296" max="12296" width="1.5703125" customWidth="1"/>
    <col min="12297" max="12297" width="14" customWidth="1"/>
    <col min="12298" max="12298" width="1.5703125" customWidth="1"/>
    <col min="12299" max="12299" width="11.5703125" customWidth="1"/>
    <col min="12300" max="12300" width="2.5703125" customWidth="1"/>
    <col min="12301" max="12301" width="35.42578125" bestFit="1" customWidth="1"/>
    <col min="12302" max="12302" width="20.42578125" customWidth="1"/>
    <col min="12545" max="12545" width="4.5703125" customWidth="1"/>
    <col min="12546" max="12546" width="1.5703125" customWidth="1"/>
    <col min="12547" max="12547" width="46" customWidth="1"/>
    <col min="12548" max="12548" width="1.5703125" customWidth="1"/>
    <col min="12549" max="12549" width="34" customWidth="1"/>
    <col min="12550" max="12550" width="1.5703125" customWidth="1"/>
    <col min="12551" max="12551" width="16" customWidth="1"/>
    <col min="12552" max="12552" width="1.5703125" customWidth="1"/>
    <col min="12553" max="12553" width="14" customWidth="1"/>
    <col min="12554" max="12554" width="1.5703125" customWidth="1"/>
    <col min="12555" max="12555" width="11.5703125" customWidth="1"/>
    <col min="12556" max="12556" width="2.5703125" customWidth="1"/>
    <col min="12557" max="12557" width="35.42578125" bestFit="1" customWidth="1"/>
    <col min="12558" max="12558" width="20.42578125" customWidth="1"/>
    <col min="12801" max="12801" width="4.5703125" customWidth="1"/>
    <col min="12802" max="12802" width="1.5703125" customWidth="1"/>
    <col min="12803" max="12803" width="46" customWidth="1"/>
    <col min="12804" max="12804" width="1.5703125" customWidth="1"/>
    <col min="12805" max="12805" width="34" customWidth="1"/>
    <col min="12806" max="12806" width="1.5703125" customWidth="1"/>
    <col min="12807" max="12807" width="16" customWidth="1"/>
    <col min="12808" max="12808" width="1.5703125" customWidth="1"/>
    <col min="12809" max="12809" width="14" customWidth="1"/>
    <col min="12810" max="12810" width="1.5703125" customWidth="1"/>
    <col min="12811" max="12811" width="11.5703125" customWidth="1"/>
    <col min="12812" max="12812" width="2.5703125" customWidth="1"/>
    <col min="12813" max="12813" width="35.42578125" bestFit="1" customWidth="1"/>
    <col min="12814" max="12814" width="20.42578125" customWidth="1"/>
    <col min="13057" max="13057" width="4.5703125" customWidth="1"/>
    <col min="13058" max="13058" width="1.5703125" customWidth="1"/>
    <col min="13059" max="13059" width="46" customWidth="1"/>
    <col min="13060" max="13060" width="1.5703125" customWidth="1"/>
    <col min="13061" max="13061" width="34" customWidth="1"/>
    <col min="13062" max="13062" width="1.5703125" customWidth="1"/>
    <col min="13063" max="13063" width="16" customWidth="1"/>
    <col min="13064" max="13064" width="1.5703125" customWidth="1"/>
    <col min="13065" max="13065" width="14" customWidth="1"/>
    <col min="13066" max="13066" width="1.5703125" customWidth="1"/>
    <col min="13067" max="13067" width="11.5703125" customWidth="1"/>
    <col min="13068" max="13068" width="2.5703125" customWidth="1"/>
    <col min="13069" max="13069" width="35.42578125" bestFit="1" customWidth="1"/>
    <col min="13070" max="13070" width="20.42578125" customWidth="1"/>
    <col min="13313" max="13313" width="4.5703125" customWidth="1"/>
    <col min="13314" max="13314" width="1.5703125" customWidth="1"/>
    <col min="13315" max="13315" width="46" customWidth="1"/>
    <col min="13316" max="13316" width="1.5703125" customWidth="1"/>
    <col min="13317" max="13317" width="34" customWidth="1"/>
    <col min="13318" max="13318" width="1.5703125" customWidth="1"/>
    <col min="13319" max="13319" width="16" customWidth="1"/>
    <col min="13320" max="13320" width="1.5703125" customWidth="1"/>
    <col min="13321" max="13321" width="14" customWidth="1"/>
    <col min="13322" max="13322" width="1.5703125" customWidth="1"/>
    <col min="13323" max="13323" width="11.5703125" customWidth="1"/>
    <col min="13324" max="13324" width="2.5703125" customWidth="1"/>
    <col min="13325" max="13325" width="35.42578125" bestFit="1" customWidth="1"/>
    <col min="13326" max="13326" width="20.42578125" customWidth="1"/>
    <col min="13569" max="13569" width="4.5703125" customWidth="1"/>
    <col min="13570" max="13570" width="1.5703125" customWidth="1"/>
    <col min="13571" max="13571" width="46" customWidth="1"/>
    <col min="13572" max="13572" width="1.5703125" customWidth="1"/>
    <col min="13573" max="13573" width="34" customWidth="1"/>
    <col min="13574" max="13574" width="1.5703125" customWidth="1"/>
    <col min="13575" max="13575" width="16" customWidth="1"/>
    <col min="13576" max="13576" width="1.5703125" customWidth="1"/>
    <col min="13577" max="13577" width="14" customWidth="1"/>
    <col min="13578" max="13578" width="1.5703125" customWidth="1"/>
    <col min="13579" max="13579" width="11.5703125" customWidth="1"/>
    <col min="13580" max="13580" width="2.5703125" customWidth="1"/>
    <col min="13581" max="13581" width="35.42578125" bestFit="1" customWidth="1"/>
    <col min="13582" max="13582" width="20.42578125" customWidth="1"/>
    <col min="13825" max="13825" width="4.5703125" customWidth="1"/>
    <col min="13826" max="13826" width="1.5703125" customWidth="1"/>
    <col min="13827" max="13827" width="46" customWidth="1"/>
    <col min="13828" max="13828" width="1.5703125" customWidth="1"/>
    <col min="13829" max="13829" width="34" customWidth="1"/>
    <col min="13830" max="13830" width="1.5703125" customWidth="1"/>
    <col min="13831" max="13831" width="16" customWidth="1"/>
    <col min="13832" max="13832" width="1.5703125" customWidth="1"/>
    <col min="13833" max="13833" width="14" customWidth="1"/>
    <col min="13834" max="13834" width="1.5703125" customWidth="1"/>
    <col min="13835" max="13835" width="11.5703125" customWidth="1"/>
    <col min="13836" max="13836" width="2.5703125" customWidth="1"/>
    <col min="13837" max="13837" width="35.42578125" bestFit="1" customWidth="1"/>
    <col min="13838" max="13838" width="20.42578125" customWidth="1"/>
    <col min="14081" max="14081" width="4.5703125" customWidth="1"/>
    <col min="14082" max="14082" width="1.5703125" customWidth="1"/>
    <col min="14083" max="14083" width="46" customWidth="1"/>
    <col min="14084" max="14084" width="1.5703125" customWidth="1"/>
    <col min="14085" max="14085" width="34" customWidth="1"/>
    <col min="14086" max="14086" width="1.5703125" customWidth="1"/>
    <col min="14087" max="14087" width="16" customWidth="1"/>
    <col min="14088" max="14088" width="1.5703125" customWidth="1"/>
    <col min="14089" max="14089" width="14" customWidth="1"/>
    <col min="14090" max="14090" width="1.5703125" customWidth="1"/>
    <col min="14091" max="14091" width="11.5703125" customWidth="1"/>
    <col min="14092" max="14092" width="2.5703125" customWidth="1"/>
    <col min="14093" max="14093" width="35.42578125" bestFit="1" customWidth="1"/>
    <col min="14094" max="14094" width="20.42578125" customWidth="1"/>
    <col min="14337" max="14337" width="4.5703125" customWidth="1"/>
    <col min="14338" max="14338" width="1.5703125" customWidth="1"/>
    <col min="14339" max="14339" width="46" customWidth="1"/>
    <col min="14340" max="14340" width="1.5703125" customWidth="1"/>
    <col min="14341" max="14341" width="34" customWidth="1"/>
    <col min="14342" max="14342" width="1.5703125" customWidth="1"/>
    <col min="14343" max="14343" width="16" customWidth="1"/>
    <col min="14344" max="14344" width="1.5703125" customWidth="1"/>
    <col min="14345" max="14345" width="14" customWidth="1"/>
    <col min="14346" max="14346" width="1.5703125" customWidth="1"/>
    <col min="14347" max="14347" width="11.5703125" customWidth="1"/>
    <col min="14348" max="14348" width="2.5703125" customWidth="1"/>
    <col min="14349" max="14349" width="35.42578125" bestFit="1" customWidth="1"/>
    <col min="14350" max="14350" width="20.42578125" customWidth="1"/>
    <col min="14593" max="14593" width="4.5703125" customWidth="1"/>
    <col min="14594" max="14594" width="1.5703125" customWidth="1"/>
    <col min="14595" max="14595" width="46" customWidth="1"/>
    <col min="14596" max="14596" width="1.5703125" customWidth="1"/>
    <col min="14597" max="14597" width="34" customWidth="1"/>
    <col min="14598" max="14598" width="1.5703125" customWidth="1"/>
    <col min="14599" max="14599" width="16" customWidth="1"/>
    <col min="14600" max="14600" width="1.5703125" customWidth="1"/>
    <col min="14601" max="14601" width="14" customWidth="1"/>
    <col min="14602" max="14602" width="1.5703125" customWidth="1"/>
    <col min="14603" max="14603" width="11.5703125" customWidth="1"/>
    <col min="14604" max="14604" width="2.5703125" customWidth="1"/>
    <col min="14605" max="14605" width="35.42578125" bestFit="1" customWidth="1"/>
    <col min="14606" max="14606" width="20.42578125" customWidth="1"/>
    <col min="14849" max="14849" width="4.5703125" customWidth="1"/>
    <col min="14850" max="14850" width="1.5703125" customWidth="1"/>
    <col min="14851" max="14851" width="46" customWidth="1"/>
    <col min="14852" max="14852" width="1.5703125" customWidth="1"/>
    <col min="14853" max="14853" width="34" customWidth="1"/>
    <col min="14854" max="14854" width="1.5703125" customWidth="1"/>
    <col min="14855" max="14855" width="16" customWidth="1"/>
    <col min="14856" max="14856" width="1.5703125" customWidth="1"/>
    <col min="14857" max="14857" width="14" customWidth="1"/>
    <col min="14858" max="14858" width="1.5703125" customWidth="1"/>
    <col min="14859" max="14859" width="11.5703125" customWidth="1"/>
    <col min="14860" max="14860" width="2.5703125" customWidth="1"/>
    <col min="14861" max="14861" width="35.42578125" bestFit="1" customWidth="1"/>
    <col min="14862" max="14862" width="20.42578125" customWidth="1"/>
    <col min="15105" max="15105" width="4.5703125" customWidth="1"/>
    <col min="15106" max="15106" width="1.5703125" customWidth="1"/>
    <col min="15107" max="15107" width="46" customWidth="1"/>
    <col min="15108" max="15108" width="1.5703125" customWidth="1"/>
    <col min="15109" max="15109" width="34" customWidth="1"/>
    <col min="15110" max="15110" width="1.5703125" customWidth="1"/>
    <col min="15111" max="15111" width="16" customWidth="1"/>
    <col min="15112" max="15112" width="1.5703125" customWidth="1"/>
    <col min="15113" max="15113" width="14" customWidth="1"/>
    <col min="15114" max="15114" width="1.5703125" customWidth="1"/>
    <col min="15115" max="15115" width="11.5703125" customWidth="1"/>
    <col min="15116" max="15116" width="2.5703125" customWidth="1"/>
    <col min="15117" max="15117" width="35.42578125" bestFit="1" customWidth="1"/>
    <col min="15118" max="15118" width="20.42578125" customWidth="1"/>
    <col min="15361" max="15361" width="4.5703125" customWidth="1"/>
    <col min="15362" max="15362" width="1.5703125" customWidth="1"/>
    <col min="15363" max="15363" width="46" customWidth="1"/>
    <col min="15364" max="15364" width="1.5703125" customWidth="1"/>
    <col min="15365" max="15365" width="34" customWidth="1"/>
    <col min="15366" max="15366" width="1.5703125" customWidth="1"/>
    <col min="15367" max="15367" width="16" customWidth="1"/>
    <col min="15368" max="15368" width="1.5703125" customWidth="1"/>
    <col min="15369" max="15369" width="14" customWidth="1"/>
    <col min="15370" max="15370" width="1.5703125" customWidth="1"/>
    <col min="15371" max="15371" width="11.5703125" customWidth="1"/>
    <col min="15372" max="15372" width="2.5703125" customWidth="1"/>
    <col min="15373" max="15373" width="35.42578125" bestFit="1" customWidth="1"/>
    <col min="15374" max="15374" width="20.42578125" customWidth="1"/>
    <col min="15617" max="15617" width="4.5703125" customWidth="1"/>
    <col min="15618" max="15618" width="1.5703125" customWidth="1"/>
    <col min="15619" max="15619" width="46" customWidth="1"/>
    <col min="15620" max="15620" width="1.5703125" customWidth="1"/>
    <col min="15621" max="15621" width="34" customWidth="1"/>
    <col min="15622" max="15622" width="1.5703125" customWidth="1"/>
    <col min="15623" max="15623" width="16" customWidth="1"/>
    <col min="15624" max="15624" width="1.5703125" customWidth="1"/>
    <col min="15625" max="15625" width="14" customWidth="1"/>
    <col min="15626" max="15626" width="1.5703125" customWidth="1"/>
    <col min="15627" max="15627" width="11.5703125" customWidth="1"/>
    <col min="15628" max="15628" width="2.5703125" customWidth="1"/>
    <col min="15629" max="15629" width="35.42578125" bestFit="1" customWidth="1"/>
    <col min="15630" max="15630" width="20.42578125" customWidth="1"/>
    <col min="15873" max="15873" width="4.5703125" customWidth="1"/>
    <col min="15874" max="15874" width="1.5703125" customWidth="1"/>
    <col min="15875" max="15875" width="46" customWidth="1"/>
    <col min="15876" max="15876" width="1.5703125" customWidth="1"/>
    <col min="15877" max="15877" width="34" customWidth="1"/>
    <col min="15878" max="15878" width="1.5703125" customWidth="1"/>
    <col min="15879" max="15879" width="16" customWidth="1"/>
    <col min="15880" max="15880" width="1.5703125" customWidth="1"/>
    <col min="15881" max="15881" width="14" customWidth="1"/>
    <col min="15882" max="15882" width="1.5703125" customWidth="1"/>
    <col min="15883" max="15883" width="11.5703125" customWidth="1"/>
    <col min="15884" max="15884" width="2.5703125" customWidth="1"/>
    <col min="15885" max="15885" width="35.42578125" bestFit="1" customWidth="1"/>
    <col min="15886" max="15886" width="20.42578125" customWidth="1"/>
    <col min="16129" max="16129" width="4.5703125" customWidth="1"/>
    <col min="16130" max="16130" width="1.5703125" customWidth="1"/>
    <col min="16131" max="16131" width="46" customWidth="1"/>
    <col min="16132" max="16132" width="1.5703125" customWidth="1"/>
    <col min="16133" max="16133" width="34" customWidth="1"/>
    <col min="16134" max="16134" width="1.5703125" customWidth="1"/>
    <col min="16135" max="16135" width="16" customWidth="1"/>
    <col min="16136" max="16136" width="1.5703125" customWidth="1"/>
    <col min="16137" max="16137" width="14" customWidth="1"/>
    <col min="16138" max="16138" width="1.5703125" customWidth="1"/>
    <col min="16139" max="16139" width="11.5703125" customWidth="1"/>
    <col min="16140" max="16140" width="2.5703125" customWidth="1"/>
    <col min="16141" max="16141" width="35.42578125" bestFit="1" customWidth="1"/>
    <col min="16142" max="16142" width="20.42578125" customWidth="1"/>
  </cols>
  <sheetData>
    <row r="1" spans="1:14">
      <c r="A1" s="290" t="s">
        <v>2682</v>
      </c>
      <c r="B1" s="290"/>
      <c r="C1" s="291"/>
      <c r="D1" s="291"/>
      <c r="G1" s="291"/>
      <c r="H1" s="291"/>
      <c r="I1" s="291"/>
      <c r="J1" s="291"/>
      <c r="K1" s="291"/>
      <c r="L1" s="291"/>
      <c r="M1" s="291"/>
    </row>
    <row r="2" spans="1:14">
      <c r="C2" s="39" t="s">
        <v>193</v>
      </c>
      <c r="E2" s="242" t="s">
        <v>2683</v>
      </c>
      <c r="F2" s="54"/>
      <c r="G2" s="54"/>
    </row>
    <row r="3" spans="1:14">
      <c r="A3" s="292" t="s">
        <v>266</v>
      </c>
      <c r="B3" s="292"/>
      <c r="C3" s="291"/>
      <c r="D3" s="291"/>
      <c r="E3" s="291"/>
      <c r="F3" s="291"/>
      <c r="G3" s="291"/>
      <c r="H3" s="291"/>
      <c r="I3" s="291"/>
      <c r="J3" s="291"/>
      <c r="K3" s="291"/>
      <c r="L3" s="291"/>
      <c r="M3" s="291"/>
    </row>
    <row r="4" spans="1:14">
      <c r="A4" s="293">
        <v>1</v>
      </c>
      <c r="B4" s="293"/>
      <c r="C4" s="291"/>
      <c r="D4" s="291"/>
      <c r="E4" s="291"/>
      <c r="F4" s="291"/>
      <c r="G4" s="291"/>
      <c r="H4" s="291"/>
      <c r="I4" s="291"/>
      <c r="J4" s="291"/>
      <c r="K4" s="291"/>
      <c r="L4" s="291"/>
      <c r="M4" s="291"/>
    </row>
    <row r="5" spans="1:14">
      <c r="A5" s="293">
        <v>2</v>
      </c>
      <c r="B5" s="293"/>
      <c r="C5" s="291"/>
      <c r="D5" s="291"/>
      <c r="E5" s="291"/>
      <c r="F5" s="291"/>
      <c r="G5" s="291"/>
      <c r="H5" s="291"/>
      <c r="I5" s="291"/>
      <c r="J5" s="291"/>
      <c r="K5" s="291"/>
      <c r="L5" s="291"/>
      <c r="M5" s="291"/>
    </row>
    <row r="6" spans="1:14">
      <c r="A6" s="293">
        <v>3</v>
      </c>
      <c r="B6" s="293"/>
      <c r="C6" s="291"/>
      <c r="D6" s="291"/>
      <c r="E6" s="291"/>
      <c r="F6" s="291"/>
      <c r="G6" s="291"/>
      <c r="H6" s="291"/>
      <c r="I6" s="291"/>
      <c r="J6" s="291"/>
      <c r="K6" s="293" t="s">
        <v>852</v>
      </c>
      <c r="L6" s="291"/>
      <c r="M6" s="291"/>
    </row>
    <row r="7" spans="1:14">
      <c r="A7" s="293">
        <v>4</v>
      </c>
      <c r="B7" s="293"/>
      <c r="C7" s="291"/>
      <c r="D7" s="291"/>
      <c r="E7" s="370" t="s">
        <v>246</v>
      </c>
      <c r="F7" s="293"/>
      <c r="G7" s="291"/>
      <c r="H7" s="291"/>
      <c r="I7" s="291"/>
      <c r="J7" s="291"/>
      <c r="K7" s="370" t="s">
        <v>79</v>
      </c>
      <c r="L7" s="291"/>
      <c r="M7" s="295"/>
    </row>
    <row r="8" spans="1:14">
      <c r="A8" s="293">
        <v>5</v>
      </c>
      <c r="B8" s="293"/>
      <c r="C8" s="291"/>
      <c r="D8" s="291"/>
      <c r="E8" s="291"/>
      <c r="F8" s="291"/>
      <c r="G8" s="291"/>
      <c r="H8" s="291"/>
      <c r="I8" s="291"/>
      <c r="J8" s="291"/>
      <c r="K8" s="296"/>
      <c r="L8" s="291"/>
      <c r="M8" s="291"/>
    </row>
    <row r="9" spans="1:14">
      <c r="A9" s="293">
        <v>6</v>
      </c>
      <c r="B9" s="293"/>
      <c r="C9" s="290" t="s">
        <v>2684</v>
      </c>
      <c r="D9" s="291"/>
      <c r="E9" s="291" t="s">
        <v>2685</v>
      </c>
      <c r="F9" s="291"/>
      <c r="G9" s="291"/>
      <c r="H9" s="291"/>
      <c r="I9" s="291"/>
      <c r="J9" s="291"/>
      <c r="K9" s="296">
        <f>I20</f>
        <v>-50038773.090345122</v>
      </c>
      <c r="L9" s="291"/>
      <c r="M9" s="291"/>
      <c r="N9" s="371"/>
    </row>
    <row r="10" spans="1:14" ht="13.5" thickBot="1">
      <c r="A10" s="293">
        <v>7</v>
      </c>
      <c r="B10" s="293"/>
      <c r="C10" s="290" t="s">
        <v>2686</v>
      </c>
      <c r="D10" s="292"/>
      <c r="E10" s="291" t="s">
        <v>2687</v>
      </c>
      <c r="F10" s="291"/>
      <c r="G10" s="291"/>
      <c r="H10" s="291"/>
      <c r="I10" s="291"/>
      <c r="J10" s="291"/>
      <c r="K10" s="372">
        <f>+K20</f>
        <v>-60321615.325915091</v>
      </c>
      <c r="L10" s="291"/>
      <c r="M10" s="291"/>
    </row>
    <row r="11" spans="1:14" ht="13.5" thickTop="1">
      <c r="A11" s="293">
        <v>8</v>
      </c>
      <c r="B11" s="293"/>
      <c r="C11" s="291"/>
      <c r="D11" s="291"/>
      <c r="E11" s="291"/>
      <c r="F11" s="291"/>
      <c r="G11" s="291"/>
      <c r="H11" s="291"/>
      <c r="I11" s="291"/>
      <c r="J11" s="291"/>
      <c r="K11" s="296"/>
      <c r="L11" s="291"/>
      <c r="M11" s="291"/>
    </row>
    <row r="12" spans="1:14">
      <c r="A12" s="293">
        <v>9</v>
      </c>
      <c r="B12" s="293"/>
      <c r="C12" s="291"/>
      <c r="D12" s="291"/>
      <c r="E12" s="291"/>
      <c r="F12" s="291"/>
      <c r="G12" s="373" t="s">
        <v>329</v>
      </c>
      <c r="H12" s="373"/>
      <c r="I12" s="373" t="s">
        <v>330</v>
      </c>
      <c r="J12" s="373"/>
      <c r="K12" s="373" t="s">
        <v>331</v>
      </c>
      <c r="L12" s="291"/>
      <c r="M12" s="291"/>
    </row>
    <row r="13" spans="1:14">
      <c r="A13" s="293">
        <v>10</v>
      </c>
      <c r="B13" s="293"/>
      <c r="C13" s="291"/>
      <c r="D13" s="291"/>
      <c r="E13" s="291"/>
      <c r="F13" s="291"/>
      <c r="G13" s="293" t="s">
        <v>852</v>
      </c>
      <c r="H13" s="293"/>
      <c r="I13" s="293" t="s">
        <v>852</v>
      </c>
      <c r="J13" s="293"/>
      <c r="K13" s="293" t="s">
        <v>852</v>
      </c>
      <c r="L13" s="291"/>
      <c r="M13" s="291"/>
    </row>
    <row r="14" spans="1:14" ht="15">
      <c r="A14" s="293">
        <v>11</v>
      </c>
      <c r="B14" s="293"/>
      <c r="C14" s="293"/>
      <c r="D14" s="293"/>
      <c r="E14" s="293"/>
      <c r="F14" s="293"/>
      <c r="G14" s="293" t="s">
        <v>789</v>
      </c>
      <c r="H14" s="293"/>
      <c r="I14" s="293" t="s">
        <v>1083</v>
      </c>
      <c r="J14" s="293"/>
      <c r="K14" s="374" t="s">
        <v>791</v>
      </c>
      <c r="L14" s="291"/>
      <c r="M14" s="291"/>
    </row>
    <row r="15" spans="1:14">
      <c r="A15" s="293">
        <v>12</v>
      </c>
      <c r="B15" s="293"/>
      <c r="C15" s="293" t="s">
        <v>2220</v>
      </c>
      <c r="D15" s="293"/>
      <c r="E15" s="293"/>
      <c r="F15" s="293"/>
      <c r="G15" s="293" t="s">
        <v>2688</v>
      </c>
      <c r="H15" s="293"/>
      <c r="I15" s="293" t="s">
        <v>2688</v>
      </c>
      <c r="J15" s="293"/>
      <c r="K15" s="293" t="s">
        <v>2688</v>
      </c>
      <c r="L15" s="291"/>
      <c r="M15" s="291"/>
    </row>
    <row r="16" spans="1:14">
      <c r="A16" s="293">
        <v>13</v>
      </c>
      <c r="B16" s="293"/>
      <c r="C16" s="294" t="s">
        <v>72</v>
      </c>
      <c r="D16" s="294"/>
      <c r="E16" s="294"/>
      <c r="F16" s="294"/>
      <c r="G16" s="370" t="s">
        <v>2689</v>
      </c>
      <c r="H16" s="293"/>
      <c r="I16" s="370" t="s">
        <v>2689</v>
      </c>
      <c r="J16" s="293"/>
      <c r="K16" s="370" t="s">
        <v>2689</v>
      </c>
      <c r="L16" s="291"/>
      <c r="M16" s="291"/>
    </row>
    <row r="17" spans="1:14">
      <c r="A17" s="293">
        <v>14</v>
      </c>
      <c r="B17" s="293"/>
      <c r="C17" s="291" t="s">
        <v>2690</v>
      </c>
      <c r="D17" s="291"/>
      <c r="E17" s="235" t="s">
        <v>2691</v>
      </c>
      <c r="F17" s="235"/>
      <c r="G17" s="296">
        <f>+G27</f>
        <v>-65088613.4726393</v>
      </c>
      <c r="H17" s="296"/>
      <c r="I17" s="296">
        <f>+I27</f>
        <v>-44802997.951084547</v>
      </c>
      <c r="J17" s="296"/>
      <c r="K17" s="296">
        <f>(+G17+I17)/2</f>
        <v>-54945805.711861923</v>
      </c>
      <c r="L17" s="291"/>
      <c r="M17" s="291"/>
      <c r="N17" s="291"/>
    </row>
    <row r="18" spans="1:14">
      <c r="A18" s="293">
        <v>15</v>
      </c>
      <c r="B18" s="293"/>
      <c r="C18" s="291" t="s">
        <v>2692</v>
      </c>
      <c r="D18" s="291"/>
      <c r="E18" s="291" t="s">
        <v>2693</v>
      </c>
      <c r="F18" s="291"/>
      <c r="G18" s="296">
        <f>+G32</f>
        <v>-4999117.6651329221</v>
      </c>
      <c r="H18" s="296"/>
      <c r="I18" s="296">
        <f>+I32</f>
        <v>-4821148.4432482626</v>
      </c>
      <c r="J18" s="296"/>
      <c r="K18" s="296">
        <f>(+G18+I18)/2</f>
        <v>-4910133.0541905928</v>
      </c>
      <c r="L18" s="291"/>
      <c r="M18" s="291"/>
      <c r="N18" s="291"/>
    </row>
    <row r="19" spans="1:14">
      <c r="A19" s="293">
        <v>16</v>
      </c>
      <c r="B19" s="293"/>
      <c r="C19" s="291" t="s">
        <v>2694</v>
      </c>
      <c r="D19" s="291"/>
      <c r="E19" s="291" t="s">
        <v>2695</v>
      </c>
      <c r="F19" s="291"/>
      <c r="G19" s="983">
        <f>+G39</f>
        <v>-516726.4237128403</v>
      </c>
      <c r="H19" s="984"/>
      <c r="I19" s="983">
        <f>+I39</f>
        <v>-414626.69601230999</v>
      </c>
      <c r="J19" s="375"/>
      <c r="K19" s="296">
        <f>(+G19+I19)/2</f>
        <v>-465676.55986257514</v>
      </c>
      <c r="L19" s="291"/>
      <c r="M19" s="291"/>
    </row>
    <row r="20" spans="1:14" ht="13.5" thickBot="1">
      <c r="A20" s="293">
        <v>17</v>
      </c>
      <c r="B20" s="293"/>
      <c r="C20" s="291" t="s">
        <v>424</v>
      </c>
      <c r="D20" s="291"/>
      <c r="E20" s="291" t="s">
        <v>2696</v>
      </c>
      <c r="F20" s="291"/>
      <c r="G20" s="376">
        <f>+G17+G18+G19</f>
        <v>-70604457.561485052</v>
      </c>
      <c r="H20" s="296"/>
      <c r="I20" s="376">
        <f>+I17+I18+I19</f>
        <v>-50038773.090345122</v>
      </c>
      <c r="J20" s="296"/>
      <c r="K20" s="376">
        <f>+K17+K18+K19</f>
        <v>-60321615.325915091</v>
      </c>
      <c r="L20" s="291"/>
      <c r="M20" s="291"/>
      <c r="N20" s="235" t="s">
        <v>129</v>
      </c>
    </row>
    <row r="21" spans="1:14" ht="13.5" thickTop="1">
      <c r="A21" s="293">
        <v>18</v>
      </c>
      <c r="B21" s="293"/>
      <c r="C21" s="291"/>
      <c r="D21" s="291"/>
      <c r="E21" s="291"/>
      <c r="F21" s="291"/>
      <c r="G21" s="291"/>
      <c r="H21" s="291"/>
      <c r="I21" s="291"/>
      <c r="J21" s="291"/>
      <c r="K21" s="291"/>
      <c r="L21" s="291"/>
      <c r="M21" s="291"/>
    </row>
    <row r="22" spans="1:14">
      <c r="A22" s="293">
        <v>19</v>
      </c>
      <c r="B22" s="293"/>
      <c r="C22" s="292" t="s">
        <v>2697</v>
      </c>
      <c r="D22" s="292"/>
      <c r="E22" s="292"/>
      <c r="F22" s="292"/>
      <c r="G22" s="291"/>
      <c r="H22" s="291"/>
      <c r="I22" s="291"/>
      <c r="J22" s="291"/>
      <c r="K22" s="291"/>
      <c r="L22" s="291"/>
      <c r="M22" s="291"/>
    </row>
    <row r="23" spans="1:14">
      <c r="A23" s="293">
        <v>20</v>
      </c>
      <c r="B23" s="293"/>
      <c r="K23" s="236" t="s">
        <v>791</v>
      </c>
    </row>
    <row r="24" spans="1:14">
      <c r="A24" s="293">
        <v>21</v>
      </c>
      <c r="B24" s="293"/>
      <c r="C24" s="292" t="s">
        <v>1581</v>
      </c>
      <c r="D24" s="292"/>
      <c r="E24" s="292"/>
      <c r="F24" s="292"/>
      <c r="G24" s="198" t="s">
        <v>789</v>
      </c>
      <c r="H24" s="37"/>
      <c r="I24" s="198" t="s">
        <v>1083</v>
      </c>
      <c r="J24" s="37"/>
      <c r="K24" s="377" t="s">
        <v>2698</v>
      </c>
      <c r="M24" s="247" t="s">
        <v>129</v>
      </c>
    </row>
    <row r="25" spans="1:14">
      <c r="A25" s="293">
        <v>22</v>
      </c>
      <c r="B25" s="293"/>
      <c r="C25" s="235" t="s">
        <v>2699</v>
      </c>
      <c r="E25" s="291" t="s">
        <v>2700</v>
      </c>
      <c r="F25" s="291"/>
      <c r="G25" s="1003">
        <v>-1106729684.27</v>
      </c>
      <c r="H25" s="378"/>
      <c r="I25" s="1003">
        <v>-761804640.33999991</v>
      </c>
      <c r="J25" s="379"/>
      <c r="M25" s="194"/>
      <c r="N25" s="305"/>
    </row>
    <row r="26" spans="1:14">
      <c r="A26" s="293">
        <v>23</v>
      </c>
      <c r="B26" s="293"/>
      <c r="C26" t="s">
        <v>2350</v>
      </c>
      <c r="E26" s="380" t="s">
        <v>2701</v>
      </c>
      <c r="F26" s="380"/>
      <c r="G26" s="381">
        <f>'27-Allocators'!G15</f>
        <v>5.8811663225218191E-2</v>
      </c>
      <c r="H26" s="382"/>
      <c r="I26" s="381">
        <f>'27-Allocators'!G15</f>
        <v>5.8811663225218191E-2</v>
      </c>
      <c r="J26" s="382"/>
      <c r="M26" s="371"/>
    </row>
    <row r="27" spans="1:14" ht="13.5" thickBot="1">
      <c r="A27" s="293">
        <v>24</v>
      </c>
      <c r="B27" s="293"/>
      <c r="C27" t="s">
        <v>2702</v>
      </c>
      <c r="E27" s="245" t="s">
        <v>2703</v>
      </c>
      <c r="F27" s="31"/>
      <c r="G27" s="383">
        <f>+G25*G26</f>
        <v>-65088613.4726393</v>
      </c>
      <c r="H27" s="384"/>
      <c r="I27" s="383">
        <f>+I25*I26</f>
        <v>-44802997.951084547</v>
      </c>
      <c r="J27" s="384"/>
      <c r="K27" s="385">
        <f>(G27+I27)/2</f>
        <v>-54945805.711861923</v>
      </c>
      <c r="M27" s="371"/>
    </row>
    <row r="28" spans="1:14" ht="13.5" thickTop="1">
      <c r="A28" s="293">
        <v>25</v>
      </c>
      <c r="B28" s="293"/>
      <c r="M28" s="371"/>
    </row>
    <row r="29" spans="1:14">
      <c r="A29" s="293">
        <v>26</v>
      </c>
      <c r="B29" s="293"/>
      <c r="C29" s="30" t="s">
        <v>2704</v>
      </c>
      <c r="D29" s="30"/>
      <c r="E29" s="30"/>
      <c r="F29" s="30"/>
      <c r="M29" s="386" t="s">
        <v>129</v>
      </c>
    </row>
    <row r="30" spans="1:14">
      <c r="A30" s="293">
        <v>27</v>
      </c>
      <c r="B30" s="293"/>
      <c r="C30" s="235" t="s">
        <v>2705</v>
      </c>
      <c r="D30" s="235"/>
      <c r="E30" s="291" t="s">
        <v>2700</v>
      </c>
      <c r="F30" s="291"/>
      <c r="G30" s="1003">
        <v>-85002147.379999995</v>
      </c>
      <c r="H30" s="378"/>
      <c r="I30" s="1003">
        <v>-81976060.170000002</v>
      </c>
      <c r="J30" s="379"/>
      <c r="M30" s="371"/>
    </row>
    <row r="31" spans="1:14">
      <c r="A31" s="293">
        <v>28</v>
      </c>
      <c r="B31" s="293"/>
      <c r="C31" t="s">
        <v>2350</v>
      </c>
      <c r="E31" s="380" t="s">
        <v>2701</v>
      </c>
      <c r="F31" s="380"/>
      <c r="G31" s="381">
        <f>'27-Allocators'!G15</f>
        <v>5.8811663225218191E-2</v>
      </c>
      <c r="H31" s="382"/>
      <c r="I31" s="381">
        <f>'27-Allocators'!G15</f>
        <v>5.8811663225218191E-2</v>
      </c>
      <c r="J31" s="382"/>
      <c r="M31" s="371"/>
    </row>
    <row r="32" spans="1:14" ht="13.5" thickBot="1">
      <c r="A32" s="293">
        <v>29</v>
      </c>
      <c r="B32" s="293"/>
      <c r="C32" t="s">
        <v>2702</v>
      </c>
      <c r="E32" s="245" t="s">
        <v>2706</v>
      </c>
      <c r="F32" s="31"/>
      <c r="G32" s="383">
        <f>+G30*G31</f>
        <v>-4999117.6651329221</v>
      </c>
      <c r="H32" s="384"/>
      <c r="I32" s="383">
        <f>+I30*I31</f>
        <v>-4821148.4432482626</v>
      </c>
      <c r="J32" s="384"/>
      <c r="K32" s="385">
        <f>(G32+I32)/2</f>
        <v>-4910133.0541905928</v>
      </c>
      <c r="M32" s="371"/>
    </row>
    <row r="33" spans="1:11" ht="13.5" thickTop="1">
      <c r="A33" s="293">
        <f t="shared" ref="A33:A39" si="0">1+A32</f>
        <v>30</v>
      </c>
    </row>
    <row r="34" spans="1:11">
      <c r="A34" s="293">
        <f t="shared" si="0"/>
        <v>31</v>
      </c>
      <c r="C34" s="30" t="s">
        <v>2707</v>
      </c>
    </row>
    <row r="35" spans="1:11">
      <c r="A35" s="293">
        <f t="shared" si="0"/>
        <v>32</v>
      </c>
      <c r="C35" s="235" t="s">
        <v>2707</v>
      </c>
      <c r="E35" s="291" t="s">
        <v>2700</v>
      </c>
      <c r="F35" s="291"/>
      <c r="G35" s="1003">
        <v>-17572243.170000002</v>
      </c>
      <c r="H35" s="378"/>
      <c r="I35" s="1003">
        <v>-14100152.02</v>
      </c>
      <c r="J35" s="379"/>
    </row>
    <row r="36" spans="1:11">
      <c r="A36" s="293">
        <f t="shared" si="0"/>
        <v>33</v>
      </c>
      <c r="C36" s="235" t="s">
        <v>2708</v>
      </c>
      <c r="E36" s="649" t="s">
        <v>2709</v>
      </c>
      <c r="G36" s="388">
        <v>0.5</v>
      </c>
      <c r="I36" s="388">
        <v>0.5</v>
      </c>
    </row>
    <row r="37" spans="1:11">
      <c r="A37" s="293">
        <f t="shared" si="0"/>
        <v>34</v>
      </c>
      <c r="C37" s="235" t="s">
        <v>2710</v>
      </c>
      <c r="E37" s="235" t="s">
        <v>2711</v>
      </c>
      <c r="G37" s="6">
        <f>+G35*G36</f>
        <v>-8786121.5850000009</v>
      </c>
      <c r="H37" s="6"/>
      <c r="I37" s="6">
        <f>+I35*I36</f>
        <v>-7050076.0099999998</v>
      </c>
    </row>
    <row r="38" spans="1:11">
      <c r="A38" s="293">
        <f t="shared" si="0"/>
        <v>35</v>
      </c>
      <c r="C38" t="s">
        <v>2350</v>
      </c>
      <c r="E38" s="380" t="s">
        <v>2701</v>
      </c>
      <c r="F38" s="380"/>
      <c r="G38" s="381">
        <f>'27-Allocators'!G15</f>
        <v>5.8811663225218191E-2</v>
      </c>
      <c r="H38" s="382"/>
      <c r="I38" s="381">
        <f>'27-Allocators'!G15</f>
        <v>5.8811663225218191E-2</v>
      </c>
      <c r="J38" s="382"/>
    </row>
    <row r="39" spans="1:11" ht="13.5" thickBot="1">
      <c r="A39" s="293">
        <f t="shared" si="0"/>
        <v>36</v>
      </c>
      <c r="C39" t="s">
        <v>2702</v>
      </c>
      <c r="E39" s="245" t="s">
        <v>2712</v>
      </c>
      <c r="F39" s="31"/>
      <c r="G39" s="383">
        <f>+G37*G38</f>
        <v>-516726.4237128403</v>
      </c>
      <c r="H39" s="384"/>
      <c r="I39" s="383">
        <f>+I37*I38</f>
        <v>-414626.69601230999</v>
      </c>
      <c r="J39" s="384"/>
      <c r="K39" s="385">
        <f>(G39+I39)/2</f>
        <v>-465676.55986257514</v>
      </c>
    </row>
    <row r="40" spans="1:11" ht="13.5" thickTop="1"/>
    <row r="41" spans="1:11">
      <c r="C41" s="30" t="s">
        <v>226</v>
      </c>
    </row>
    <row r="42" spans="1:11">
      <c r="C42" s="235" t="s">
        <v>2713</v>
      </c>
      <c r="D42" s="618"/>
    </row>
    <row r="43" spans="1:11">
      <c r="C43" s="234" t="s">
        <v>2714</v>
      </c>
    </row>
    <row r="44" spans="1:11">
      <c r="C44" t="s">
        <v>2715</v>
      </c>
    </row>
    <row r="45" spans="1:11">
      <c r="C45" s="673" t="s">
        <v>2716</v>
      </c>
    </row>
  </sheetData>
  <pageMargins left="0.7" right="0.7" top="0.75" bottom="0.75" header="0.3" footer="0.3"/>
  <pageSetup scale="85" orientation="landscape" cellComments="asDisplayed" r:id="rId1"/>
  <headerFooter>
    <oddHeader>&amp;CSchedule 34
Unfunded Reserves
&amp;RTO2025 Annual Update 
Attachment 1</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dimension ref="A1:K132"/>
  <sheetViews>
    <sheetView zoomScaleNormal="100" workbookViewId="0"/>
  </sheetViews>
  <sheetFormatPr defaultRowHeight="12.75"/>
  <cols>
    <col min="1" max="1" width="5.85546875" customWidth="1"/>
    <col min="2" max="2" width="4.85546875" customWidth="1"/>
    <col min="3" max="3" width="55.140625" customWidth="1"/>
    <col min="4" max="8" width="13.85546875" customWidth="1"/>
    <col min="9" max="9" width="17" customWidth="1"/>
  </cols>
  <sheetData>
    <row r="1" spans="1:11">
      <c r="A1" s="1" t="s">
        <v>2135</v>
      </c>
      <c r="B1" s="235"/>
      <c r="C1" s="235"/>
      <c r="D1" s="235"/>
      <c r="E1" s="235"/>
      <c r="F1" s="235"/>
      <c r="G1" s="235"/>
    </row>
    <row r="2" spans="1:11">
      <c r="A2" s="235"/>
      <c r="B2" s="1"/>
      <c r="C2" s="39" t="s">
        <v>193</v>
      </c>
      <c r="D2" s="242" t="s">
        <v>2924</v>
      </c>
      <c r="E2" s="242"/>
      <c r="F2" s="242"/>
      <c r="G2" s="235"/>
    </row>
    <row r="3" spans="1:11">
      <c r="A3" s="235"/>
      <c r="B3" s="235"/>
      <c r="C3" s="235"/>
      <c r="D3" s="235"/>
      <c r="E3" s="235"/>
      <c r="F3" s="235"/>
      <c r="G3" s="235"/>
    </row>
    <row r="4" spans="1:11">
      <c r="A4" s="3" t="s">
        <v>266</v>
      </c>
      <c r="B4" s="235"/>
      <c r="C4" s="235"/>
      <c r="D4" s="242" t="s">
        <v>96</v>
      </c>
      <c r="E4" s="242"/>
      <c r="F4" s="242"/>
      <c r="G4" s="235"/>
    </row>
    <row r="5" spans="1:11">
      <c r="A5" s="2">
        <v>1</v>
      </c>
      <c r="B5" s="567" t="s">
        <v>2136</v>
      </c>
      <c r="C5" s="235"/>
      <c r="D5" s="235"/>
      <c r="E5" s="313"/>
      <c r="F5" s="235"/>
      <c r="G5" s="305"/>
      <c r="H5" s="305"/>
      <c r="I5" s="872"/>
    </row>
    <row r="6" spans="1:11">
      <c r="A6" s="2">
        <f>A5+1</f>
        <v>2</v>
      </c>
      <c r="B6" s="4" t="s">
        <v>2137</v>
      </c>
      <c r="C6" s="965" t="s">
        <v>2138</v>
      </c>
      <c r="D6" s="316"/>
      <c r="E6" s="316"/>
      <c r="F6" s="317"/>
      <c r="G6" s="235"/>
    </row>
    <row r="7" spans="1:11">
      <c r="A7" s="2">
        <f t="shared" ref="A7:A70" si="0">A6+1</f>
        <v>3</v>
      </c>
      <c r="B7" s="4" t="s">
        <v>2752</v>
      </c>
      <c r="C7" s="316"/>
      <c r="D7" s="316"/>
      <c r="E7" s="316"/>
      <c r="F7" s="316"/>
      <c r="G7" s="235"/>
      <c r="J7" s="823"/>
      <c r="K7" s="305"/>
    </row>
    <row r="8" spans="1:11">
      <c r="A8" s="2">
        <f t="shared" si="0"/>
        <v>4</v>
      </c>
      <c r="B8" s="4" t="s">
        <v>2753</v>
      </c>
      <c r="C8" s="316"/>
      <c r="D8" s="316"/>
      <c r="E8" s="316"/>
      <c r="F8" s="316"/>
      <c r="G8" s="235"/>
      <c r="J8" s="823"/>
      <c r="K8" s="305"/>
    </row>
    <row r="9" spans="1:11">
      <c r="A9" s="2"/>
      <c r="B9" s="4"/>
      <c r="C9" s="4"/>
      <c r="D9" s="4"/>
      <c r="E9" s="4"/>
      <c r="F9" s="4"/>
      <c r="G9" s="235"/>
      <c r="J9" s="823"/>
      <c r="K9" s="305"/>
    </row>
    <row r="10" spans="1:11">
      <c r="A10" s="2"/>
      <c r="B10" s="235"/>
      <c r="C10" s="4"/>
      <c r="D10" s="4"/>
      <c r="E10" s="4"/>
      <c r="F10" s="4"/>
      <c r="G10" s="235"/>
      <c r="J10" s="823"/>
      <c r="K10" s="305"/>
    </row>
    <row r="11" spans="1:11">
      <c r="A11" s="2"/>
      <c r="B11" s="47" t="s">
        <v>2139</v>
      </c>
      <c r="C11" s="235"/>
      <c r="D11" s="235"/>
      <c r="E11" s="235"/>
      <c r="F11" s="235"/>
      <c r="G11" s="235"/>
      <c r="H11" s="824"/>
      <c r="I11" s="873"/>
      <c r="J11" s="823"/>
      <c r="K11" s="305"/>
    </row>
    <row r="12" spans="1:11">
      <c r="A12" s="2"/>
      <c r="B12" s="47"/>
      <c r="C12" s="235"/>
      <c r="D12" s="235"/>
      <c r="E12" s="235"/>
      <c r="F12" s="235"/>
      <c r="G12" s="235"/>
      <c r="H12" s="824"/>
      <c r="I12" s="873"/>
      <c r="J12" s="823"/>
      <c r="K12" s="305"/>
    </row>
    <row r="13" spans="1:11">
      <c r="A13" s="2"/>
      <c r="B13" s="235"/>
      <c r="C13" s="305"/>
      <c r="D13" s="48" t="s">
        <v>329</v>
      </c>
      <c r="E13" s="48" t="s">
        <v>330</v>
      </c>
      <c r="F13" s="48" t="s">
        <v>331</v>
      </c>
      <c r="G13" s="48" t="s">
        <v>332</v>
      </c>
      <c r="H13" s="824"/>
      <c r="I13" s="873"/>
      <c r="J13" s="823"/>
      <c r="K13" s="305"/>
    </row>
    <row r="14" spans="1:11">
      <c r="A14" s="235"/>
      <c r="B14" s="235"/>
      <c r="C14" s="305"/>
      <c r="D14" s="312" t="s">
        <v>2140</v>
      </c>
      <c r="E14" s="312" t="s">
        <v>2141</v>
      </c>
      <c r="F14" s="312" t="s">
        <v>2142</v>
      </c>
      <c r="G14" s="312" t="s">
        <v>2143</v>
      </c>
      <c r="H14" s="823"/>
      <c r="I14" s="822"/>
      <c r="J14" s="305"/>
      <c r="K14" s="305"/>
    </row>
    <row r="15" spans="1:11">
      <c r="A15" s="2"/>
      <c r="B15" s="235"/>
      <c r="C15" s="305"/>
      <c r="D15" s="312" t="s">
        <v>852</v>
      </c>
      <c r="E15" s="312" t="s">
        <v>852</v>
      </c>
      <c r="F15" s="312" t="s">
        <v>852</v>
      </c>
      <c r="G15" s="312" t="s">
        <v>852</v>
      </c>
      <c r="H15" s="822"/>
      <c r="I15" s="845"/>
      <c r="J15" s="305"/>
      <c r="K15" s="305"/>
    </row>
    <row r="16" spans="1:11">
      <c r="A16" s="3" t="s">
        <v>266</v>
      </c>
      <c r="B16" s="196" t="s">
        <v>2144</v>
      </c>
      <c r="C16" s="235"/>
      <c r="D16" s="330" t="s">
        <v>243</v>
      </c>
      <c r="E16" s="330" t="s">
        <v>243</v>
      </c>
      <c r="F16" s="330" t="s">
        <v>243</v>
      </c>
      <c r="G16" s="330" t="s">
        <v>243</v>
      </c>
      <c r="H16" s="823"/>
      <c r="I16" s="822"/>
      <c r="J16" s="305"/>
      <c r="K16" s="305"/>
    </row>
    <row r="17" spans="1:11">
      <c r="A17" s="2">
        <f>A8+1</f>
        <v>5</v>
      </c>
      <c r="B17" s="235"/>
      <c r="C17" s="245" t="s">
        <v>1467</v>
      </c>
      <c r="D17" s="317">
        <v>20671.132350534495</v>
      </c>
      <c r="E17" s="316"/>
      <c r="F17" s="316"/>
      <c r="G17" s="346">
        <f>SUM(D17:F17)</f>
        <v>20671.132350534495</v>
      </c>
      <c r="H17" s="823"/>
      <c r="I17" s="308"/>
      <c r="J17" s="305"/>
      <c r="K17" s="305"/>
    </row>
    <row r="18" spans="1:11">
      <c r="A18" s="2">
        <f t="shared" si="0"/>
        <v>6</v>
      </c>
      <c r="B18" s="235"/>
      <c r="C18" s="245" t="s">
        <v>1468</v>
      </c>
      <c r="D18" s="255"/>
      <c r="E18" s="242"/>
      <c r="F18" s="242"/>
      <c r="G18" s="346">
        <f t="shared" ref="G18:G47" si="1">SUM(D18:F18)</f>
        <v>0</v>
      </c>
      <c r="I18" s="826"/>
    </row>
    <row r="19" spans="1:11">
      <c r="A19" s="2">
        <f t="shared" si="0"/>
        <v>7</v>
      </c>
      <c r="B19" s="235"/>
      <c r="C19" s="245" t="s">
        <v>1469</v>
      </c>
      <c r="D19" s="255">
        <v>41418.370456218981</v>
      </c>
      <c r="E19" s="242"/>
      <c r="F19" s="242"/>
      <c r="G19" s="346">
        <f t="shared" si="1"/>
        <v>41418.370456218981</v>
      </c>
      <c r="I19" s="826"/>
    </row>
    <row r="20" spans="1:11">
      <c r="A20" s="2">
        <f t="shared" si="0"/>
        <v>8</v>
      </c>
      <c r="B20" s="235"/>
      <c r="C20" s="245" t="s">
        <v>1470</v>
      </c>
      <c r="D20" s="255"/>
      <c r="E20" s="242"/>
      <c r="F20" s="242"/>
      <c r="G20" s="346">
        <f t="shared" si="1"/>
        <v>0</v>
      </c>
      <c r="I20" s="826"/>
    </row>
    <row r="21" spans="1:11">
      <c r="A21" s="2">
        <f t="shared" si="0"/>
        <v>9</v>
      </c>
      <c r="B21" s="235"/>
      <c r="C21" s="245" t="s">
        <v>1472</v>
      </c>
      <c r="D21" s="255">
        <v>41430.27836934675</v>
      </c>
      <c r="E21" s="242"/>
      <c r="F21" s="242"/>
      <c r="G21" s="346">
        <f t="shared" si="1"/>
        <v>41430.27836934675</v>
      </c>
      <c r="I21" s="826"/>
    </row>
    <row r="22" spans="1:11">
      <c r="A22" s="2">
        <f t="shared" si="0"/>
        <v>10</v>
      </c>
      <c r="B22" s="235"/>
      <c r="C22" s="245" t="s">
        <v>1473</v>
      </c>
      <c r="D22" s="255"/>
      <c r="E22" s="242"/>
      <c r="F22" s="242"/>
      <c r="G22" s="346">
        <f t="shared" si="1"/>
        <v>0</v>
      </c>
      <c r="I22" s="826"/>
    </row>
    <row r="23" spans="1:11">
      <c r="A23" s="2">
        <f t="shared" si="0"/>
        <v>11</v>
      </c>
      <c r="B23" s="235"/>
      <c r="C23" s="245" t="s">
        <v>1474</v>
      </c>
      <c r="D23" s="255"/>
      <c r="E23" s="242"/>
      <c r="F23" s="242"/>
      <c r="G23" s="346">
        <f t="shared" si="1"/>
        <v>0</v>
      </c>
      <c r="I23" s="826"/>
    </row>
    <row r="24" spans="1:11">
      <c r="A24" s="2">
        <f t="shared" si="0"/>
        <v>12</v>
      </c>
      <c r="B24" s="235"/>
      <c r="C24" s="245" t="s">
        <v>1476</v>
      </c>
      <c r="D24" s="255"/>
      <c r="E24" s="242"/>
      <c r="F24" s="242"/>
      <c r="G24" s="346">
        <f t="shared" si="1"/>
        <v>0</v>
      </c>
      <c r="I24" s="826"/>
    </row>
    <row r="25" spans="1:11">
      <c r="A25" s="2">
        <f t="shared" si="0"/>
        <v>13</v>
      </c>
      <c r="B25" s="235"/>
      <c r="C25" s="245" t="s">
        <v>1477</v>
      </c>
      <c r="D25" s="255">
        <v>274802.68011605751</v>
      </c>
      <c r="E25" s="242"/>
      <c r="F25" s="242"/>
      <c r="G25" s="346">
        <f t="shared" si="1"/>
        <v>274802.68011605751</v>
      </c>
      <c r="I25" s="826"/>
    </row>
    <row r="26" spans="1:11">
      <c r="A26" s="2">
        <f t="shared" si="0"/>
        <v>14</v>
      </c>
      <c r="B26" s="235"/>
      <c r="C26" s="245" t="s">
        <v>1478</v>
      </c>
      <c r="D26" s="255"/>
      <c r="E26" s="242"/>
      <c r="F26" s="242"/>
      <c r="G26" s="346">
        <f t="shared" si="1"/>
        <v>0</v>
      </c>
      <c r="I26" s="826"/>
    </row>
    <row r="27" spans="1:11">
      <c r="A27" s="2">
        <f t="shared" si="0"/>
        <v>15</v>
      </c>
      <c r="B27" s="235"/>
      <c r="C27" s="245" t="s">
        <v>1479</v>
      </c>
      <c r="D27" s="255"/>
      <c r="E27" s="242"/>
      <c r="F27" s="242"/>
      <c r="G27" s="346">
        <f t="shared" si="1"/>
        <v>0</v>
      </c>
      <c r="I27" s="826"/>
    </row>
    <row r="28" spans="1:11">
      <c r="A28" s="2">
        <f t="shared" si="0"/>
        <v>16</v>
      </c>
      <c r="B28" s="235"/>
      <c r="C28" s="245" t="s">
        <v>1480</v>
      </c>
      <c r="D28" s="255"/>
      <c r="E28" s="242"/>
      <c r="F28" s="242"/>
      <c r="G28" s="346">
        <f t="shared" si="1"/>
        <v>0</v>
      </c>
      <c r="I28" s="826"/>
    </row>
    <row r="29" spans="1:11">
      <c r="A29" s="2">
        <f t="shared" si="0"/>
        <v>17</v>
      </c>
      <c r="B29" s="235"/>
      <c r="C29" s="245" t="s">
        <v>1482</v>
      </c>
      <c r="D29" s="255"/>
      <c r="E29" s="242"/>
      <c r="F29" s="242"/>
      <c r="G29" s="346">
        <f t="shared" si="1"/>
        <v>0</v>
      </c>
      <c r="I29" s="826"/>
    </row>
    <row r="30" spans="1:11">
      <c r="A30" s="2">
        <f t="shared" si="0"/>
        <v>18</v>
      </c>
      <c r="B30" s="235"/>
      <c r="C30" s="245" t="s">
        <v>1483</v>
      </c>
      <c r="D30" s="255">
        <v>337070.33307418227</v>
      </c>
      <c r="E30" s="242"/>
      <c r="F30" s="242"/>
      <c r="G30" s="346">
        <f t="shared" si="1"/>
        <v>337070.33307418227</v>
      </c>
      <c r="I30" s="826"/>
    </row>
    <row r="31" spans="1:11">
      <c r="A31" s="2">
        <f t="shared" si="0"/>
        <v>19</v>
      </c>
      <c r="B31" s="235"/>
      <c r="C31" s="245" t="s">
        <v>1485</v>
      </c>
      <c r="D31" s="255"/>
      <c r="E31" s="242"/>
      <c r="F31" s="242"/>
      <c r="G31" s="346">
        <f t="shared" si="1"/>
        <v>0</v>
      </c>
      <c r="I31" s="826"/>
    </row>
    <row r="32" spans="1:11">
      <c r="A32" s="2">
        <f t="shared" si="0"/>
        <v>20</v>
      </c>
      <c r="B32" s="235"/>
      <c r="C32" s="245" t="s">
        <v>1487</v>
      </c>
      <c r="D32" s="255"/>
      <c r="E32" s="242"/>
      <c r="F32" s="242"/>
      <c r="G32" s="346">
        <f t="shared" si="1"/>
        <v>0</v>
      </c>
      <c r="I32" s="826"/>
    </row>
    <row r="33" spans="1:9">
      <c r="A33" s="2">
        <f t="shared" si="0"/>
        <v>21</v>
      </c>
      <c r="B33" s="235"/>
      <c r="C33" s="245" t="s">
        <v>1488</v>
      </c>
      <c r="D33" s="255">
        <v>1452701.8981077711</v>
      </c>
      <c r="E33" s="242"/>
      <c r="F33" s="242"/>
      <c r="G33" s="346">
        <f t="shared" si="1"/>
        <v>1452701.8981077711</v>
      </c>
      <c r="I33" s="826"/>
    </row>
    <row r="34" spans="1:9">
      <c r="A34" s="2">
        <f t="shared" si="0"/>
        <v>22</v>
      </c>
      <c r="B34" s="235"/>
      <c r="C34" s="245" t="s">
        <v>1489</v>
      </c>
      <c r="D34" s="255"/>
      <c r="E34" s="242"/>
      <c r="F34" s="242"/>
      <c r="G34" s="346">
        <f t="shared" si="1"/>
        <v>0</v>
      </c>
      <c r="I34" s="826"/>
    </row>
    <row r="35" spans="1:9">
      <c r="A35" s="2">
        <f t="shared" si="0"/>
        <v>23</v>
      </c>
      <c r="B35" s="235"/>
      <c r="C35" s="245" t="s">
        <v>1490</v>
      </c>
      <c r="D35" s="255"/>
      <c r="E35" s="242"/>
      <c r="F35" s="242"/>
      <c r="G35" s="346">
        <f t="shared" si="1"/>
        <v>0</v>
      </c>
      <c r="I35" s="826"/>
    </row>
    <row r="36" spans="1:9">
      <c r="A36" s="2">
        <f t="shared" si="0"/>
        <v>24</v>
      </c>
      <c r="B36" s="235"/>
      <c r="C36" s="245" t="s">
        <v>1491</v>
      </c>
      <c r="D36" s="255">
        <v>5390.1442539620139</v>
      </c>
      <c r="E36" s="242"/>
      <c r="F36" s="242"/>
      <c r="G36" s="346">
        <f t="shared" si="1"/>
        <v>5390.1442539620139</v>
      </c>
      <c r="I36" s="826"/>
    </row>
    <row r="37" spans="1:9">
      <c r="A37" s="2">
        <f t="shared" si="0"/>
        <v>25</v>
      </c>
      <c r="B37" s="235"/>
      <c r="C37" s="245" t="s">
        <v>1492</v>
      </c>
      <c r="D37" s="255"/>
      <c r="E37" s="242"/>
      <c r="F37" s="242"/>
      <c r="G37" s="346">
        <f t="shared" si="1"/>
        <v>0</v>
      </c>
      <c r="I37" s="826"/>
    </row>
    <row r="38" spans="1:9">
      <c r="A38" s="2">
        <f t="shared" si="0"/>
        <v>26</v>
      </c>
      <c r="B38" s="235"/>
      <c r="C38" s="245" t="s">
        <v>1493</v>
      </c>
      <c r="D38" s="255"/>
      <c r="E38" s="242"/>
      <c r="F38" s="242"/>
      <c r="G38" s="346">
        <f t="shared" si="1"/>
        <v>0</v>
      </c>
      <c r="I38" s="826"/>
    </row>
    <row r="39" spans="1:9">
      <c r="A39" s="2">
        <f t="shared" si="0"/>
        <v>27</v>
      </c>
      <c r="B39" s="235"/>
      <c r="C39" s="245" t="s">
        <v>1495</v>
      </c>
      <c r="D39" s="255"/>
      <c r="E39" s="242"/>
      <c r="F39" s="242"/>
      <c r="G39" s="346">
        <f t="shared" si="1"/>
        <v>0</v>
      </c>
      <c r="I39" s="826"/>
    </row>
    <row r="40" spans="1:9">
      <c r="A40" s="2">
        <f t="shared" si="0"/>
        <v>28</v>
      </c>
      <c r="B40" s="235"/>
      <c r="C40" s="245" t="s">
        <v>1496</v>
      </c>
      <c r="D40" s="255"/>
      <c r="E40" s="242"/>
      <c r="F40" s="242"/>
      <c r="G40" s="346">
        <f t="shared" si="1"/>
        <v>0</v>
      </c>
      <c r="I40" s="826"/>
    </row>
    <row r="41" spans="1:9">
      <c r="A41" s="2">
        <f t="shared" si="0"/>
        <v>29</v>
      </c>
      <c r="B41" s="235"/>
      <c r="C41" s="245" t="s">
        <v>1497</v>
      </c>
      <c r="D41" s="255"/>
      <c r="E41" s="242"/>
      <c r="F41" s="242"/>
      <c r="G41" s="346">
        <f t="shared" si="1"/>
        <v>0</v>
      </c>
      <c r="I41" s="826"/>
    </row>
    <row r="42" spans="1:9">
      <c r="A42" s="2">
        <f t="shared" si="0"/>
        <v>30</v>
      </c>
      <c r="B42" s="235"/>
      <c r="C42" s="245" t="s">
        <v>1498</v>
      </c>
      <c r="D42" s="255">
        <v>678239.29314308369</v>
      </c>
      <c r="E42" s="242"/>
      <c r="F42" s="242"/>
      <c r="G42" s="346">
        <f t="shared" si="1"/>
        <v>678239.29314308369</v>
      </c>
      <c r="I42" s="826"/>
    </row>
    <row r="43" spans="1:9">
      <c r="A43" s="2">
        <f t="shared" si="0"/>
        <v>31</v>
      </c>
      <c r="B43" s="235"/>
      <c r="C43" s="245" t="s">
        <v>1499</v>
      </c>
      <c r="D43" s="255"/>
      <c r="E43" s="242"/>
      <c r="F43" s="242"/>
      <c r="G43" s="346">
        <f t="shared" si="1"/>
        <v>0</v>
      </c>
      <c r="I43" s="826"/>
    </row>
    <row r="44" spans="1:9">
      <c r="A44" s="2">
        <f t="shared" si="0"/>
        <v>32</v>
      </c>
      <c r="B44" s="235"/>
      <c r="C44" s="245" t="s">
        <v>1500</v>
      </c>
      <c r="D44" s="255"/>
      <c r="E44" s="242"/>
      <c r="F44" s="242"/>
      <c r="G44" s="346">
        <f t="shared" si="1"/>
        <v>0</v>
      </c>
      <c r="I44" s="826"/>
    </row>
    <row r="45" spans="1:9">
      <c r="A45" s="2">
        <f t="shared" si="0"/>
        <v>33</v>
      </c>
      <c r="B45" s="235"/>
      <c r="C45" s="245" t="s">
        <v>1501</v>
      </c>
      <c r="D45" s="255"/>
      <c r="E45" s="242"/>
      <c r="F45" s="242"/>
      <c r="G45" s="346">
        <f t="shared" si="1"/>
        <v>0</v>
      </c>
      <c r="I45" s="826"/>
    </row>
    <row r="46" spans="1:9">
      <c r="A46" s="2">
        <f t="shared" si="0"/>
        <v>34</v>
      </c>
      <c r="B46" s="235"/>
      <c r="C46" s="245" t="s">
        <v>1502</v>
      </c>
      <c r="D46" s="255">
        <v>4654.5725784185215</v>
      </c>
      <c r="E46" s="242"/>
      <c r="F46" s="242"/>
      <c r="G46" s="346">
        <f t="shared" si="1"/>
        <v>4654.5725784185215</v>
      </c>
      <c r="I46" s="826"/>
    </row>
    <row r="47" spans="1:9">
      <c r="A47" s="2">
        <f t="shared" si="0"/>
        <v>35</v>
      </c>
      <c r="B47" s="235"/>
      <c r="C47" s="245" t="s">
        <v>2145</v>
      </c>
      <c r="D47" s="255"/>
      <c r="E47" s="242"/>
      <c r="F47" s="242"/>
      <c r="G47" s="346">
        <f t="shared" si="1"/>
        <v>0</v>
      </c>
      <c r="I47" s="826"/>
    </row>
    <row r="48" spans="1:9">
      <c r="A48" s="2">
        <f t="shared" si="0"/>
        <v>36</v>
      </c>
      <c r="B48" s="235"/>
      <c r="C48" s="268" t="s">
        <v>815</v>
      </c>
      <c r="D48" s="966"/>
      <c r="E48" s="967"/>
      <c r="F48" s="967"/>
      <c r="G48" s="978"/>
      <c r="I48" s="843"/>
    </row>
    <row r="49" spans="1:9">
      <c r="A49" s="2">
        <f t="shared" si="0"/>
        <v>37</v>
      </c>
      <c r="B49" s="235"/>
      <c r="C49" s="233" t="s">
        <v>2146</v>
      </c>
      <c r="D49" s="237">
        <f>SUM(D17:D48)</f>
        <v>2856378.7024495755</v>
      </c>
      <c r="E49" s="237">
        <f t="shared" ref="E49:F49" si="2">SUM(E17:E47)</f>
        <v>0</v>
      </c>
      <c r="F49" s="237">
        <f t="shared" si="2"/>
        <v>0</v>
      </c>
      <c r="G49" s="346">
        <f>SUM(D49:F49)</f>
        <v>2856378.7024495755</v>
      </c>
    </row>
    <row r="50" spans="1:9">
      <c r="A50" s="2"/>
      <c r="B50" s="235"/>
      <c r="C50" s="233"/>
      <c r="D50" s="237"/>
      <c r="E50" s="235"/>
      <c r="F50" s="235"/>
      <c r="G50" s="235"/>
    </row>
    <row r="51" spans="1:9">
      <c r="A51" s="2"/>
      <c r="B51" s="235"/>
      <c r="C51" s="233"/>
      <c r="D51" s="48" t="s">
        <v>329</v>
      </c>
      <c r="E51" s="48" t="s">
        <v>330</v>
      </c>
      <c r="F51" s="48" t="s">
        <v>331</v>
      </c>
      <c r="G51" s="48" t="s">
        <v>332</v>
      </c>
    </row>
    <row r="52" spans="1:9">
      <c r="A52" s="2"/>
      <c r="B52" s="235"/>
      <c r="C52" s="235"/>
      <c r="D52" s="312" t="s">
        <v>2140</v>
      </c>
      <c r="E52" s="312" t="s">
        <v>2141</v>
      </c>
      <c r="F52" s="312" t="s">
        <v>2142</v>
      </c>
      <c r="G52" s="312" t="s">
        <v>2143</v>
      </c>
    </row>
    <row r="53" spans="1:9">
      <c r="A53" s="2"/>
      <c r="B53" s="235"/>
      <c r="C53" s="235"/>
      <c r="D53" s="312" t="s">
        <v>852</v>
      </c>
      <c r="E53" s="312" t="s">
        <v>852</v>
      </c>
      <c r="F53" s="312" t="s">
        <v>852</v>
      </c>
      <c r="G53" s="312" t="s">
        <v>852</v>
      </c>
    </row>
    <row r="54" spans="1:9">
      <c r="A54" s="3" t="s">
        <v>266</v>
      </c>
      <c r="B54" s="196" t="s">
        <v>2147</v>
      </c>
      <c r="C54" s="235"/>
      <c r="D54" s="330" t="s">
        <v>243</v>
      </c>
      <c r="E54" s="330" t="s">
        <v>243</v>
      </c>
      <c r="F54" s="330" t="s">
        <v>243</v>
      </c>
      <c r="G54" s="330" t="s">
        <v>243</v>
      </c>
    </row>
    <row r="55" spans="1:9">
      <c r="A55" s="2">
        <f>A49+1</f>
        <v>38</v>
      </c>
      <c r="B55" s="235"/>
      <c r="C55" s="235" t="s">
        <v>2148</v>
      </c>
      <c r="D55" s="255">
        <v>175078.07266057105</v>
      </c>
      <c r="E55" s="242"/>
      <c r="F55" s="242"/>
      <c r="G55" s="346">
        <f>SUM(D55:F55)</f>
        <v>175078.07266057105</v>
      </c>
      <c r="I55" s="826"/>
    </row>
    <row r="56" spans="1:9">
      <c r="A56" s="2">
        <f t="shared" si="0"/>
        <v>39</v>
      </c>
      <c r="B56" s="235"/>
      <c r="C56" s="235" t="s">
        <v>2149</v>
      </c>
      <c r="D56" s="255">
        <v>177575.32548941011</v>
      </c>
      <c r="E56" s="242"/>
      <c r="F56" s="242"/>
      <c r="G56" s="346">
        <f t="shared" ref="G56:G70" si="3">SUM(D56:F56)</f>
        <v>177575.32548941011</v>
      </c>
      <c r="I56" s="826"/>
    </row>
    <row r="57" spans="1:9">
      <c r="A57" s="2">
        <f t="shared" si="0"/>
        <v>40</v>
      </c>
      <c r="B57" s="235"/>
      <c r="C57" s="235" t="s">
        <v>2150</v>
      </c>
      <c r="D57" s="255">
        <v>-94130.850699584757</v>
      </c>
      <c r="E57" s="242"/>
      <c r="F57" s="242"/>
      <c r="G57" s="346">
        <f t="shared" si="3"/>
        <v>-94130.850699584757</v>
      </c>
      <c r="I57" s="826"/>
    </row>
    <row r="58" spans="1:9">
      <c r="A58" s="2">
        <f t="shared" si="0"/>
        <v>41</v>
      </c>
      <c r="B58" s="235"/>
      <c r="C58" s="235" t="s">
        <v>2151</v>
      </c>
      <c r="D58" s="255">
        <v>25807.351428883489</v>
      </c>
      <c r="E58" s="242"/>
      <c r="F58" s="242"/>
      <c r="G58" s="346">
        <f t="shared" si="3"/>
        <v>25807.351428883489</v>
      </c>
      <c r="I58" s="826"/>
    </row>
    <row r="59" spans="1:9">
      <c r="A59" s="2">
        <f t="shared" si="0"/>
        <v>42</v>
      </c>
      <c r="B59" s="235"/>
      <c r="C59" s="235" t="s">
        <v>2152</v>
      </c>
      <c r="D59" s="255">
        <v>0</v>
      </c>
      <c r="E59" s="242"/>
      <c r="F59" s="242"/>
      <c r="G59" s="346">
        <f t="shared" si="3"/>
        <v>0</v>
      </c>
      <c r="I59" s="826"/>
    </row>
    <row r="60" spans="1:9">
      <c r="A60" s="2">
        <f t="shared" si="0"/>
        <v>43</v>
      </c>
      <c r="B60" s="235"/>
      <c r="C60" s="235" t="s">
        <v>2153</v>
      </c>
      <c r="D60" s="255">
        <v>357873.12973398634</v>
      </c>
      <c r="E60" s="242"/>
      <c r="F60" s="242"/>
      <c r="G60" s="346">
        <f t="shared" si="3"/>
        <v>357873.12973398634</v>
      </c>
      <c r="I60" s="826"/>
    </row>
    <row r="61" spans="1:9">
      <c r="A61" s="2">
        <f t="shared" si="0"/>
        <v>44</v>
      </c>
      <c r="B61" s="235"/>
      <c r="C61" s="235" t="s">
        <v>2154</v>
      </c>
      <c r="D61" s="255">
        <v>30376.58562086922</v>
      </c>
      <c r="E61" s="242"/>
      <c r="F61" s="242"/>
      <c r="G61" s="346">
        <f t="shared" si="3"/>
        <v>30376.58562086922</v>
      </c>
      <c r="I61" s="826"/>
    </row>
    <row r="62" spans="1:9">
      <c r="A62" s="2">
        <f t="shared" si="0"/>
        <v>45</v>
      </c>
      <c r="B62" s="235"/>
      <c r="C62" s="235" t="s">
        <v>2155</v>
      </c>
      <c r="D62" s="255">
        <v>32387.361087323825</v>
      </c>
      <c r="E62" s="242"/>
      <c r="F62" s="242"/>
      <c r="G62" s="346">
        <f t="shared" si="3"/>
        <v>32387.361087323825</v>
      </c>
      <c r="I62" s="854"/>
    </row>
    <row r="63" spans="1:9">
      <c r="A63" s="2">
        <f t="shared" si="0"/>
        <v>46</v>
      </c>
      <c r="B63" s="969"/>
      <c r="C63" s="235" t="s">
        <v>2156</v>
      </c>
      <c r="D63" s="255">
        <v>456.00444789714527</v>
      </c>
      <c r="E63" s="242"/>
      <c r="F63" s="242"/>
      <c r="G63" s="346">
        <f t="shared" si="3"/>
        <v>456.00444789714527</v>
      </c>
      <c r="I63" s="826"/>
    </row>
    <row r="64" spans="1:9">
      <c r="A64" s="2">
        <f t="shared" si="0"/>
        <v>47</v>
      </c>
      <c r="B64" s="970"/>
      <c r="C64" s="235" t="s">
        <v>2157</v>
      </c>
      <c r="D64" s="255">
        <v>0</v>
      </c>
      <c r="E64" s="242"/>
      <c r="F64" s="242"/>
      <c r="G64" s="346">
        <f t="shared" si="3"/>
        <v>0</v>
      </c>
      <c r="I64" s="826"/>
    </row>
    <row r="65" spans="1:9">
      <c r="A65" s="2">
        <f t="shared" si="0"/>
        <v>48</v>
      </c>
      <c r="B65" s="305"/>
      <c r="C65" s="235" t="s">
        <v>2158</v>
      </c>
      <c r="D65" s="255">
        <v>8754.4721743002847</v>
      </c>
      <c r="E65" s="242"/>
      <c r="F65" s="242"/>
      <c r="G65" s="346">
        <f t="shared" si="3"/>
        <v>8754.4721743002847</v>
      </c>
      <c r="I65" s="826"/>
    </row>
    <row r="66" spans="1:9">
      <c r="A66" s="2">
        <f t="shared" si="0"/>
        <v>49</v>
      </c>
      <c r="B66" s="970"/>
      <c r="C66" s="235" t="s">
        <v>2159</v>
      </c>
      <c r="D66" s="255">
        <v>9875.2261004573793</v>
      </c>
      <c r="E66" s="242"/>
      <c r="F66" s="242"/>
      <c r="G66" s="346">
        <f t="shared" si="3"/>
        <v>9875.2261004573793</v>
      </c>
      <c r="I66" s="826"/>
    </row>
    <row r="67" spans="1:9">
      <c r="A67" s="2">
        <f t="shared" si="0"/>
        <v>50</v>
      </c>
      <c r="B67" s="970"/>
      <c r="C67" s="235" t="s">
        <v>2160</v>
      </c>
      <c r="D67" s="255">
        <v>5845.3445302409</v>
      </c>
      <c r="E67" s="242"/>
      <c r="F67" s="242"/>
      <c r="G67" s="346">
        <f t="shared" si="3"/>
        <v>5845.3445302409</v>
      </c>
      <c r="I67" s="826"/>
    </row>
    <row r="68" spans="1:9">
      <c r="A68" s="2">
        <f t="shared" si="0"/>
        <v>51</v>
      </c>
      <c r="B68" s="235"/>
      <c r="C68" s="235" t="s">
        <v>2161</v>
      </c>
      <c r="D68" s="255">
        <v>14265.869754854435</v>
      </c>
      <c r="E68" s="242"/>
      <c r="F68" s="242"/>
      <c r="G68" s="346">
        <f t="shared" si="3"/>
        <v>14265.869754854435</v>
      </c>
      <c r="I68" s="843"/>
    </row>
    <row r="69" spans="1:9">
      <c r="A69" s="2">
        <f t="shared" si="0"/>
        <v>52</v>
      </c>
      <c r="B69" s="235"/>
      <c r="C69" s="268" t="s">
        <v>815</v>
      </c>
      <c r="D69" s="966"/>
      <c r="E69" s="967"/>
      <c r="F69" s="967"/>
      <c r="G69" s="971"/>
      <c r="I69" s="843"/>
    </row>
    <row r="70" spans="1:9">
      <c r="A70" s="2">
        <f t="shared" si="0"/>
        <v>53</v>
      </c>
      <c r="B70" s="235"/>
      <c r="C70" s="233" t="s">
        <v>2162</v>
      </c>
      <c r="D70" s="237">
        <f>SUM(D55:D68)</f>
        <v>744163.89232920948</v>
      </c>
      <c r="E70" s="237">
        <f t="shared" ref="E70:F70" si="4">SUM(E55:E68)</f>
        <v>0</v>
      </c>
      <c r="F70" s="237">
        <f t="shared" si="4"/>
        <v>0</v>
      </c>
      <c r="G70" s="346">
        <f t="shared" si="3"/>
        <v>744163.89232920948</v>
      </c>
    </row>
    <row r="71" spans="1:9">
      <c r="A71" s="2"/>
      <c r="B71" s="235"/>
      <c r="C71" s="233"/>
      <c r="D71" s="237"/>
      <c r="E71" s="237"/>
      <c r="F71" s="237"/>
      <c r="G71" s="346"/>
    </row>
    <row r="72" spans="1:9">
      <c r="A72" s="2"/>
      <c r="B72" s="235"/>
      <c r="C72" s="233"/>
      <c r="D72" s="48" t="s">
        <v>329</v>
      </c>
      <c r="E72" s="48" t="s">
        <v>330</v>
      </c>
      <c r="F72" s="48" t="s">
        <v>331</v>
      </c>
      <c r="G72" s="48" t="s">
        <v>332</v>
      </c>
    </row>
    <row r="73" spans="1:9">
      <c r="A73" s="2"/>
      <c r="B73" s="235"/>
      <c r="C73" s="233"/>
      <c r="D73" s="312" t="s">
        <v>2140</v>
      </c>
      <c r="E73" s="312" t="s">
        <v>2141</v>
      </c>
      <c r="F73" s="312" t="s">
        <v>2142</v>
      </c>
      <c r="G73" s="312" t="s">
        <v>2143</v>
      </c>
    </row>
    <row r="74" spans="1:9">
      <c r="A74" s="2"/>
      <c r="B74" s="235"/>
      <c r="C74" s="235"/>
      <c r="D74" s="312" t="s">
        <v>852</v>
      </c>
      <c r="E74" s="312" t="s">
        <v>852</v>
      </c>
      <c r="F74" s="312" t="s">
        <v>852</v>
      </c>
      <c r="G74" s="312" t="s">
        <v>852</v>
      </c>
    </row>
    <row r="75" spans="1:9">
      <c r="A75" s="3" t="s">
        <v>266</v>
      </c>
      <c r="B75" s="196" t="s">
        <v>2163</v>
      </c>
      <c r="C75" s="235"/>
      <c r="D75" s="330" t="s">
        <v>243</v>
      </c>
      <c r="E75" s="330" t="s">
        <v>243</v>
      </c>
      <c r="F75" s="330" t="s">
        <v>243</v>
      </c>
      <c r="G75" s="330" t="s">
        <v>243</v>
      </c>
    </row>
    <row r="76" spans="1:9">
      <c r="A76" s="2">
        <f>A70+1</f>
        <v>54</v>
      </c>
      <c r="B76" s="235"/>
      <c r="C76" s="235" t="s">
        <v>125</v>
      </c>
      <c r="D76" s="255">
        <v>7061803.2205522228</v>
      </c>
      <c r="E76" s="242"/>
      <c r="F76" s="242"/>
      <c r="G76" s="968">
        <f>SUM(D76:F76)</f>
        <v>7061803.2205522228</v>
      </c>
      <c r="I76" s="843"/>
    </row>
    <row r="77" spans="1:9">
      <c r="A77" s="2">
        <f>A76+1</f>
        <v>55</v>
      </c>
      <c r="B77" s="235"/>
      <c r="C77" s="233" t="s">
        <v>2164</v>
      </c>
      <c r="D77" s="237">
        <f>SUM(D76)</f>
        <v>7061803.2205522228</v>
      </c>
      <c r="E77" s="237">
        <f>SUM(E76)</f>
        <v>0</v>
      </c>
      <c r="F77" s="237">
        <f>SUM(F76)</f>
        <v>0</v>
      </c>
      <c r="G77" s="346">
        <f t="shared" ref="G77" si="5">SUM(D77:F77)</f>
        <v>7061803.2205522228</v>
      </c>
    </row>
    <row r="78" spans="1:9">
      <c r="A78" s="2"/>
      <c r="B78" s="235"/>
      <c r="C78" s="235"/>
      <c r="D78" s="235"/>
      <c r="E78" s="235"/>
      <c r="F78" s="235"/>
      <c r="G78" s="235"/>
    </row>
    <row r="79" spans="1:9">
      <c r="A79" s="2"/>
      <c r="B79" s="235"/>
      <c r="C79" s="235"/>
      <c r="D79" s="235"/>
      <c r="E79" s="235"/>
      <c r="F79" s="235"/>
      <c r="G79" s="235"/>
    </row>
    <row r="80" spans="1:9">
      <c r="A80" s="2"/>
      <c r="B80" s="235"/>
      <c r="C80" s="235"/>
      <c r="D80" s="48" t="s">
        <v>329</v>
      </c>
      <c r="E80" s="48" t="s">
        <v>330</v>
      </c>
      <c r="F80" s="48" t="s">
        <v>331</v>
      </c>
      <c r="G80" s="48" t="s">
        <v>332</v>
      </c>
    </row>
    <row r="81" spans="1:11">
      <c r="A81" s="2"/>
      <c r="B81" s="235"/>
      <c r="C81" s="235"/>
      <c r="D81" s="312" t="s">
        <v>2140</v>
      </c>
      <c r="E81" s="312" t="s">
        <v>2141</v>
      </c>
      <c r="F81" s="312" t="s">
        <v>2142</v>
      </c>
      <c r="G81" s="312" t="s">
        <v>2143</v>
      </c>
    </row>
    <row r="82" spans="1:11">
      <c r="A82" s="235"/>
      <c r="B82" s="235"/>
      <c r="C82" s="235"/>
      <c r="D82" s="312" t="s">
        <v>852</v>
      </c>
      <c r="E82" s="312" t="s">
        <v>852</v>
      </c>
      <c r="F82" s="312" t="s">
        <v>852</v>
      </c>
      <c r="G82" s="312" t="s">
        <v>852</v>
      </c>
    </row>
    <row r="83" spans="1:11">
      <c r="A83" s="3" t="s">
        <v>266</v>
      </c>
      <c r="B83" s="196" t="s">
        <v>2165</v>
      </c>
      <c r="C83" s="235"/>
      <c r="D83" s="330" t="s">
        <v>243</v>
      </c>
      <c r="E83" s="330" t="s">
        <v>243</v>
      </c>
      <c r="F83" s="330" t="s">
        <v>243</v>
      </c>
      <c r="G83" s="330" t="s">
        <v>243</v>
      </c>
    </row>
    <row r="84" spans="1:11">
      <c r="A84" s="2">
        <f>A77+1</f>
        <v>56</v>
      </c>
      <c r="B84" s="235"/>
      <c r="C84" s="278" t="s">
        <v>132</v>
      </c>
      <c r="D84" s="255">
        <v>40426.649625772043</v>
      </c>
      <c r="E84" s="242"/>
      <c r="F84" s="242"/>
      <c r="G84" s="346">
        <f>SUM(D84:F84)</f>
        <v>40426.649625772043</v>
      </c>
      <c r="I84" s="826"/>
      <c r="K84" s="190"/>
    </row>
    <row r="85" spans="1:11">
      <c r="A85" s="2">
        <f t="shared" ref="A85:A91" si="6">A84+1</f>
        <v>57</v>
      </c>
      <c r="B85" s="235"/>
      <c r="C85" s="278" t="s">
        <v>133</v>
      </c>
      <c r="D85" s="255">
        <v>980.37999092465975</v>
      </c>
      <c r="E85" s="242"/>
      <c r="F85" s="242"/>
      <c r="G85" s="346">
        <f t="shared" ref="G85:G86" si="7">SUM(D85:F85)</f>
        <v>980.37999092465975</v>
      </c>
      <c r="I85" s="826"/>
      <c r="K85" s="190"/>
    </row>
    <row r="86" spans="1:11">
      <c r="A86" s="2">
        <f t="shared" si="6"/>
        <v>58</v>
      </c>
      <c r="B86" s="235"/>
      <c r="C86" s="278" t="s">
        <v>134</v>
      </c>
      <c r="D86" s="255">
        <v>-26.754999752329983</v>
      </c>
      <c r="E86" s="242"/>
      <c r="F86" s="242"/>
      <c r="G86" s="346">
        <f t="shared" si="7"/>
        <v>-26.754999752329983</v>
      </c>
      <c r="I86" s="826"/>
      <c r="K86" s="190"/>
    </row>
    <row r="87" spans="1:11">
      <c r="A87" s="2">
        <f t="shared" si="6"/>
        <v>59</v>
      </c>
      <c r="B87" s="235"/>
      <c r="C87" s="278" t="s">
        <v>135</v>
      </c>
      <c r="D87" s="255">
        <v>1454.0549865398682</v>
      </c>
      <c r="E87" s="242"/>
      <c r="F87" s="242"/>
      <c r="G87" s="346">
        <f t="shared" ref="G87:G90" si="8">SUM(D87:F87)</f>
        <v>1454.0549865398682</v>
      </c>
      <c r="I87" s="826"/>
      <c r="K87" s="234"/>
    </row>
    <row r="88" spans="1:11">
      <c r="A88" s="2">
        <f t="shared" si="6"/>
        <v>60</v>
      </c>
      <c r="B88" s="235"/>
      <c r="C88" s="278" t="s">
        <v>136</v>
      </c>
      <c r="D88" s="255">
        <v>190.23999823895556</v>
      </c>
      <c r="E88" s="242"/>
      <c r="F88" s="242"/>
      <c r="G88" s="346">
        <f t="shared" si="8"/>
        <v>190.23999823895556</v>
      </c>
      <c r="I88" s="826"/>
      <c r="K88" s="12"/>
    </row>
    <row r="89" spans="1:11">
      <c r="A89" s="2">
        <f t="shared" si="6"/>
        <v>61</v>
      </c>
      <c r="B89" s="235"/>
      <c r="C89" s="278" t="s">
        <v>137</v>
      </c>
      <c r="D89" s="255">
        <v>790.3949926833435</v>
      </c>
      <c r="E89" s="242"/>
      <c r="F89" s="242"/>
      <c r="G89" s="346">
        <f t="shared" si="8"/>
        <v>790.3949926833435</v>
      </c>
      <c r="I89" s="826"/>
      <c r="K89" s="12"/>
    </row>
    <row r="90" spans="1:11">
      <c r="A90" s="2">
        <f t="shared" si="6"/>
        <v>62</v>
      </c>
      <c r="B90" s="235"/>
      <c r="C90" s="278" t="s">
        <v>138</v>
      </c>
      <c r="D90" s="61">
        <v>8.7299999191867226</v>
      </c>
      <c r="E90" s="242"/>
      <c r="F90" s="242"/>
      <c r="G90" s="968">
        <f t="shared" si="8"/>
        <v>8.7299999191867226</v>
      </c>
      <c r="I90" s="843"/>
      <c r="K90" s="12"/>
    </row>
    <row r="91" spans="1:11">
      <c r="A91" s="2">
        <f t="shared" si="6"/>
        <v>63</v>
      </c>
      <c r="B91" s="235"/>
      <c r="C91" s="233" t="s">
        <v>2166</v>
      </c>
      <c r="D91" s="237">
        <f>SUM(D84:D90)</f>
        <v>43823.694594325731</v>
      </c>
      <c r="E91" s="237">
        <f t="shared" ref="E91:F91" si="9">SUM(E84:E90)</f>
        <v>0</v>
      </c>
      <c r="F91" s="237">
        <f t="shared" si="9"/>
        <v>0</v>
      </c>
      <c r="G91" s="346">
        <f>SUM(D91:F91)</f>
        <v>43823.694594325731</v>
      </c>
    </row>
    <row r="92" spans="1:11">
      <c r="A92" s="2"/>
      <c r="B92" s="235"/>
      <c r="C92" s="233"/>
      <c r="D92" s="237"/>
      <c r="E92" s="237"/>
      <c r="F92" s="237"/>
      <c r="G92" s="346"/>
    </row>
    <row r="93" spans="1:11">
      <c r="A93" s="2"/>
      <c r="B93" s="235"/>
      <c r="C93" s="233"/>
      <c r="D93" s="48" t="s">
        <v>329</v>
      </c>
      <c r="E93" s="48" t="s">
        <v>330</v>
      </c>
      <c r="F93" s="48" t="s">
        <v>331</v>
      </c>
      <c r="G93" s="48" t="s">
        <v>332</v>
      </c>
    </row>
    <row r="94" spans="1:11">
      <c r="A94" s="2"/>
      <c r="B94" s="235"/>
      <c r="C94" s="1"/>
      <c r="D94" s="312" t="s">
        <v>2140</v>
      </c>
      <c r="E94" s="312" t="s">
        <v>2141</v>
      </c>
      <c r="F94" s="312" t="s">
        <v>2142</v>
      </c>
      <c r="G94" s="312" t="s">
        <v>2143</v>
      </c>
    </row>
    <row r="95" spans="1:11">
      <c r="A95" s="2"/>
      <c r="B95" s="235"/>
      <c r="C95" s="235"/>
      <c r="D95" s="312" t="s">
        <v>852</v>
      </c>
      <c r="E95" s="312" t="s">
        <v>852</v>
      </c>
      <c r="F95" s="312" t="s">
        <v>852</v>
      </c>
      <c r="G95" s="312" t="s">
        <v>852</v>
      </c>
    </row>
    <row r="96" spans="1:11">
      <c r="A96" s="3" t="s">
        <v>266</v>
      </c>
      <c r="B96" s="196" t="s">
        <v>2167</v>
      </c>
      <c r="C96" s="235"/>
      <c r="D96" s="330" t="s">
        <v>243</v>
      </c>
      <c r="E96" s="330" t="s">
        <v>243</v>
      </c>
      <c r="F96" s="330" t="s">
        <v>243</v>
      </c>
      <c r="G96" s="330" t="s">
        <v>243</v>
      </c>
    </row>
    <row r="97" spans="1:9">
      <c r="A97" s="2">
        <f>A91+1</f>
        <v>64</v>
      </c>
      <c r="B97" s="235"/>
      <c r="C97" s="235" t="s">
        <v>2168</v>
      </c>
      <c r="D97" s="255">
        <v>745492.57696504239</v>
      </c>
      <c r="E97" s="242"/>
      <c r="F97" s="242"/>
      <c r="G97" s="346">
        <f>SUM(D97:F97)</f>
        <v>745492.57696504239</v>
      </c>
      <c r="H97" s="848"/>
      <c r="I97" s="826"/>
    </row>
    <row r="98" spans="1:9">
      <c r="A98" s="2">
        <f t="shared" ref="A98:A113" si="10">A97+1</f>
        <v>65</v>
      </c>
      <c r="B98" s="235"/>
      <c r="C98" s="235" t="s">
        <v>111</v>
      </c>
      <c r="D98" s="255">
        <v>46337.739778119052</v>
      </c>
      <c r="E98" s="242"/>
      <c r="F98" s="242"/>
      <c r="G98" s="346">
        <f t="shared" ref="G98:G101" si="11">SUM(D98:F98)</f>
        <v>46337.739778119052</v>
      </c>
      <c r="H98" s="848"/>
      <c r="I98" s="826"/>
    </row>
    <row r="99" spans="1:9">
      <c r="A99" s="2">
        <f t="shared" ref="A99:A110" si="12">A98+1</f>
        <v>66</v>
      </c>
      <c r="B99" s="235"/>
      <c r="C99" s="235" t="s">
        <v>2169</v>
      </c>
      <c r="D99" s="255"/>
      <c r="E99" s="242"/>
      <c r="F99" s="242"/>
      <c r="G99" s="346">
        <f t="shared" si="11"/>
        <v>0</v>
      </c>
      <c r="H99" s="848"/>
      <c r="I99" s="826"/>
    </row>
    <row r="100" spans="1:9">
      <c r="A100" s="2">
        <f t="shared" si="12"/>
        <v>67</v>
      </c>
      <c r="B100" s="235"/>
      <c r="C100" s="235" t="s">
        <v>2170</v>
      </c>
      <c r="D100" s="255"/>
      <c r="E100" s="242"/>
      <c r="F100" s="242"/>
      <c r="G100" s="346">
        <f t="shared" si="11"/>
        <v>0</v>
      </c>
      <c r="H100" s="848"/>
      <c r="I100" s="826"/>
    </row>
    <row r="101" spans="1:9">
      <c r="A101" s="2">
        <f t="shared" si="12"/>
        <v>68</v>
      </c>
      <c r="B101" s="235"/>
      <c r="C101" s="268" t="s">
        <v>815</v>
      </c>
      <c r="D101" s="888"/>
      <c r="E101" s="967"/>
      <c r="F101" s="967"/>
      <c r="G101" s="968">
        <f t="shared" si="11"/>
        <v>0</v>
      </c>
      <c r="H101" s="848"/>
      <c r="I101" s="826"/>
    </row>
    <row r="102" spans="1:9">
      <c r="A102" s="2">
        <f t="shared" si="12"/>
        <v>69</v>
      </c>
      <c r="B102" s="235"/>
      <c r="C102" s="233" t="s">
        <v>2171</v>
      </c>
      <c r="D102" s="237">
        <f>SUM(D97:D101)</f>
        <v>791830.31674316141</v>
      </c>
      <c r="E102" s="237">
        <f t="shared" ref="E102:F102" si="13">SUM(E97:E101)</f>
        <v>0</v>
      </c>
      <c r="F102" s="237">
        <f t="shared" si="13"/>
        <v>0</v>
      </c>
      <c r="G102" s="346">
        <f>SUM(D102:F102)</f>
        <v>791830.31674316141</v>
      </c>
    </row>
    <row r="103" spans="1:9">
      <c r="A103" s="2">
        <f t="shared" si="12"/>
        <v>70</v>
      </c>
      <c r="B103" s="235"/>
      <c r="C103" s="233"/>
      <c r="D103" s="237"/>
      <c r="E103" s="237"/>
      <c r="F103" s="237"/>
      <c r="G103" s="346"/>
    </row>
    <row r="104" spans="1:9">
      <c r="A104" s="2">
        <f t="shared" si="12"/>
        <v>71</v>
      </c>
      <c r="B104" s="235"/>
      <c r="C104" s="235"/>
      <c r="D104" s="48" t="s">
        <v>329</v>
      </c>
      <c r="E104" s="48" t="s">
        <v>330</v>
      </c>
      <c r="F104" s="48" t="s">
        <v>331</v>
      </c>
      <c r="G104" s="235"/>
    </row>
    <row r="105" spans="1:9">
      <c r="A105" s="2">
        <f t="shared" si="12"/>
        <v>72</v>
      </c>
      <c r="B105" s="235"/>
      <c r="C105" s="235"/>
      <c r="D105" s="312" t="s">
        <v>2140</v>
      </c>
      <c r="E105" s="312" t="s">
        <v>2141</v>
      </c>
      <c r="F105" s="312" t="s">
        <v>2142</v>
      </c>
      <c r="G105" s="235"/>
    </row>
    <row r="106" spans="1:9">
      <c r="A106" s="2">
        <f t="shared" si="12"/>
        <v>73</v>
      </c>
      <c r="B106" s="235"/>
      <c r="C106" s="235"/>
      <c r="D106" s="312" t="s">
        <v>852</v>
      </c>
      <c r="E106" s="312" t="s">
        <v>852</v>
      </c>
      <c r="F106" s="312" t="s">
        <v>852</v>
      </c>
      <c r="G106" s="235"/>
    </row>
    <row r="107" spans="1:9">
      <c r="A107" s="2">
        <f t="shared" si="12"/>
        <v>74</v>
      </c>
      <c r="B107" s="235"/>
      <c r="C107" s="235"/>
      <c r="D107" s="330" t="s">
        <v>243</v>
      </c>
      <c r="E107" s="330" t="s">
        <v>243</v>
      </c>
      <c r="F107" s="330" t="s">
        <v>243</v>
      </c>
      <c r="G107" s="235"/>
    </row>
    <row r="108" spans="1:9">
      <c r="A108" s="2">
        <f t="shared" si="12"/>
        <v>75</v>
      </c>
      <c r="B108" s="235"/>
      <c r="C108" s="233" t="s">
        <v>2172</v>
      </c>
      <c r="D108" s="237">
        <f>D49+D70+D77+D91+D102</f>
        <v>11497999.826668495</v>
      </c>
      <c r="E108" s="237">
        <f>E49+E70+E77+E91+E102</f>
        <v>0</v>
      </c>
      <c r="F108" s="237">
        <f>F49+F70+F77+F91+F102</f>
        <v>0</v>
      </c>
      <c r="G108" s="235"/>
    </row>
    <row r="109" spans="1:9">
      <c r="A109" s="2">
        <f t="shared" si="12"/>
        <v>76</v>
      </c>
      <c r="B109" s="235"/>
      <c r="C109" s="235"/>
      <c r="D109" s="235"/>
      <c r="E109" s="235"/>
      <c r="F109" s="235"/>
      <c r="G109" s="235"/>
    </row>
    <row r="110" spans="1:9">
      <c r="A110" s="2">
        <f t="shared" si="12"/>
        <v>77</v>
      </c>
      <c r="B110" s="235"/>
      <c r="C110" s="235"/>
      <c r="D110" s="235"/>
      <c r="E110" s="235"/>
      <c r="F110" s="235"/>
      <c r="G110" s="235"/>
    </row>
    <row r="111" spans="1:9">
      <c r="A111" s="2">
        <f t="shared" si="10"/>
        <v>78</v>
      </c>
      <c r="B111" s="235"/>
      <c r="C111" s="235"/>
      <c r="D111" s="312" t="s">
        <v>852</v>
      </c>
      <c r="E111" s="235"/>
      <c r="F111" s="235"/>
      <c r="G111" s="235"/>
    </row>
    <row r="112" spans="1:9">
      <c r="A112" s="2">
        <f t="shared" si="10"/>
        <v>79</v>
      </c>
      <c r="B112" s="235"/>
      <c r="C112" s="235"/>
      <c r="D112" s="330" t="s">
        <v>243</v>
      </c>
      <c r="E112" s="3" t="s">
        <v>246</v>
      </c>
      <c r="F112" s="235"/>
      <c r="G112" s="235"/>
    </row>
    <row r="113" spans="1:7">
      <c r="A113" s="2">
        <f t="shared" si="10"/>
        <v>80</v>
      </c>
      <c r="B113" s="235"/>
      <c r="C113" s="233" t="s">
        <v>2173</v>
      </c>
      <c r="D113" s="237">
        <f>D108+E108+F108</f>
        <v>11497999.826668495</v>
      </c>
      <c r="E113" s="234" t="s">
        <v>2717</v>
      </c>
      <c r="F113" s="235"/>
      <c r="G113" s="235"/>
    </row>
    <row r="114" spans="1:7">
      <c r="A114" s="2"/>
      <c r="B114" s="235"/>
      <c r="C114" s="233"/>
      <c r="D114" s="237"/>
      <c r="E114" s="234"/>
      <c r="F114" s="235"/>
      <c r="G114" s="235"/>
    </row>
    <row r="115" spans="1:7" ht="15">
      <c r="A115" s="2"/>
      <c r="B115" s="30" t="s">
        <v>426</v>
      </c>
      <c r="C115" s="233"/>
      <c r="D115" s="237"/>
      <c r="E115" s="972"/>
      <c r="F115" s="973"/>
      <c r="G115" s="973"/>
    </row>
    <row r="116" spans="1:7" ht="15">
      <c r="A116" s="2"/>
      <c r="B116" s="235" t="s">
        <v>2174</v>
      </c>
      <c r="C116" s="233"/>
      <c r="D116" s="237"/>
      <c r="E116" s="972"/>
      <c r="F116" s="973"/>
      <c r="G116" s="973"/>
    </row>
    <row r="117" spans="1:7" ht="15">
      <c r="A117" s="2"/>
      <c r="B117" s="234" t="s">
        <v>2175</v>
      </c>
      <c r="C117" s="235"/>
      <c r="D117" s="235"/>
      <c r="E117" s="973"/>
      <c r="F117" s="973"/>
      <c r="G117" s="973"/>
    </row>
    <row r="118" spans="1:7">
      <c r="A118" s="2"/>
      <c r="B118" s="30" t="s">
        <v>226</v>
      </c>
      <c r="C118" s="235"/>
      <c r="D118" s="235"/>
      <c r="E118" s="235"/>
      <c r="F118" s="235"/>
      <c r="G118" s="235"/>
    </row>
    <row r="119" spans="1:7">
      <c r="A119" s="2"/>
      <c r="B119" s="234" t="s">
        <v>2176</v>
      </c>
      <c r="C119" s="235"/>
      <c r="D119" s="235"/>
      <c r="E119" s="235"/>
      <c r="F119" s="235"/>
      <c r="G119" s="235"/>
    </row>
    <row r="120" spans="1:7">
      <c r="A120" s="2"/>
      <c r="B120" s="249" t="s">
        <v>2177</v>
      </c>
      <c r="C120" s="235"/>
      <c r="D120" s="235"/>
      <c r="E120" s="235"/>
      <c r="F120" s="235"/>
      <c r="G120" s="235"/>
    </row>
    <row r="121" spans="1:7">
      <c r="A121" s="2"/>
      <c r="B121" s="234" t="s">
        <v>2178</v>
      </c>
      <c r="C121" s="235"/>
      <c r="D121" s="235"/>
      <c r="E121" s="235"/>
      <c r="F121" s="235"/>
      <c r="G121" s="235"/>
    </row>
    <row r="122" spans="1:7">
      <c r="A122" s="2"/>
      <c r="B122" s="249" t="s">
        <v>2179</v>
      </c>
      <c r="C122" s="235"/>
      <c r="D122" s="235"/>
      <c r="E122" s="235"/>
      <c r="F122" s="235"/>
      <c r="G122" s="235"/>
    </row>
    <row r="123" spans="1:7">
      <c r="A123" s="2"/>
      <c r="B123" s="234" t="s">
        <v>2180</v>
      </c>
      <c r="C123" s="235"/>
      <c r="D123" s="235"/>
      <c r="E123" s="235"/>
      <c r="F123" s="235"/>
      <c r="G123" s="235"/>
    </row>
    <row r="124" spans="1:7">
      <c r="A124" s="2"/>
      <c r="B124" s="249" t="s">
        <v>2181</v>
      </c>
      <c r="C124" s="235"/>
      <c r="D124" s="235"/>
      <c r="E124" s="235"/>
      <c r="F124" s="235"/>
      <c r="G124" s="235"/>
    </row>
    <row r="125" spans="1:7">
      <c r="A125" s="611"/>
      <c r="B125" s="834"/>
    </row>
    <row r="126" spans="1:7">
      <c r="A126" s="611"/>
    </row>
    <row r="127" spans="1:7">
      <c r="A127" s="611"/>
      <c r="B127" s="593"/>
      <c r="C127" s="666"/>
      <c r="D127" s="666"/>
    </row>
    <row r="128" spans="1:7">
      <c r="B128" s="835"/>
      <c r="C128" s="593"/>
      <c r="D128" s="593"/>
    </row>
    <row r="129" spans="2:4">
      <c r="B129" s="835"/>
      <c r="D129" s="593"/>
    </row>
    <row r="130" spans="2:4">
      <c r="B130" s="835"/>
      <c r="D130" s="593"/>
    </row>
    <row r="131" spans="2:4">
      <c r="B131" s="835"/>
      <c r="D131" s="593"/>
    </row>
    <row r="132" spans="2:4">
      <c r="B132" s="835"/>
      <c r="D132" s="593"/>
    </row>
  </sheetData>
  <phoneticPr fontId="23" type="noConversion"/>
  <pageMargins left="0.7" right="0.7" top="0.75" bottom="0.75" header="0.3" footer="0.3"/>
  <pageSetup scale="70" orientation="portrait" r:id="rId1"/>
  <headerFooter>
    <oddHeader>&amp;CSchedule 35
Other Formula Revenue&amp;RTO2025 Annual Update 
Attachment 1</oddHeader>
    <oddFooter>&amp;R&amp;A</oddFooter>
  </headerFooter>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75"/>
  <cols>
    <col min="1" max="1" width="4.5703125" customWidth="1"/>
    <col min="2" max="2" width="20.5703125" customWidth="1"/>
    <col min="3" max="4" width="16.5703125" customWidth="1"/>
    <col min="5" max="5" width="24.5703125" customWidth="1"/>
    <col min="6" max="6" width="9.42578125" customWidth="1"/>
    <col min="7" max="7" width="9" bestFit="1" customWidth="1"/>
    <col min="10" max="10" width="18.5703125" customWidth="1"/>
    <col min="11" max="11" width="20.5703125" customWidth="1"/>
  </cols>
  <sheetData>
    <row r="1" spans="1:6">
      <c r="A1" s="1" t="s">
        <v>261</v>
      </c>
    </row>
    <row r="2" spans="1:6">
      <c r="A2" s="1"/>
    </row>
    <row r="3" spans="1:6">
      <c r="B3" s="235" t="s">
        <v>262</v>
      </c>
    </row>
    <row r="4" spans="1:6">
      <c r="A4" s="1"/>
      <c r="B4" s="234" t="s">
        <v>263</v>
      </c>
    </row>
    <row r="5" spans="1:6">
      <c r="A5" s="1"/>
      <c r="B5" s="234" t="s">
        <v>264</v>
      </c>
    </row>
    <row r="7" spans="1:6">
      <c r="B7" s="1" t="s">
        <v>265</v>
      </c>
    </row>
    <row r="8" spans="1:6">
      <c r="E8" s="12"/>
    </row>
    <row r="9" spans="1:6">
      <c r="A9" s="30" t="s">
        <v>266</v>
      </c>
      <c r="B9" s="40" t="s">
        <v>267</v>
      </c>
    </row>
    <row r="10" spans="1:6">
      <c r="A10" s="2">
        <v>1</v>
      </c>
    </row>
    <row r="11" spans="1:6">
      <c r="A11" s="2">
        <f>A10+1</f>
        <v>2</v>
      </c>
      <c r="B11" s="249" t="s">
        <v>268</v>
      </c>
    </row>
    <row r="12" spans="1:6">
      <c r="A12" s="2">
        <f t="shared" ref="A12:A87" si="0">A11+1</f>
        <v>3</v>
      </c>
      <c r="B12" s="249" t="s">
        <v>269</v>
      </c>
    </row>
    <row r="13" spans="1:6">
      <c r="A13" s="2">
        <f t="shared" si="0"/>
        <v>4</v>
      </c>
      <c r="B13" s="249"/>
    </row>
    <row r="14" spans="1:6">
      <c r="A14" s="2">
        <f t="shared" si="0"/>
        <v>5</v>
      </c>
      <c r="B14" s="249" t="s">
        <v>270</v>
      </c>
    </row>
    <row r="15" spans="1:6">
      <c r="A15" s="2">
        <f t="shared" si="0"/>
        <v>6</v>
      </c>
      <c r="B15" s="190"/>
    </row>
    <row r="16" spans="1:6">
      <c r="A16" s="2">
        <f t="shared" si="0"/>
        <v>7</v>
      </c>
      <c r="B16" s="249" t="s">
        <v>271</v>
      </c>
      <c r="F16" s="62"/>
    </row>
    <row r="17" spans="1:7">
      <c r="A17" s="2">
        <f t="shared" si="0"/>
        <v>8</v>
      </c>
      <c r="B17" s="483" t="s">
        <v>272</v>
      </c>
      <c r="F17" s="7"/>
    </row>
    <row r="18" spans="1:7">
      <c r="A18" s="2">
        <f t="shared" si="0"/>
        <v>9</v>
      </c>
      <c r="B18" s="483" t="s">
        <v>273</v>
      </c>
      <c r="F18" s="7"/>
    </row>
    <row r="19" spans="1:7">
      <c r="A19" s="2">
        <f t="shared" si="0"/>
        <v>10</v>
      </c>
      <c r="B19" s="483" t="s">
        <v>190</v>
      </c>
      <c r="E19" s="233"/>
      <c r="F19" s="6"/>
    </row>
    <row r="20" spans="1:7">
      <c r="A20" s="2">
        <f t="shared" si="0"/>
        <v>11</v>
      </c>
      <c r="B20" s="1"/>
      <c r="D20" s="233"/>
      <c r="E20" s="3" t="s">
        <v>246</v>
      </c>
    </row>
    <row r="21" spans="1:7">
      <c r="A21" s="2">
        <f t="shared" si="0"/>
        <v>12</v>
      </c>
      <c r="C21" s="233" t="s">
        <v>274</v>
      </c>
      <c r="D21" s="874">
        <f>'1-BaseTRR'!K90</f>
        <v>2.0095701368133278E-2</v>
      </c>
      <c r="E21" s="234" t="str">
        <f>"1-BaseTRR, Line "&amp;'1-BaseTRR'!A90&amp;""</f>
        <v>1-BaseTRR, Line 51</v>
      </c>
    </row>
    <row r="22" spans="1:7">
      <c r="A22" s="2">
        <f t="shared" si="0"/>
        <v>13</v>
      </c>
      <c r="C22" s="233" t="s">
        <v>275</v>
      </c>
      <c r="D22" s="874">
        <f>'1-BaseTRR'!K95</f>
        <v>5.1610574592930752E-2</v>
      </c>
      <c r="E22" s="234" t="str">
        <f>"1-BaseTRR, Line "&amp;'1-BaseTRR'!A95&amp;""</f>
        <v>1-BaseTRR, Line 55</v>
      </c>
    </row>
    <row r="23" spans="1:7">
      <c r="A23" s="2">
        <f t="shared" si="0"/>
        <v>14</v>
      </c>
      <c r="C23" s="233" t="s">
        <v>276</v>
      </c>
      <c r="D23" s="874">
        <f>'1-BaseTRR'!K104</f>
        <v>0.27983599999999997</v>
      </c>
      <c r="E23" s="234" t="str">
        <f>"1-BaseTRR, Line "&amp;'1-BaseTRR'!A104&amp;""</f>
        <v>1-BaseTRR, Line 59</v>
      </c>
    </row>
    <row r="24" spans="1:7">
      <c r="A24" s="2">
        <f t="shared" si="0"/>
        <v>15</v>
      </c>
      <c r="B24" s="235"/>
      <c r="D24" s="874"/>
      <c r="E24" s="234"/>
    </row>
    <row r="25" spans="1:7">
      <c r="A25" s="2">
        <f t="shared" si="0"/>
        <v>16</v>
      </c>
      <c r="C25" s="233" t="s">
        <v>277</v>
      </c>
      <c r="D25" s="874">
        <f>D21 + (D22*(1/(1-D23)))</f>
        <v>9.1760731268170984E-2</v>
      </c>
      <c r="E25" s="234" t="str">
        <f>"Line "&amp;A21&amp;" + (Line "&amp;A22&amp;" * (1/(1 - Line "&amp;A23&amp;")))"</f>
        <v>Line 12 + (Line 13 * (1/(1 - Line 14)))</v>
      </c>
      <c r="G25" s="875"/>
    </row>
    <row r="26" spans="1:7">
      <c r="A26" s="2">
        <f t="shared" si="0"/>
        <v>17</v>
      </c>
      <c r="B26" s="235"/>
      <c r="D26" s="233"/>
      <c r="E26" s="234"/>
    </row>
    <row r="27" spans="1:7">
      <c r="A27" s="2">
        <f t="shared" si="0"/>
        <v>18</v>
      </c>
      <c r="B27" s="40" t="s">
        <v>278</v>
      </c>
      <c r="D27" s="233"/>
      <c r="E27" s="234"/>
    </row>
    <row r="28" spans="1:7">
      <c r="A28" s="2">
        <f t="shared" si="0"/>
        <v>19</v>
      </c>
      <c r="B28" s="235"/>
      <c r="D28" s="233"/>
      <c r="E28" s="234"/>
    </row>
    <row r="29" spans="1:7">
      <c r="A29" s="2">
        <f t="shared" si="0"/>
        <v>20</v>
      </c>
      <c r="B29" s="249" t="s">
        <v>279</v>
      </c>
      <c r="D29" s="233"/>
      <c r="E29" s="234"/>
    </row>
    <row r="30" spans="1:7">
      <c r="A30" s="2">
        <f t="shared" si="0"/>
        <v>21</v>
      </c>
      <c r="B30" s="249" t="s">
        <v>280</v>
      </c>
      <c r="D30" s="233"/>
      <c r="E30" s="234"/>
    </row>
    <row r="31" spans="1:7">
      <c r="A31" s="2">
        <f t="shared" si="0"/>
        <v>22</v>
      </c>
      <c r="D31" s="233"/>
      <c r="E31" s="234"/>
    </row>
    <row r="32" spans="1:7">
      <c r="A32" s="2">
        <f t="shared" si="0"/>
        <v>23</v>
      </c>
      <c r="B32" s="483" t="s">
        <v>281</v>
      </c>
      <c r="D32" s="233"/>
      <c r="E32" s="234"/>
    </row>
    <row r="33" spans="1:11">
      <c r="A33" s="2">
        <f t="shared" si="0"/>
        <v>24</v>
      </c>
    </row>
    <row r="34" spans="1:11">
      <c r="A34" s="2">
        <f t="shared" si="0"/>
        <v>25</v>
      </c>
      <c r="B34" s="40" t="s">
        <v>282</v>
      </c>
    </row>
    <row r="35" spans="1:11">
      <c r="A35" s="2">
        <f t="shared" si="0"/>
        <v>26</v>
      </c>
      <c r="B35" s="235"/>
      <c r="E35" s="3" t="s">
        <v>246</v>
      </c>
    </row>
    <row r="36" spans="1:11">
      <c r="A36" s="2">
        <f t="shared" si="0"/>
        <v>27</v>
      </c>
      <c r="C36" s="233" t="s">
        <v>283</v>
      </c>
      <c r="D36" s="237">
        <f>'6-PlantInService'!M24</f>
        <v>11054605947.014814</v>
      </c>
      <c r="E36" s="234" t="str">
        <f>"6-PlantInService, Line "&amp;'6-PlantInService'!A24&amp;""</f>
        <v>6-PlantInService, Line 13</v>
      </c>
    </row>
    <row r="37" spans="1:11">
      <c r="A37" s="2">
        <f t="shared" si="0"/>
        <v>28</v>
      </c>
      <c r="C37" s="233" t="s">
        <v>284</v>
      </c>
      <c r="D37" s="237">
        <f>'6-PlantInService'!F36</f>
        <v>0</v>
      </c>
      <c r="E37" s="234" t="str">
        <f>"6-PlantInService, Line "&amp;'6-PlantInService'!A36&amp;""</f>
        <v>6-PlantInService, Line 16</v>
      </c>
    </row>
    <row r="38" spans="1:11">
      <c r="A38" s="2">
        <f t="shared" si="0"/>
        <v>29</v>
      </c>
      <c r="C38" s="233" t="s">
        <v>285</v>
      </c>
      <c r="D38" s="237">
        <f>'8-AccDep'!N24</f>
        <v>2637149925.0251389</v>
      </c>
      <c r="E38" s="234" t="str">
        <f>"8-AccDep, Line "&amp;'8-AccDep'!A24&amp;""</f>
        <v>8-AccDep, Line 13</v>
      </c>
    </row>
    <row r="39" spans="1:11">
      <c r="A39" s="2">
        <f t="shared" si="0"/>
        <v>30</v>
      </c>
      <c r="C39" s="233" t="s">
        <v>286</v>
      </c>
      <c r="D39" s="53">
        <f>'8-AccDep'!G34</f>
        <v>0</v>
      </c>
      <c r="E39" s="234" t="str">
        <f>"8-AccDep, Line "&amp;'8-AccDep'!A34&amp;""</f>
        <v>8-AccDep, Line 16</v>
      </c>
    </row>
    <row r="40" spans="1:11">
      <c r="A40" s="2">
        <f t="shared" si="0"/>
        <v>31</v>
      </c>
      <c r="C40" s="233" t="s">
        <v>287</v>
      </c>
      <c r="D40" s="6">
        <f>(D36+D37)-(D38+D39)</f>
        <v>8417456021.9896755</v>
      </c>
      <c r="E40" s="234" t="str">
        <f>"(L"&amp;A36&amp;" + L"&amp;A37&amp;") - (L"&amp;A38&amp;" + L"&amp;A39&amp;")"</f>
        <v>(L27 + L28) - (L29 + L30)</v>
      </c>
    </row>
    <row r="41" spans="1:11">
      <c r="A41" s="2">
        <f t="shared" si="0"/>
        <v>32</v>
      </c>
      <c r="C41" s="233"/>
      <c r="D41" s="6"/>
      <c r="E41" s="234"/>
    </row>
    <row r="42" spans="1:11">
      <c r="A42" s="2">
        <f t="shared" si="0"/>
        <v>33</v>
      </c>
      <c r="B42" s="40" t="s">
        <v>288</v>
      </c>
    </row>
    <row r="43" spans="1:11">
      <c r="A43" s="2">
        <f t="shared" si="0"/>
        <v>34</v>
      </c>
      <c r="B43" s="40"/>
    </row>
    <row r="44" spans="1:11">
      <c r="A44" s="2">
        <f t="shared" si="0"/>
        <v>35</v>
      </c>
      <c r="B44" s="40" t="s">
        <v>289</v>
      </c>
    </row>
    <row r="45" spans="1:11">
      <c r="A45" s="2">
        <f t="shared" si="0"/>
        <v>36</v>
      </c>
      <c r="B45" s="34" t="s">
        <v>290</v>
      </c>
    </row>
    <row r="46" spans="1:11">
      <c r="A46" s="2">
        <f t="shared" si="0"/>
        <v>37</v>
      </c>
      <c r="B46" s="40"/>
      <c r="C46" s="233" t="s">
        <v>291</v>
      </c>
      <c r="D46" s="237">
        <f>'10-CWIP'!D25</f>
        <v>310658936.53000003</v>
      </c>
      <c r="E46" s="234" t="str">
        <f>"10-CWIP, L "&amp;'10-CWIP'!A25&amp;" C1"</f>
        <v>10-CWIP, L 13 C1</v>
      </c>
      <c r="K46" s="6"/>
    </row>
    <row r="47" spans="1:11">
      <c r="A47" s="2">
        <f t="shared" si="0"/>
        <v>38</v>
      </c>
      <c r="B47" s="40"/>
      <c r="C47" s="233" t="s">
        <v>292</v>
      </c>
      <c r="D47" s="876">
        <f>D25</f>
        <v>9.1760731268170984E-2</v>
      </c>
      <c r="E47" s="234" t="str">
        <f>"Line "&amp;A25&amp;""</f>
        <v>Line 16</v>
      </c>
      <c r="K47" s="6"/>
    </row>
    <row r="48" spans="1:11">
      <c r="A48" s="2">
        <f t="shared" si="0"/>
        <v>39</v>
      </c>
      <c r="B48" s="40"/>
      <c r="C48" s="233" t="s">
        <v>293</v>
      </c>
      <c r="D48" s="237">
        <f>D46*D47</f>
        <v>28506291.190985117</v>
      </c>
      <c r="E48" s="234" t="str">
        <f>"Line "&amp;A46&amp;" * Line "&amp;A47&amp;""</f>
        <v>Line 37 * Line 38</v>
      </c>
      <c r="K48" s="6"/>
    </row>
    <row r="49" spans="1:11">
      <c r="A49" s="2">
        <f t="shared" si="0"/>
        <v>40</v>
      </c>
      <c r="B49" s="40"/>
      <c r="C49" s="233"/>
      <c r="D49" s="237"/>
      <c r="E49" s="234"/>
      <c r="K49" s="6"/>
    </row>
    <row r="50" spans="1:11">
      <c r="A50" s="2">
        <f t="shared" si="0"/>
        <v>41</v>
      </c>
      <c r="B50" s="34" t="s">
        <v>294</v>
      </c>
      <c r="K50" s="6"/>
    </row>
    <row r="51" spans="1:11">
      <c r="A51" s="2">
        <f t="shared" si="0"/>
        <v>42</v>
      </c>
      <c r="B51" s="40"/>
      <c r="C51" s="233" t="s">
        <v>295</v>
      </c>
      <c r="D51" s="237">
        <f>'15-IncentiveAdder'!G17</f>
        <v>6595.7198638087975</v>
      </c>
      <c r="E51" s="12" t="str">
        <f>"15-IncentiveAdder, Line "&amp;'15-IncentiveAdder'!A17&amp;""</f>
        <v>15-IncentiveAdder, Line 3</v>
      </c>
      <c r="K51" s="6"/>
    </row>
    <row r="52" spans="1:11">
      <c r="A52" s="2">
        <f t="shared" si="0"/>
        <v>43</v>
      </c>
      <c r="B52" s="40"/>
      <c r="C52" s="233"/>
      <c r="K52" s="6"/>
    </row>
    <row r="53" spans="1:11">
      <c r="A53" s="2">
        <f t="shared" si="0"/>
        <v>44</v>
      </c>
      <c r="B53" s="40"/>
      <c r="C53" s="233" t="s">
        <v>296</v>
      </c>
      <c r="D53" s="6">
        <f>'10-CWIP'!E25</f>
        <v>614003.74</v>
      </c>
      <c r="E53" s="234" t="str">
        <f>"10-CWIP, Line "&amp;'10-CWIP'!A25&amp;""</f>
        <v>10-CWIP, Line 13</v>
      </c>
      <c r="F53" s="235"/>
      <c r="K53" s="6"/>
    </row>
    <row r="54" spans="1:11">
      <c r="A54" s="2">
        <f t="shared" si="0"/>
        <v>45</v>
      </c>
      <c r="B54" s="40"/>
      <c r="C54" s="233" t="s">
        <v>297</v>
      </c>
      <c r="D54" s="26">
        <f>'15-IncentiveAdder'!E26</f>
        <v>1.2500000000000001E-2</v>
      </c>
      <c r="E54" s="12" t="str">
        <f>"15-IncentiveAdder, Line "&amp;'15-IncentiveAdder'!A26&amp;""</f>
        <v>15-IncentiveAdder, Line 5</v>
      </c>
      <c r="F54" s="235"/>
      <c r="K54" s="6"/>
    </row>
    <row r="55" spans="1:11">
      <c r="A55" s="2">
        <f t="shared" si="0"/>
        <v>46</v>
      </c>
      <c r="B55" s="40"/>
      <c r="C55" s="233" t="s">
        <v>298</v>
      </c>
      <c r="D55" s="6">
        <f>(D53/1000000)*($D$51*(D54/0.01))</f>
        <v>5062.2458304636166</v>
      </c>
      <c r="E55" s="234" t="str">
        <f>"Formula on Line "&amp;A61&amp;""</f>
        <v>Formula on Line 52</v>
      </c>
      <c r="K55" s="6"/>
    </row>
    <row r="56" spans="1:11">
      <c r="A56" s="2">
        <f t="shared" si="0"/>
        <v>47</v>
      </c>
      <c r="B56" s="40"/>
      <c r="C56" s="233"/>
      <c r="E56" s="6"/>
      <c r="K56" s="6"/>
    </row>
    <row r="57" spans="1:11">
      <c r="A57" s="2">
        <f t="shared" si="0"/>
        <v>48</v>
      </c>
      <c r="C57" s="233" t="s">
        <v>299</v>
      </c>
      <c r="D57" s="6">
        <f>'10-CWIP'!F25</f>
        <v>0</v>
      </c>
      <c r="E57" s="234" t="str">
        <f>"10-CWIP, Line "&amp;'10-CWIP'!A25&amp;""</f>
        <v>10-CWIP, Line 13</v>
      </c>
      <c r="K57" s="6"/>
    </row>
    <row r="58" spans="1:11">
      <c r="A58" s="2">
        <f t="shared" si="0"/>
        <v>49</v>
      </c>
      <c r="C58" s="233" t="s">
        <v>300</v>
      </c>
      <c r="D58" s="26">
        <f>'15-IncentiveAdder'!E27</f>
        <v>0.01</v>
      </c>
      <c r="E58" s="12" t="str">
        <f>"15-IncentiveAdder, Line "&amp;'15-IncentiveAdder'!A27&amp;""</f>
        <v>15-IncentiveAdder, Line 6</v>
      </c>
      <c r="K58" s="6"/>
    </row>
    <row r="59" spans="1:11">
      <c r="A59" s="2">
        <f t="shared" si="0"/>
        <v>50</v>
      </c>
      <c r="C59" s="233" t="s">
        <v>301</v>
      </c>
      <c r="D59" s="6">
        <f>(D57/1000000)*($D$51*(D58/0.01))</f>
        <v>0</v>
      </c>
      <c r="E59" s="234" t="str">
        <f>"Formula on Line "&amp;A61&amp;""</f>
        <v>Formula on Line 52</v>
      </c>
      <c r="K59" s="6"/>
    </row>
    <row r="60" spans="1:11">
      <c r="A60" s="2">
        <f t="shared" si="0"/>
        <v>51</v>
      </c>
      <c r="C60" s="233"/>
      <c r="D60" s="6"/>
      <c r="E60" s="234"/>
      <c r="K60" s="6"/>
    </row>
    <row r="61" spans="1:11">
      <c r="A61" s="2">
        <f t="shared" si="0"/>
        <v>52</v>
      </c>
      <c r="C61" s="278" t="s">
        <v>302</v>
      </c>
      <c r="D61" s="6"/>
      <c r="E61" s="234"/>
      <c r="K61" s="6"/>
    </row>
    <row r="62" spans="1:11">
      <c r="A62" s="2">
        <f t="shared" si="0"/>
        <v>53</v>
      </c>
      <c r="K62" s="6"/>
    </row>
    <row r="63" spans="1:11">
      <c r="A63" s="2">
        <f t="shared" si="0"/>
        <v>54</v>
      </c>
      <c r="C63" s="233" t="s">
        <v>303</v>
      </c>
      <c r="D63" s="237">
        <f>D48+D55+D59</f>
        <v>28511353.436815582</v>
      </c>
      <c r="E63" s="234" t="str">
        <f>"Line "&amp;A48&amp;" + Line "&amp;A55&amp;" + Line "&amp;A59&amp;""</f>
        <v>Line 39 + Line 46 + Line 50</v>
      </c>
      <c r="K63" s="6"/>
    </row>
    <row r="64" spans="1:11">
      <c r="A64" s="2">
        <f t="shared" si="0"/>
        <v>55</v>
      </c>
      <c r="C64" s="233" t="s">
        <v>304</v>
      </c>
      <c r="D64" s="53">
        <f>('28-FFU'!D22+'28-FFU'!E22)*D63</f>
        <v>485275.75193697988</v>
      </c>
      <c r="E64" s="234" t="str">
        <f>"(28-FFU, L"&amp;'28-FFU'!A22&amp;" FF Factor + U Factor) * L"&amp;A63&amp;""</f>
        <v>(28-FFU, L5 FF Factor + U Factor) * L54</v>
      </c>
      <c r="K64" s="6"/>
    </row>
    <row r="65" spans="1:11">
      <c r="A65" s="2">
        <f t="shared" si="0"/>
        <v>56</v>
      </c>
      <c r="C65" s="233" t="s">
        <v>305</v>
      </c>
      <c r="D65" s="237">
        <f>SUM(D63:D64)</f>
        <v>28996629.188752562</v>
      </c>
      <c r="E65" s="234" t="str">
        <f>"Line "&amp;A63&amp;" + Line "&amp;A64&amp;""</f>
        <v>Line 54 + Line 55</v>
      </c>
      <c r="K65" s="6"/>
    </row>
    <row r="66" spans="1:11">
      <c r="A66" s="2">
        <f t="shared" si="0"/>
        <v>57</v>
      </c>
      <c r="C66" s="233"/>
      <c r="D66" s="237"/>
      <c r="E66" s="234"/>
      <c r="K66" s="6"/>
    </row>
    <row r="67" spans="1:11">
      <c r="A67" s="2">
        <f t="shared" si="0"/>
        <v>58</v>
      </c>
      <c r="B67" s="40" t="s">
        <v>306</v>
      </c>
      <c r="C67" s="233"/>
      <c r="D67" s="237"/>
      <c r="E67" s="234"/>
      <c r="K67" s="6"/>
    </row>
    <row r="68" spans="1:11">
      <c r="A68" s="2">
        <f t="shared" si="0"/>
        <v>59</v>
      </c>
      <c r="K68" s="6"/>
    </row>
    <row r="69" spans="1:11">
      <c r="A69" s="2">
        <f t="shared" si="0"/>
        <v>60</v>
      </c>
      <c r="C69" s="233" t="s">
        <v>303</v>
      </c>
      <c r="D69" s="237">
        <f>D63</f>
        <v>28511353.436815582</v>
      </c>
      <c r="E69" s="234" t="str">
        <f>"Line "&amp;A63&amp;""</f>
        <v>Line 54</v>
      </c>
      <c r="K69" s="6"/>
    </row>
    <row r="70" spans="1:11">
      <c r="A70" s="2">
        <f t="shared" si="0"/>
        <v>61</v>
      </c>
      <c r="C70" s="233" t="s">
        <v>307</v>
      </c>
      <c r="D70" s="237">
        <f>'1-BaseTRR'!K139</f>
        <v>1246146159.5850158</v>
      </c>
      <c r="E70" s="234" t="str">
        <f>"1-BaseTRR, Line "&amp;'1-BaseTRR'!A139&amp;""</f>
        <v>1-BaseTRR, Line 78</v>
      </c>
      <c r="K70" s="6"/>
    </row>
    <row r="71" spans="1:11">
      <c r="A71" s="2">
        <f t="shared" si="0"/>
        <v>62</v>
      </c>
      <c r="C71" s="233" t="s">
        <v>308</v>
      </c>
      <c r="D71" s="237">
        <f>D70-D69</f>
        <v>1217634806.1482003</v>
      </c>
      <c r="E71" s="234" t="str">
        <f>"Line "&amp;A70&amp;" - Line "&amp;A69&amp;""</f>
        <v>Line 61 - Line 60</v>
      </c>
      <c r="K71" s="6"/>
    </row>
    <row r="72" spans="1:11">
      <c r="A72" s="2">
        <f t="shared" si="0"/>
        <v>63</v>
      </c>
      <c r="C72" s="390" t="s">
        <v>309</v>
      </c>
      <c r="D72" s="6">
        <f>('1-BaseTRR'!K126+'1-BaseTRR'!K127)*0.75</f>
        <v>154307480.83506793</v>
      </c>
      <c r="E72" s="234" t="str">
        <f>"(1-BaseTRR, Line "&amp;'1-BaseTRR'!A126&amp;" + Line "&amp;'1-BaseTRR'!A127&amp;") * .75"</f>
        <v>(1-BaseTRR, Line 66 + Line 67) * .75</v>
      </c>
      <c r="K72" s="6"/>
    </row>
    <row r="73" spans="1:11">
      <c r="A73" s="2">
        <f t="shared" si="0"/>
        <v>64</v>
      </c>
      <c r="C73" s="233" t="s">
        <v>310</v>
      </c>
      <c r="D73" s="876">
        <f xml:space="preserve"> (D71-D72)/D40</f>
        <v>0.12632407256245912</v>
      </c>
      <c r="E73" s="234" t="str">
        <f>"(Line "&amp;A71&amp;" - Line "&amp;A72&amp;") / Line "&amp;A40&amp;""</f>
        <v>(Line 62 - Line 63) / Line 31</v>
      </c>
      <c r="K73" s="6"/>
    </row>
    <row r="74" spans="1:11">
      <c r="A74" s="2">
        <f t="shared" si="0"/>
        <v>65</v>
      </c>
      <c r="D74" s="6"/>
      <c r="E74" s="234"/>
    </row>
    <row r="75" spans="1:11">
      <c r="A75" s="2">
        <f t="shared" si="0"/>
        <v>66</v>
      </c>
      <c r="B75" s="1" t="s">
        <v>311</v>
      </c>
    </row>
    <row r="76" spans="1:11">
      <c r="A76" s="2">
        <f t="shared" si="0"/>
        <v>67</v>
      </c>
    </row>
    <row r="77" spans="1:11">
      <c r="A77" s="2">
        <f t="shared" si="0"/>
        <v>68</v>
      </c>
      <c r="E77" s="3" t="s">
        <v>246</v>
      </c>
      <c r="I77" s="1"/>
    </row>
    <row r="78" spans="1:11">
      <c r="A78" s="2">
        <f t="shared" si="0"/>
        <v>69</v>
      </c>
      <c r="C78" s="233" t="s">
        <v>312</v>
      </c>
      <c r="D78" s="6">
        <f>'16-PlantAdditions'!N37</f>
        <v>719372071.55355048</v>
      </c>
      <c r="E78" s="234" t="str">
        <f>"16-PlantAdditions, L "&amp;'16-PlantAdditions'!A37&amp;", C10"</f>
        <v>16-PlantAdditions, L 25, C10</v>
      </c>
      <c r="K78" s="6"/>
    </row>
    <row r="79" spans="1:11">
      <c r="A79" s="2">
        <f t="shared" si="0"/>
        <v>70</v>
      </c>
      <c r="C79" s="233" t="s">
        <v>310</v>
      </c>
      <c r="D79" s="1010">
        <f>D73</f>
        <v>0.12632407256245912</v>
      </c>
      <c r="E79" s="234" t="str">
        <f>"Line "&amp;A73&amp;""</f>
        <v>Line 64</v>
      </c>
      <c r="K79" s="368"/>
    </row>
    <row r="80" spans="1:11">
      <c r="A80" s="2">
        <f t="shared" si="0"/>
        <v>71</v>
      </c>
      <c r="C80" s="233" t="s">
        <v>313</v>
      </c>
      <c r="D80" s="6">
        <f>D78*D79</f>
        <v>90874009.766337246</v>
      </c>
      <c r="E80" s="234" t="str">
        <f>"Line "&amp;A78&amp;" * Line "&amp;A79&amp;""</f>
        <v>Line 69 * Line 70</v>
      </c>
      <c r="K80" s="6"/>
    </row>
    <row r="81" spans="1:11">
      <c r="A81" s="2">
        <f t="shared" si="0"/>
        <v>72</v>
      </c>
      <c r="K81" s="6"/>
    </row>
    <row r="82" spans="1:11">
      <c r="A82" s="2">
        <f t="shared" si="0"/>
        <v>73</v>
      </c>
      <c r="C82" s="233" t="s">
        <v>314</v>
      </c>
      <c r="D82" s="6">
        <f>'10-CWIP'!K79</f>
        <v>-184084505.97911534</v>
      </c>
      <c r="E82" s="234" t="str">
        <f>"10-CWIP, L "&amp;'10-CWIP'!A79&amp;", C8"</f>
        <v>10-CWIP, L 54, C8</v>
      </c>
      <c r="K82" s="6"/>
    </row>
    <row r="83" spans="1:11">
      <c r="A83" s="2">
        <f t="shared" si="0"/>
        <v>74</v>
      </c>
      <c r="C83" s="233" t="s">
        <v>292</v>
      </c>
      <c r="D83" s="1010">
        <f>D25</f>
        <v>9.1760731268170984E-2</v>
      </c>
      <c r="E83" s="234" t="str">
        <f>"Line "&amp;A25&amp;""</f>
        <v>Line 16</v>
      </c>
      <c r="K83" s="368"/>
    </row>
    <row r="84" spans="1:11">
      <c r="A84" s="2">
        <f t="shared" si="0"/>
        <v>75</v>
      </c>
      <c r="C84" s="233" t="s">
        <v>315</v>
      </c>
      <c r="D84" s="6">
        <f>D82*D83</f>
        <v>-16891728.883783616</v>
      </c>
      <c r="E84" s="234" t="str">
        <f>"Line "&amp;A82&amp;" * Line "&amp;A83&amp;""</f>
        <v>Line 73 * Line 74</v>
      </c>
      <c r="K84" s="6"/>
    </row>
    <row r="85" spans="1:11">
      <c r="A85" s="2">
        <f t="shared" si="0"/>
        <v>76</v>
      </c>
      <c r="K85" s="6"/>
    </row>
    <row r="86" spans="1:11">
      <c r="A86" s="2">
        <f t="shared" si="0"/>
        <v>77</v>
      </c>
      <c r="C86" s="233" t="s">
        <v>316</v>
      </c>
      <c r="D86" s="6">
        <f>D80+D84</f>
        <v>73982280.882553637</v>
      </c>
      <c r="E86" s="234" t="str">
        <f>"Line "&amp;A80&amp;" + Line "&amp;A84&amp;""</f>
        <v>Line 71 + Line 75</v>
      </c>
      <c r="K86" s="6"/>
    </row>
    <row r="87" spans="1:11">
      <c r="A87" s="2">
        <f t="shared" si="0"/>
        <v>78</v>
      </c>
      <c r="K87" s="6"/>
    </row>
    <row r="88" spans="1:11">
      <c r="A88" s="2">
        <f t="shared" ref="A88:A91" si="1">A87+1</f>
        <v>79</v>
      </c>
      <c r="C88" s="233" t="s">
        <v>317</v>
      </c>
      <c r="D88" s="6">
        <f>'28-FFU'!D22*D86</f>
        <v>692813.10905255959</v>
      </c>
      <c r="E88" s="12" t="str">
        <f>"Line "&amp;A86&amp;" * FF (from 28-FFU, L "&amp;'28-FFU'!A22&amp;")"</f>
        <v>Line 77 * FF (from 28-FFU, L 5)</v>
      </c>
      <c r="K88" s="6"/>
    </row>
    <row r="89" spans="1:11">
      <c r="A89" s="2">
        <f t="shared" si="1"/>
        <v>80</v>
      </c>
      <c r="C89" s="25" t="s">
        <v>318</v>
      </c>
      <c r="D89" s="6">
        <f>'28-FFU'!E22*D86</f>
        <v>566397.78968139808</v>
      </c>
      <c r="E89" s="12" t="str">
        <f>"Line "&amp;A86&amp;" * U (from 28-FFU, L "&amp;'28-FFU'!A22&amp;")"</f>
        <v>Line 77 * U (from 28-FFU, L 5)</v>
      </c>
      <c r="K89" s="6"/>
    </row>
    <row r="90" spans="1:11">
      <c r="A90" s="2">
        <f t="shared" si="1"/>
        <v>81</v>
      </c>
      <c r="D90" s="6"/>
      <c r="K90" s="6"/>
    </row>
    <row r="91" spans="1:11">
      <c r="A91" s="2">
        <f t="shared" si="1"/>
        <v>82</v>
      </c>
      <c r="C91" s="25" t="s">
        <v>319</v>
      </c>
      <c r="D91" s="6">
        <f>D86+D88+D89</f>
        <v>75241491.781287596</v>
      </c>
      <c r="E91" s="234" t="str">
        <f>"Line "&amp;A86&amp;" + Line "&amp;A88&amp;" + Line "&amp;A89&amp;""</f>
        <v>Line 77 + Line 79 + Line 80</v>
      </c>
      <c r="K91" s="6"/>
    </row>
  </sheetData>
  <phoneticPr fontId="23" type="noConversion"/>
  <pageMargins left="0.75" right="0.75" top="1" bottom="1" header="0.5" footer="0.5"/>
  <pageSetup scale="75" orientation="portrait" cellComments="asDisplayed" r:id="rId1"/>
  <headerFooter alignWithMargins="0">
    <oddHeader>&amp;CSchedule 2
Incremental Forecast Period TRR
&amp;RTO2025 Annual Update 
Attachment 1</oddHeader>
    <oddFooter>&amp;R&amp;A</oddFooter>
  </headerFooter>
  <rowBreaks count="1" manualBreakCount="1">
    <brk id="65"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workbookViewId="0"/>
  </sheetViews>
  <sheetFormatPr defaultRowHeight="12.75"/>
  <cols>
    <col min="1" max="1" width="4.5703125" customWidth="1"/>
    <col min="2" max="2" width="6.5703125" customWidth="1"/>
    <col min="3" max="5" width="14.5703125" customWidth="1"/>
    <col min="6" max="6" width="15.5703125" customWidth="1"/>
    <col min="7" max="7" width="14.5703125" customWidth="1"/>
    <col min="8" max="9" width="15.5703125" customWidth="1"/>
    <col min="10" max="10" width="15.42578125" customWidth="1"/>
    <col min="11" max="11" width="14.5703125" customWidth="1"/>
    <col min="12" max="12" width="15.42578125" customWidth="1"/>
    <col min="13" max="16" width="12.5703125" customWidth="1"/>
  </cols>
  <sheetData>
    <row r="1" spans="1:12">
      <c r="A1" s="1" t="s">
        <v>320</v>
      </c>
      <c r="B1" s="113"/>
      <c r="C1" s="113"/>
      <c r="D1" s="113"/>
      <c r="E1" s="113"/>
      <c r="F1" s="113"/>
      <c r="G1" s="113"/>
      <c r="H1" s="113"/>
      <c r="I1" s="113"/>
      <c r="J1" s="113"/>
      <c r="K1" s="113"/>
      <c r="L1" s="113"/>
    </row>
    <row r="2" spans="1:12">
      <c r="A2" s="113"/>
      <c r="B2" s="113"/>
      <c r="C2" s="113"/>
      <c r="D2" s="113"/>
      <c r="E2" s="113"/>
      <c r="F2" s="113"/>
      <c r="G2" s="113"/>
      <c r="H2" s="113"/>
      <c r="I2" s="113"/>
      <c r="J2" s="113"/>
      <c r="K2" s="113"/>
      <c r="L2" s="113"/>
    </row>
    <row r="3" spans="1:12">
      <c r="A3" s="113"/>
      <c r="B3" s="1" t="s">
        <v>321</v>
      </c>
      <c r="C3" s="113"/>
      <c r="D3" s="113"/>
      <c r="E3" s="113"/>
      <c r="F3" s="113"/>
      <c r="G3" s="113"/>
      <c r="H3" s="113"/>
      <c r="I3" s="113"/>
      <c r="J3" s="113"/>
      <c r="K3" s="113"/>
      <c r="L3" s="113"/>
    </row>
    <row r="4" spans="1:12">
      <c r="A4" s="113"/>
      <c r="B4" s="234" t="s">
        <v>322</v>
      </c>
      <c r="C4" s="113"/>
      <c r="D4" s="113"/>
      <c r="E4" s="113"/>
      <c r="F4" s="113"/>
      <c r="G4" s="113"/>
      <c r="H4" s="113"/>
      <c r="I4" s="113"/>
      <c r="J4" s="113"/>
      <c r="K4" s="113"/>
      <c r="L4" s="113"/>
    </row>
    <row r="5" spans="1:12">
      <c r="A5" s="113"/>
      <c r="B5" s="234" t="s">
        <v>323</v>
      </c>
      <c r="C5" s="113"/>
      <c r="D5" s="113"/>
      <c r="E5" s="113"/>
      <c r="F5" s="113"/>
      <c r="G5" s="113"/>
      <c r="H5" s="113"/>
      <c r="I5" s="113"/>
      <c r="J5" s="113"/>
      <c r="K5" s="113"/>
      <c r="L5" s="113"/>
    </row>
    <row r="6" spans="1:12">
      <c r="A6" s="113"/>
      <c r="B6" s="234" t="s">
        <v>324</v>
      </c>
      <c r="C6" s="113"/>
      <c r="D6" s="113"/>
      <c r="E6" s="113"/>
      <c r="F6" s="113"/>
      <c r="G6" s="113"/>
      <c r="H6" s="113"/>
      <c r="I6" s="113"/>
      <c r="J6" s="113"/>
      <c r="K6" s="113"/>
      <c r="L6" s="113"/>
    </row>
    <row r="7" spans="1:12">
      <c r="A7" s="113"/>
      <c r="B7" s="234" t="str">
        <f>"d) Include previous Annual Update Cumulative Excess or Shortfall in Prior Year (from Previous Annual Update Line "&amp;A36&amp;")"</f>
        <v>d) Include previous Annual Update Cumulative Excess or Shortfall in Prior Year (from Previous Annual Update Line 23)</v>
      </c>
      <c r="C7" s="113"/>
      <c r="D7" s="113"/>
      <c r="E7" s="113"/>
      <c r="F7" s="113"/>
      <c r="G7" s="113"/>
      <c r="H7" s="113"/>
      <c r="I7" s="113"/>
      <c r="J7" s="113"/>
      <c r="K7" s="113"/>
      <c r="L7" s="113"/>
    </row>
    <row r="8" spans="1:12">
      <c r="A8" s="113"/>
      <c r="B8" s="482" t="str">
        <f>"and any One-Time Adjustments in Column 4 (Lines "&amp;A24&amp;" and "&amp;A25&amp;" respectively)."</f>
        <v>and any One-Time Adjustments in Column 4 (Lines 11 and 12 respectively).</v>
      </c>
      <c r="C8" s="113"/>
      <c r="D8" s="113"/>
      <c r="E8" s="113"/>
      <c r="F8" s="113"/>
      <c r="G8" s="113"/>
      <c r="H8" s="113"/>
      <c r="I8" s="113"/>
      <c r="J8" s="113"/>
      <c r="K8" s="113"/>
      <c r="L8" s="113"/>
    </row>
    <row r="9" spans="1:12">
      <c r="A9" s="113"/>
      <c r="B9" s="234"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3"/>
      <c r="D9" s="113"/>
      <c r="E9" s="113"/>
      <c r="F9" s="113"/>
      <c r="G9" s="113"/>
      <c r="H9" s="113"/>
      <c r="I9" s="113"/>
      <c r="J9" s="113"/>
      <c r="K9" s="113"/>
      <c r="L9" s="113"/>
    </row>
    <row r="10" spans="1:12">
      <c r="A10" s="113"/>
      <c r="B10" s="113"/>
      <c r="C10" s="113"/>
      <c r="D10" s="113"/>
      <c r="E10" s="113"/>
      <c r="F10" s="113"/>
      <c r="G10" s="113"/>
      <c r="H10" s="113"/>
      <c r="I10" s="113"/>
      <c r="J10" s="113"/>
      <c r="K10" s="113"/>
      <c r="L10" s="113"/>
    </row>
    <row r="11" spans="1:12">
      <c r="A11" s="2"/>
      <c r="B11" s="47" t="s">
        <v>325</v>
      </c>
      <c r="C11" s="113"/>
      <c r="D11" s="114"/>
      <c r="E11" s="115"/>
      <c r="F11" s="113"/>
      <c r="G11" s="113"/>
      <c r="H11" s="113"/>
      <c r="I11" s="113"/>
      <c r="J11" s="113"/>
      <c r="K11" s="237"/>
      <c r="L11" s="113"/>
    </row>
    <row r="12" spans="1:12">
      <c r="A12" s="2"/>
      <c r="B12" s="40" t="s">
        <v>326</v>
      </c>
      <c r="C12" s="113"/>
      <c r="D12" s="114"/>
      <c r="E12" s="115"/>
      <c r="F12" s="113"/>
      <c r="G12" s="113"/>
      <c r="H12" s="113"/>
      <c r="I12" s="113"/>
      <c r="J12" s="113"/>
      <c r="K12" s="113"/>
      <c r="L12" s="113"/>
    </row>
    <row r="13" spans="1:12">
      <c r="A13" s="32" t="s">
        <v>266</v>
      </c>
      <c r="B13" s="113"/>
      <c r="C13" s="47"/>
      <c r="D13" s="114"/>
      <c r="E13" s="115"/>
      <c r="F13" s="3"/>
      <c r="G13" s="113"/>
      <c r="H13" s="113"/>
      <c r="I13" s="113"/>
      <c r="J13" s="113"/>
      <c r="K13" s="113"/>
      <c r="L13" s="113"/>
    </row>
    <row r="14" spans="1:12">
      <c r="A14" s="2">
        <f>A7+1</f>
        <v>1</v>
      </c>
      <c r="B14" s="113"/>
      <c r="C14" s="113"/>
      <c r="D14" s="248" t="s">
        <v>327</v>
      </c>
      <c r="E14" s="115">
        <f>'4-TUTRR'!E75</f>
        <v>1263893978.7323678</v>
      </c>
      <c r="F14" s="249" t="s">
        <v>328</v>
      </c>
      <c r="G14" s="113"/>
      <c r="H14" s="113" t="str">
        <f>"Line "&amp;'4-TUTRR'!A75&amp;""</f>
        <v>Line 46</v>
      </c>
      <c r="I14" s="113"/>
      <c r="J14" s="113"/>
      <c r="K14" s="113"/>
      <c r="L14" s="113"/>
    </row>
    <row r="15" spans="1:12">
      <c r="A15" s="2">
        <f>A14+1</f>
        <v>2</v>
      </c>
      <c r="B15" s="47"/>
      <c r="C15" s="113"/>
      <c r="D15" s="113"/>
      <c r="E15" s="113"/>
      <c r="F15" s="113"/>
      <c r="G15" s="113"/>
      <c r="H15" s="115"/>
      <c r="I15" s="113"/>
      <c r="J15" s="113"/>
      <c r="K15" s="113"/>
      <c r="L15" s="113"/>
    </row>
    <row r="16" spans="1:12">
      <c r="A16" s="2">
        <f t="shared" ref="A16:A50" si="0">A15+1</f>
        <v>3</v>
      </c>
      <c r="B16" s="113"/>
      <c r="C16" s="113"/>
      <c r="D16" s="48" t="s">
        <v>329</v>
      </c>
      <c r="E16" s="48" t="s">
        <v>330</v>
      </c>
      <c r="F16" s="48" t="s">
        <v>331</v>
      </c>
      <c r="G16" s="48" t="s">
        <v>332</v>
      </c>
      <c r="H16" s="48" t="s">
        <v>333</v>
      </c>
      <c r="I16" s="48" t="s">
        <v>334</v>
      </c>
      <c r="J16" s="48" t="s">
        <v>335</v>
      </c>
      <c r="K16" s="48" t="s">
        <v>336</v>
      </c>
      <c r="L16" s="48" t="s">
        <v>337</v>
      </c>
    </row>
    <row r="17" spans="1:12">
      <c r="A17" s="2">
        <f t="shared" si="0"/>
        <v>4</v>
      </c>
      <c r="B17" s="113"/>
      <c r="C17" s="114" t="s">
        <v>338</v>
      </c>
      <c r="D17" s="48"/>
      <c r="E17" s="236" t="s">
        <v>339</v>
      </c>
      <c r="F17" s="236" t="s">
        <v>340</v>
      </c>
      <c r="G17" s="236" t="s">
        <v>341</v>
      </c>
      <c r="H17" s="241" t="s">
        <v>342</v>
      </c>
      <c r="I17" s="236" t="s">
        <v>343</v>
      </c>
      <c r="J17" s="236" t="s">
        <v>344</v>
      </c>
      <c r="K17" s="236" t="s">
        <v>345</v>
      </c>
      <c r="L17" s="241" t="s">
        <v>346</v>
      </c>
    </row>
    <row r="18" spans="1:12">
      <c r="A18" s="2">
        <f t="shared" si="0"/>
        <v>5</v>
      </c>
      <c r="B18" s="113"/>
      <c r="C18" s="113"/>
      <c r="D18" s="48"/>
      <c r="G18" s="4" t="s">
        <v>347</v>
      </c>
      <c r="I18" s="48"/>
      <c r="J18" s="2" t="s">
        <v>348</v>
      </c>
      <c r="K18" s="48"/>
      <c r="L18" s="48"/>
    </row>
    <row r="19" spans="1:12">
      <c r="A19" s="2">
        <f t="shared" si="0"/>
        <v>6</v>
      </c>
      <c r="B19" s="113"/>
      <c r="C19" s="113"/>
      <c r="D19" s="48"/>
      <c r="G19" s="230" t="s">
        <v>349</v>
      </c>
      <c r="I19" s="113"/>
      <c r="J19" s="2" t="s">
        <v>350</v>
      </c>
      <c r="K19" s="113"/>
      <c r="L19" s="2" t="s">
        <v>348</v>
      </c>
    </row>
    <row r="20" spans="1:12">
      <c r="A20" s="2">
        <f t="shared" si="0"/>
        <v>7</v>
      </c>
      <c r="B20" s="113"/>
      <c r="C20" s="113"/>
      <c r="D20" s="48"/>
      <c r="F20" s="2" t="s">
        <v>351</v>
      </c>
      <c r="G20" s="2" t="s">
        <v>352</v>
      </c>
      <c r="H20" s="2" t="s">
        <v>353</v>
      </c>
      <c r="I20" s="113"/>
      <c r="J20" s="2" t="s">
        <v>354</v>
      </c>
      <c r="K20" s="113"/>
      <c r="L20" s="2" t="s">
        <v>350</v>
      </c>
    </row>
    <row r="21" spans="1:12">
      <c r="A21" s="2">
        <f t="shared" si="0"/>
        <v>8</v>
      </c>
      <c r="B21" s="113"/>
      <c r="C21" s="113"/>
      <c r="D21" s="2"/>
      <c r="E21" s="2" t="s">
        <v>353</v>
      </c>
      <c r="F21" s="2" t="s">
        <v>355</v>
      </c>
      <c r="G21" s="2" t="s">
        <v>356</v>
      </c>
      <c r="H21" s="2" t="s">
        <v>350</v>
      </c>
      <c r="I21" s="2" t="s">
        <v>353</v>
      </c>
      <c r="J21" s="2" t="s">
        <v>357</v>
      </c>
      <c r="K21" s="116" t="s">
        <v>358</v>
      </c>
      <c r="L21" s="2" t="s">
        <v>354</v>
      </c>
    </row>
    <row r="22" spans="1:12">
      <c r="A22" s="2">
        <f t="shared" si="0"/>
        <v>9</v>
      </c>
      <c r="B22" s="113"/>
      <c r="C22" s="113"/>
      <c r="D22" s="2"/>
      <c r="E22" s="2" t="s">
        <v>359</v>
      </c>
      <c r="F22" s="2" t="s">
        <v>360</v>
      </c>
      <c r="G22" s="2" t="s">
        <v>361</v>
      </c>
      <c r="H22" s="2" t="s">
        <v>354</v>
      </c>
      <c r="I22" s="2" t="s">
        <v>358</v>
      </c>
      <c r="J22" s="2" t="s">
        <v>362</v>
      </c>
      <c r="K22" s="2" t="s">
        <v>363</v>
      </c>
      <c r="L22" s="2" t="s">
        <v>357</v>
      </c>
    </row>
    <row r="23" spans="1:12">
      <c r="A23" s="2">
        <f t="shared" si="0"/>
        <v>10</v>
      </c>
      <c r="B23" s="113"/>
      <c r="C23" s="18" t="s">
        <v>364</v>
      </c>
      <c r="D23" s="18" t="s">
        <v>365</v>
      </c>
      <c r="E23" s="3" t="s">
        <v>366</v>
      </c>
      <c r="F23" s="3" t="s">
        <v>367</v>
      </c>
      <c r="G23" s="3" t="s">
        <v>368</v>
      </c>
      <c r="H23" s="3" t="s">
        <v>357</v>
      </c>
      <c r="I23" s="3" t="s">
        <v>369</v>
      </c>
      <c r="J23" s="3" t="s">
        <v>370</v>
      </c>
      <c r="K23" s="3" t="s">
        <v>364</v>
      </c>
      <c r="L23" s="3" t="s">
        <v>371</v>
      </c>
    </row>
    <row r="24" spans="1:12">
      <c r="A24" s="2">
        <f>A23+1</f>
        <v>11</v>
      </c>
      <c r="B24" s="113"/>
      <c r="C24" s="254" t="s">
        <v>372</v>
      </c>
      <c r="D24" s="332">
        <v>2022</v>
      </c>
      <c r="E24" s="119" t="s">
        <v>373</v>
      </c>
      <c r="F24" s="119" t="s">
        <v>373</v>
      </c>
      <c r="G24" s="265">
        <v>-60405217.546413727</v>
      </c>
      <c r="H24" s="115">
        <f>G24</f>
        <v>-60405217.546413727</v>
      </c>
      <c r="I24" s="119" t="s">
        <v>373</v>
      </c>
      <c r="J24" s="118">
        <f>H24</f>
        <v>-60405217.546413727</v>
      </c>
      <c r="K24" s="119" t="s">
        <v>373</v>
      </c>
      <c r="L24" s="237">
        <f>J24</f>
        <v>-60405217.546413727</v>
      </c>
    </row>
    <row r="25" spans="1:12">
      <c r="A25" s="2">
        <f t="shared" ref="A25:A36" si="1">A24+1</f>
        <v>12</v>
      </c>
      <c r="B25" s="113"/>
      <c r="C25" s="14" t="s">
        <v>374</v>
      </c>
      <c r="D25" s="332">
        <v>2023</v>
      </c>
      <c r="E25" s="115">
        <f>$E$14/12</f>
        <v>105324498.22769731</v>
      </c>
      <c r="F25" s="115">
        <f>C77</f>
        <v>123350287.3</v>
      </c>
      <c r="G25" s="1011">
        <v>-634861.62209695613</v>
      </c>
      <c r="H25" s="115">
        <f>E25-F25+G25</f>
        <v>-18660650.69439964</v>
      </c>
      <c r="I25" s="772">
        <v>5.3E-3</v>
      </c>
      <c r="J25" s="118">
        <f>L24+H25</f>
        <v>-79065868.240813375</v>
      </c>
      <c r="K25" s="118">
        <f>((L24+J25)/2)*I25</f>
        <v>-369598.37733615178</v>
      </c>
      <c r="L25" s="118">
        <f>J25+K25</f>
        <v>-79435466.618149519</v>
      </c>
    </row>
    <row r="26" spans="1:12">
      <c r="A26" s="2">
        <f t="shared" si="1"/>
        <v>13</v>
      </c>
      <c r="B26" s="113"/>
      <c r="C26" s="14" t="s">
        <v>375</v>
      </c>
      <c r="D26" s="332">
        <v>2023</v>
      </c>
      <c r="E26" s="115">
        <f>$E$14/12</f>
        <v>105324498.22769731</v>
      </c>
      <c r="F26" s="115">
        <f t="shared" ref="F26:F36" si="2">C78</f>
        <v>89828154.810000002</v>
      </c>
      <c r="G26" s="265"/>
      <c r="H26" s="115">
        <f t="shared" ref="H26:H35" si="3">E26-F26+G26</f>
        <v>15496343.41769731</v>
      </c>
      <c r="I26" s="772">
        <v>5.3E-3</v>
      </c>
      <c r="J26" s="118">
        <f>L25+H26</f>
        <v>-63939123.200452209</v>
      </c>
      <c r="K26" s="118">
        <f>((L25+J26)/2)*I26</f>
        <v>-379942.66301929456</v>
      </c>
      <c r="L26" s="118">
        <f t="shared" ref="L26:L35" si="4">J26+K26</f>
        <v>-64319065.863471501</v>
      </c>
    </row>
    <row r="27" spans="1:12">
      <c r="A27" s="2">
        <f t="shared" si="1"/>
        <v>14</v>
      </c>
      <c r="B27" s="113"/>
      <c r="C27" s="14" t="s">
        <v>376</v>
      </c>
      <c r="D27" s="332">
        <v>2023</v>
      </c>
      <c r="E27" s="115">
        <f t="shared" ref="E27:E36" si="5">$E$14/12</f>
        <v>105324498.22769731</v>
      </c>
      <c r="F27" s="115">
        <f t="shared" si="2"/>
        <v>105985517.25</v>
      </c>
      <c r="G27" s="265"/>
      <c r="H27" s="115">
        <f t="shared" si="3"/>
        <v>-661019.02230268717</v>
      </c>
      <c r="I27" s="772">
        <v>5.3E-3</v>
      </c>
      <c r="J27" s="118">
        <f t="shared" ref="J27:J35" si="6">L26+H27</f>
        <v>-64980084.885774188</v>
      </c>
      <c r="K27" s="118">
        <f t="shared" ref="K27:K36" si="7">((L26+J27)/2)*I27</f>
        <v>-342642.74948550109</v>
      </c>
      <c r="L27" s="118">
        <f t="shared" si="4"/>
        <v>-65322727.635259688</v>
      </c>
    </row>
    <row r="28" spans="1:12">
      <c r="A28" s="2">
        <f t="shared" si="1"/>
        <v>15</v>
      </c>
      <c r="B28" s="113"/>
      <c r="C28" s="14" t="s">
        <v>377</v>
      </c>
      <c r="D28" s="332">
        <v>2023</v>
      </c>
      <c r="E28" s="115">
        <f t="shared" si="5"/>
        <v>105324498.22769731</v>
      </c>
      <c r="F28" s="115">
        <f t="shared" si="2"/>
        <v>84499493.450000003</v>
      </c>
      <c r="G28" s="265"/>
      <c r="H28" s="115">
        <f t="shared" si="3"/>
        <v>20825004.77769731</v>
      </c>
      <c r="I28" s="772">
        <v>6.3E-3</v>
      </c>
      <c r="J28" s="118">
        <f t="shared" si="6"/>
        <v>-44497722.857562378</v>
      </c>
      <c r="K28" s="118">
        <f t="shared" si="7"/>
        <v>-345934.41905238951</v>
      </c>
      <c r="L28" s="118">
        <f t="shared" si="4"/>
        <v>-44843657.27661477</v>
      </c>
    </row>
    <row r="29" spans="1:12">
      <c r="A29" s="2">
        <f t="shared" si="1"/>
        <v>16</v>
      </c>
      <c r="B29" s="113"/>
      <c r="C29" s="14" t="s">
        <v>378</v>
      </c>
      <c r="D29" s="332">
        <v>2023</v>
      </c>
      <c r="E29" s="115">
        <f t="shared" si="5"/>
        <v>105324498.22769731</v>
      </c>
      <c r="F29" s="115">
        <f t="shared" si="2"/>
        <v>103018564.53</v>
      </c>
      <c r="G29" s="265"/>
      <c r="H29" s="115">
        <f t="shared" si="3"/>
        <v>2305933.6976973116</v>
      </c>
      <c r="I29" s="772">
        <v>6.3E-3</v>
      </c>
      <c r="J29" s="118">
        <f t="shared" si="6"/>
        <v>-42537723.578917459</v>
      </c>
      <c r="K29" s="118">
        <f t="shared" si="7"/>
        <v>-275251.34969492652</v>
      </c>
      <c r="L29" s="118">
        <f t="shared" si="4"/>
        <v>-42812974.928612389</v>
      </c>
    </row>
    <row r="30" spans="1:12">
      <c r="A30" s="2">
        <f t="shared" si="1"/>
        <v>17</v>
      </c>
      <c r="B30" s="113"/>
      <c r="C30" s="14" t="s">
        <v>379</v>
      </c>
      <c r="D30" s="332">
        <v>2023</v>
      </c>
      <c r="E30" s="115">
        <f t="shared" si="5"/>
        <v>105324498.22769731</v>
      </c>
      <c r="F30" s="115">
        <f t="shared" si="2"/>
        <v>104657063.3</v>
      </c>
      <c r="G30" s="265"/>
      <c r="H30" s="115">
        <f t="shared" si="3"/>
        <v>667434.92769731581</v>
      </c>
      <c r="I30" s="772">
        <v>6.3E-3</v>
      </c>
      <c r="J30" s="118">
        <f t="shared" si="6"/>
        <v>-42145540.000915073</v>
      </c>
      <c r="K30" s="118">
        <f t="shared" si="7"/>
        <v>-267619.32202801149</v>
      </c>
      <c r="L30" s="118">
        <f t="shared" si="4"/>
        <v>-42413159.322943084</v>
      </c>
    </row>
    <row r="31" spans="1:12">
      <c r="A31" s="2">
        <f t="shared" si="1"/>
        <v>18</v>
      </c>
      <c r="B31" s="113"/>
      <c r="C31" s="14" t="s">
        <v>380</v>
      </c>
      <c r="D31" s="332">
        <v>2023</v>
      </c>
      <c r="E31" s="115">
        <f t="shared" si="5"/>
        <v>105324498.22769731</v>
      </c>
      <c r="F31" s="115">
        <f t="shared" si="2"/>
        <v>142463886.24000001</v>
      </c>
      <c r="G31" s="265"/>
      <c r="H31" s="115">
        <f t="shared" si="3"/>
        <v>-37139388.012302697</v>
      </c>
      <c r="I31" s="772">
        <v>6.7000000000000002E-3</v>
      </c>
      <c r="J31" s="118">
        <f t="shared" si="6"/>
        <v>-79552547.335245788</v>
      </c>
      <c r="K31" s="118">
        <f t="shared" si="7"/>
        <v>-408585.11730493273</v>
      </c>
      <c r="L31" s="118">
        <f t="shared" si="4"/>
        <v>-79961132.452550724</v>
      </c>
    </row>
    <row r="32" spans="1:12">
      <c r="A32" s="2">
        <f t="shared" si="1"/>
        <v>19</v>
      </c>
      <c r="B32" s="113"/>
      <c r="C32" s="14" t="s">
        <v>381</v>
      </c>
      <c r="D32" s="332">
        <v>2023</v>
      </c>
      <c r="E32" s="115">
        <f t="shared" si="5"/>
        <v>105324498.22769731</v>
      </c>
      <c r="F32" s="115">
        <f t="shared" si="2"/>
        <v>136173467.86000001</v>
      </c>
      <c r="G32" s="265"/>
      <c r="H32" s="115">
        <f t="shared" si="3"/>
        <v>-30848969.632302701</v>
      </c>
      <c r="I32" s="772">
        <v>6.7000000000000002E-3</v>
      </c>
      <c r="J32" s="118">
        <f t="shared" si="6"/>
        <v>-110810102.08485343</v>
      </c>
      <c r="K32" s="118">
        <f t="shared" si="7"/>
        <v>-639083.63570030394</v>
      </c>
      <c r="L32" s="118">
        <f t="shared" si="4"/>
        <v>-111449185.72055373</v>
      </c>
    </row>
    <row r="33" spans="1:12">
      <c r="A33" s="2">
        <f t="shared" si="1"/>
        <v>20</v>
      </c>
      <c r="B33" s="113"/>
      <c r="C33" s="14" t="s">
        <v>382</v>
      </c>
      <c r="D33" s="332">
        <v>2023</v>
      </c>
      <c r="E33" s="115">
        <f t="shared" si="5"/>
        <v>105324498.22769731</v>
      </c>
      <c r="F33" s="115">
        <f t="shared" si="2"/>
        <v>113845307.23</v>
      </c>
      <c r="G33" s="265"/>
      <c r="H33" s="115">
        <f t="shared" si="3"/>
        <v>-8520809.0023026913</v>
      </c>
      <c r="I33" s="772">
        <v>6.7000000000000002E-3</v>
      </c>
      <c r="J33" s="118">
        <f t="shared" si="6"/>
        <v>-119969994.72285642</v>
      </c>
      <c r="K33" s="118">
        <f t="shared" si="7"/>
        <v>-775254.25448542403</v>
      </c>
      <c r="L33" s="118">
        <f t="shared" si="4"/>
        <v>-120745248.97734185</v>
      </c>
    </row>
    <row r="34" spans="1:12">
      <c r="A34" s="2">
        <f t="shared" si="1"/>
        <v>21</v>
      </c>
      <c r="B34" s="113"/>
      <c r="C34" s="14" t="s">
        <v>383</v>
      </c>
      <c r="D34" s="332">
        <v>2023</v>
      </c>
      <c r="E34" s="115">
        <f t="shared" si="5"/>
        <v>105324498.22769731</v>
      </c>
      <c r="F34" s="115">
        <f t="shared" si="2"/>
        <v>100769309.55</v>
      </c>
      <c r="G34" s="265"/>
      <c r="H34" s="115">
        <f t="shared" si="3"/>
        <v>4555188.6776973158</v>
      </c>
      <c r="I34" s="772">
        <v>7.0000000000000001E-3</v>
      </c>
      <c r="J34" s="118">
        <f t="shared" si="6"/>
        <v>-116190060.29964453</v>
      </c>
      <c r="K34" s="118">
        <f t="shared" si="7"/>
        <v>-829273.58246945229</v>
      </c>
      <c r="L34" s="118">
        <f t="shared" si="4"/>
        <v>-117019333.88211398</v>
      </c>
    </row>
    <row r="35" spans="1:12">
      <c r="A35" s="2">
        <f t="shared" si="1"/>
        <v>22</v>
      </c>
      <c r="B35" s="113"/>
      <c r="C35" s="14" t="s">
        <v>384</v>
      </c>
      <c r="D35" s="332">
        <v>2023</v>
      </c>
      <c r="E35" s="115">
        <f t="shared" si="5"/>
        <v>105324498.22769731</v>
      </c>
      <c r="F35" s="115">
        <f t="shared" si="2"/>
        <v>112523384.51000001</v>
      </c>
      <c r="G35" s="265"/>
      <c r="H35" s="115">
        <f t="shared" si="3"/>
        <v>-7198886.2823026925</v>
      </c>
      <c r="I35" s="772">
        <v>7.0000000000000001E-3</v>
      </c>
      <c r="J35" s="118">
        <f t="shared" si="6"/>
        <v>-124218220.16441667</v>
      </c>
      <c r="K35" s="118">
        <f t="shared" si="7"/>
        <v>-844331.43916285736</v>
      </c>
      <c r="L35" s="118">
        <f t="shared" si="4"/>
        <v>-125062551.60357952</v>
      </c>
    </row>
    <row r="36" spans="1:12">
      <c r="A36" s="2">
        <f t="shared" si="1"/>
        <v>23</v>
      </c>
      <c r="B36" s="113"/>
      <c r="C36" s="14" t="s">
        <v>372</v>
      </c>
      <c r="D36" s="332">
        <v>2023</v>
      </c>
      <c r="E36" s="115">
        <f t="shared" si="5"/>
        <v>105324498.22769731</v>
      </c>
      <c r="F36" s="115">
        <f t="shared" si="2"/>
        <v>101049928.75</v>
      </c>
      <c r="G36" s="799"/>
      <c r="H36" s="115">
        <f>E36-F36+G36</f>
        <v>4274569.4776973128</v>
      </c>
      <c r="I36" s="772">
        <v>7.0000000000000001E-3</v>
      </c>
      <c r="J36" s="118">
        <f>L35+H36</f>
        <v>-120787982.12588221</v>
      </c>
      <c r="K36" s="118">
        <f t="shared" si="7"/>
        <v>-860476.86805311602</v>
      </c>
      <c r="L36" s="118">
        <f>J36+K36</f>
        <v>-121648458.99393533</v>
      </c>
    </row>
    <row r="37" spans="1:12">
      <c r="A37" s="2"/>
      <c r="B37" s="113"/>
      <c r="C37" s="14"/>
      <c r="D37" s="17"/>
      <c r="E37" s="113"/>
      <c r="F37" s="123"/>
      <c r="G37" s="115"/>
      <c r="H37" s="191"/>
      <c r="I37" s="113"/>
      <c r="J37" s="113"/>
      <c r="K37" s="113"/>
      <c r="L37" s="113"/>
    </row>
    <row r="38" spans="1:12">
      <c r="A38" s="2">
        <f>A36+1</f>
        <v>24</v>
      </c>
      <c r="B38" s="1" t="s">
        <v>385</v>
      </c>
      <c r="C38" s="14"/>
      <c r="D38" s="17"/>
      <c r="E38" s="113"/>
      <c r="F38" s="234"/>
      <c r="G38" s="115"/>
      <c r="H38" s="123"/>
      <c r="I38" s="113"/>
      <c r="J38" s="113"/>
      <c r="K38" s="113"/>
      <c r="L38" s="113"/>
    </row>
    <row r="39" spans="1:12">
      <c r="A39" s="2">
        <f t="shared" si="0"/>
        <v>25</v>
      </c>
      <c r="B39" s="1"/>
      <c r="C39" s="14"/>
      <c r="D39" s="17"/>
      <c r="E39" s="113"/>
      <c r="F39" s="253" t="s">
        <v>226</v>
      </c>
      <c r="G39" s="115"/>
      <c r="H39" s="123"/>
      <c r="I39" s="113"/>
      <c r="J39" s="113"/>
      <c r="K39" s="113"/>
      <c r="L39" s="113"/>
    </row>
    <row r="40" spans="1:12">
      <c r="A40" s="2">
        <f t="shared" si="0"/>
        <v>26</v>
      </c>
      <c r="B40" s="113"/>
      <c r="C40" s="14"/>
      <c r="D40" s="114" t="s">
        <v>386</v>
      </c>
      <c r="E40" s="115">
        <f>L36</f>
        <v>-121648458.99393533</v>
      </c>
      <c r="F40" s="234" t="str">
        <f>"Line "&amp;A36&amp;", Column 9"</f>
        <v>Line 23, Column 9</v>
      </c>
      <c r="G40" s="120"/>
      <c r="H40" s="123"/>
      <c r="I40" s="113"/>
      <c r="J40" s="113"/>
      <c r="K40" s="113"/>
      <c r="L40" s="113"/>
    </row>
    <row r="41" spans="1:12">
      <c r="A41" s="2">
        <f t="shared" si="0"/>
        <v>27</v>
      </c>
      <c r="B41" s="113"/>
      <c r="C41" s="14"/>
      <c r="D41" s="233" t="s">
        <v>387</v>
      </c>
      <c r="E41" s="533">
        <v>-133413458.79766294</v>
      </c>
      <c r="F41" s="234" t="str">
        <f>"Previous Annual Update Schedule 3, Line "&amp;A44&amp;""</f>
        <v>Previous Annual Update Schedule 3, Line 30</v>
      </c>
      <c r="G41" s="120"/>
      <c r="H41" s="123"/>
      <c r="J41" s="114" t="s">
        <v>388</v>
      </c>
      <c r="K41" s="200" t="s">
        <v>2903</v>
      </c>
      <c r="L41" s="200"/>
    </row>
    <row r="42" spans="1:12">
      <c r="A42" s="2">
        <f t="shared" si="0"/>
        <v>28</v>
      </c>
      <c r="B42" s="113"/>
      <c r="C42" s="14"/>
      <c r="D42" s="233" t="s">
        <v>389</v>
      </c>
      <c r="E42" s="797">
        <f>E40-E41</f>
        <v>11764999.803727612</v>
      </c>
      <c r="F42" s="234" t="str">
        <f>"Line "&amp;A40&amp;" - Line "&amp;A41&amp;""</f>
        <v>Line 26 - Line 27</v>
      </c>
      <c r="G42" s="120"/>
      <c r="H42" s="123"/>
      <c r="J42" s="234"/>
      <c r="K42" s="200"/>
      <c r="L42" s="200"/>
    </row>
    <row r="43" spans="1:12" ht="15">
      <c r="A43" s="2">
        <f t="shared" si="0"/>
        <v>29</v>
      </c>
      <c r="B43" s="113"/>
      <c r="C43" s="14"/>
      <c r="D43" s="233" t="s">
        <v>390</v>
      </c>
      <c r="E43" s="1012">
        <f>E42*I36*18</f>
        <v>1482389.975269679</v>
      </c>
      <c r="F43" s="234" t="str">
        <f>"Line "&amp;A42&amp;" * (Line "&amp;A36&amp;", Column 6) * 18 months"</f>
        <v>Line 28 * (Line 23, Column 6) * 18 months</v>
      </c>
      <c r="G43" s="120"/>
      <c r="H43" s="123"/>
      <c r="I43" s="234"/>
      <c r="J43" s="113"/>
      <c r="K43" s="113"/>
      <c r="L43" s="113"/>
    </row>
    <row r="44" spans="1:12">
      <c r="A44" s="2">
        <f t="shared" si="0"/>
        <v>30</v>
      </c>
      <c r="B44" s="113"/>
      <c r="C44" s="14"/>
      <c r="D44" s="49" t="s">
        <v>391</v>
      </c>
      <c r="E44" s="115">
        <f>E42+E43</f>
        <v>13247389.778997291</v>
      </c>
      <c r="F44" s="252" t="str">
        <f>"Line "&amp;A42&amp;" + Line "&amp;A43&amp;".  Positive amount is to be collected by SCE (included in Base TRR as a positive amount)."</f>
        <v>Line 28 + Line 29.  Positive amount is to be collected by SCE (included in Base TRR as a positive amount).</v>
      </c>
      <c r="G44" s="120"/>
      <c r="H44" s="123"/>
      <c r="I44" s="113"/>
      <c r="J44" s="113"/>
      <c r="K44" s="113"/>
      <c r="L44" s="113"/>
    </row>
    <row r="45" spans="1:12">
      <c r="A45" s="2">
        <f t="shared" si="0"/>
        <v>31</v>
      </c>
      <c r="B45" s="113"/>
      <c r="C45" s="113"/>
      <c r="D45" s="113"/>
      <c r="E45" s="113"/>
      <c r="F45" s="252" t="s">
        <v>392</v>
      </c>
      <c r="G45" s="113"/>
      <c r="H45" s="113"/>
      <c r="I45" s="113"/>
      <c r="J45" s="113"/>
      <c r="K45" s="113"/>
      <c r="L45" s="113"/>
    </row>
    <row r="46" spans="1:12">
      <c r="A46" s="2">
        <f t="shared" si="0"/>
        <v>32</v>
      </c>
      <c r="B46" s="1" t="s">
        <v>393</v>
      </c>
      <c r="C46" s="113"/>
      <c r="D46" s="113"/>
      <c r="E46" s="113"/>
      <c r="F46" s="124"/>
      <c r="G46" s="113"/>
      <c r="H46" s="113"/>
      <c r="I46" s="113"/>
      <c r="J46" s="113"/>
      <c r="K46" s="113"/>
      <c r="L46" s="113"/>
    </row>
    <row r="47" spans="1:12">
      <c r="A47" s="2">
        <f t="shared" si="0"/>
        <v>33</v>
      </c>
      <c r="B47" s="234" t="s">
        <v>394</v>
      </c>
      <c r="C47" s="113"/>
      <c r="D47" s="113"/>
      <c r="E47" s="113"/>
      <c r="F47" s="113"/>
      <c r="G47" s="113"/>
      <c r="H47" s="113"/>
      <c r="I47" s="113"/>
      <c r="J47" s="113"/>
      <c r="K47" s="113"/>
      <c r="L47" s="113"/>
    </row>
    <row r="48" spans="1:12">
      <c r="A48" s="2">
        <f t="shared" si="0"/>
        <v>34</v>
      </c>
      <c r="B48" s="234" t="s">
        <v>395</v>
      </c>
      <c r="C48" s="113"/>
      <c r="D48" s="113"/>
      <c r="E48" s="113"/>
      <c r="F48" s="113"/>
      <c r="G48" s="113"/>
      <c r="H48" s="113"/>
      <c r="I48" s="113"/>
      <c r="J48" s="113"/>
      <c r="K48" s="113"/>
      <c r="L48" s="113"/>
    </row>
    <row r="49" spans="1:12">
      <c r="A49" s="2">
        <f t="shared" si="0"/>
        <v>35</v>
      </c>
      <c r="B49" s="234" t="s">
        <v>396</v>
      </c>
      <c r="C49" s="113"/>
      <c r="D49" s="113"/>
      <c r="E49" s="113"/>
      <c r="F49" s="113"/>
      <c r="G49" s="113"/>
      <c r="H49" s="113"/>
      <c r="I49" s="113"/>
      <c r="J49" s="113"/>
      <c r="K49" s="113"/>
      <c r="L49" s="113"/>
    </row>
    <row r="50" spans="1:12">
      <c r="A50" s="2">
        <f t="shared" si="0"/>
        <v>36</v>
      </c>
      <c r="B50" s="113"/>
      <c r="C50" s="113"/>
      <c r="D50" s="113"/>
      <c r="E50" s="113"/>
      <c r="F50" s="113"/>
      <c r="G50" s="113"/>
      <c r="H50" s="113"/>
      <c r="I50" s="113"/>
      <c r="J50" s="113"/>
      <c r="K50" s="113"/>
      <c r="L50" s="113"/>
    </row>
    <row r="51" spans="1:12">
      <c r="A51" s="2">
        <f t="shared" ref="A51:A91" si="8">A50+1</f>
        <v>37</v>
      </c>
      <c r="B51" s="1" t="s">
        <v>397</v>
      </c>
      <c r="C51" s="113"/>
      <c r="D51" s="113"/>
      <c r="E51" s="113"/>
      <c r="F51" s="113"/>
      <c r="G51" s="113"/>
      <c r="H51" s="113"/>
      <c r="I51" s="113"/>
      <c r="J51" s="113"/>
      <c r="K51" s="113"/>
      <c r="L51" s="113"/>
    </row>
    <row r="52" spans="1:12">
      <c r="A52" s="2">
        <f t="shared" si="8"/>
        <v>38</v>
      </c>
      <c r="B52" s="113"/>
      <c r="C52" s="113"/>
      <c r="D52" s="116" t="s">
        <v>398</v>
      </c>
      <c r="E52" s="113"/>
      <c r="G52" s="113"/>
      <c r="H52" s="113"/>
      <c r="I52" s="113"/>
      <c r="J52" s="113"/>
      <c r="K52" s="113"/>
      <c r="L52" s="113"/>
    </row>
    <row r="53" spans="1:12">
      <c r="A53" s="2">
        <f t="shared" si="8"/>
        <v>39</v>
      </c>
      <c r="B53" s="113"/>
      <c r="C53" s="18" t="s">
        <v>364</v>
      </c>
      <c r="D53" s="3" t="s">
        <v>399</v>
      </c>
      <c r="E53" s="3" t="s">
        <v>400</v>
      </c>
      <c r="G53" s="113"/>
      <c r="H53" s="113"/>
      <c r="I53" s="113"/>
      <c r="J53" s="113"/>
      <c r="K53" s="113"/>
      <c r="L53" s="113"/>
    </row>
    <row r="54" spans="1:12">
      <c r="A54" s="2">
        <f t="shared" si="8"/>
        <v>40</v>
      </c>
      <c r="B54" s="113"/>
      <c r="C54" s="14" t="s">
        <v>374</v>
      </c>
      <c r="D54" s="876">
        <v>6.3763211440757639E-2</v>
      </c>
      <c r="E54" s="234" t="s">
        <v>401</v>
      </c>
      <c r="G54" s="113"/>
      <c r="H54" s="113"/>
      <c r="I54" s="113"/>
      <c r="J54" s="113"/>
      <c r="K54" s="113"/>
      <c r="L54" s="113"/>
    </row>
    <row r="55" spans="1:12">
      <c r="A55" s="2">
        <f t="shared" si="8"/>
        <v>41</v>
      </c>
      <c r="B55" s="113"/>
      <c r="C55" s="14" t="s">
        <v>375</v>
      </c>
      <c r="D55" s="876">
        <v>5.6553289888256801E-2</v>
      </c>
      <c r="G55" s="113"/>
      <c r="H55" s="113"/>
      <c r="I55" s="113"/>
      <c r="J55" s="113"/>
      <c r="K55" s="113"/>
      <c r="L55" s="113"/>
    </row>
    <row r="56" spans="1:12">
      <c r="A56" s="2">
        <f t="shared" si="8"/>
        <v>42</v>
      </c>
      <c r="B56" s="113"/>
      <c r="C56" s="14" t="s">
        <v>376</v>
      </c>
      <c r="D56" s="876">
        <v>7.1828142218240867E-2</v>
      </c>
      <c r="E56" s="234"/>
      <c r="G56" s="113"/>
      <c r="H56" s="113"/>
      <c r="I56" s="113"/>
      <c r="J56" s="113"/>
      <c r="K56" s="113"/>
      <c r="L56" s="113"/>
    </row>
    <row r="57" spans="1:12">
      <c r="A57" s="2">
        <f t="shared" si="8"/>
        <v>43</v>
      </c>
      <c r="B57" s="113"/>
      <c r="C57" s="14" t="s">
        <v>377</v>
      </c>
      <c r="D57" s="876">
        <v>8.2236801934806855E-2</v>
      </c>
      <c r="E57" s="877"/>
      <c r="G57" s="113"/>
      <c r="H57" s="113"/>
      <c r="I57" s="113"/>
      <c r="J57" s="113"/>
      <c r="K57" s="113"/>
      <c r="L57" s="113"/>
    </row>
    <row r="58" spans="1:12">
      <c r="A58" s="2">
        <f t="shared" si="8"/>
        <v>44</v>
      </c>
      <c r="B58" s="113"/>
      <c r="C58" s="14" t="s">
        <v>378</v>
      </c>
      <c r="D58" s="876">
        <v>8.01837425905748E-2</v>
      </c>
      <c r="E58" s="125"/>
      <c r="G58" s="113"/>
      <c r="H58" s="113"/>
      <c r="I58" s="113"/>
      <c r="J58" s="113"/>
      <c r="K58" s="113"/>
      <c r="L58" s="113"/>
    </row>
    <row r="59" spans="1:12">
      <c r="A59" s="2">
        <f t="shared" si="8"/>
        <v>45</v>
      </c>
      <c r="B59" s="113"/>
      <c r="C59" s="14" t="s">
        <v>379</v>
      </c>
      <c r="D59" s="876">
        <v>8.9450501877561497E-2</v>
      </c>
      <c r="E59" s="125"/>
      <c r="G59" s="113"/>
      <c r="H59" s="113"/>
      <c r="I59" s="113"/>
      <c r="J59" s="113"/>
      <c r="K59" s="113"/>
      <c r="L59" s="113"/>
    </row>
    <row r="60" spans="1:12">
      <c r="A60" s="2">
        <f t="shared" si="8"/>
        <v>46</v>
      </c>
      <c r="B60" s="113"/>
      <c r="C60" s="14" t="s">
        <v>380</v>
      </c>
      <c r="D60" s="876">
        <v>9.8908415854749826E-2</v>
      </c>
      <c r="E60" s="125"/>
      <c r="G60" s="113"/>
      <c r="H60" s="113"/>
      <c r="I60" s="113"/>
      <c r="J60" s="113"/>
      <c r="K60" s="113"/>
      <c r="L60" s="113"/>
    </row>
    <row r="61" spans="1:12">
      <c r="A61" s="2">
        <f t="shared" si="8"/>
        <v>47</v>
      </c>
      <c r="B61" s="113"/>
      <c r="C61" s="14" t="s">
        <v>381</v>
      </c>
      <c r="D61" s="876">
        <v>0.10141004323318151</v>
      </c>
      <c r="E61" s="125"/>
      <c r="G61" s="113"/>
      <c r="H61" s="113"/>
      <c r="I61" s="113"/>
      <c r="J61" s="113"/>
      <c r="K61" s="113"/>
      <c r="L61" s="113"/>
    </row>
    <row r="62" spans="1:12">
      <c r="A62" s="2">
        <f t="shared" si="8"/>
        <v>48</v>
      </c>
      <c r="B62" s="113"/>
      <c r="C62" s="14" t="s">
        <v>382</v>
      </c>
      <c r="D62" s="876">
        <v>0.10217900008822713</v>
      </c>
      <c r="E62" s="125"/>
      <c r="G62" s="113"/>
      <c r="H62" s="113"/>
      <c r="I62" s="113"/>
      <c r="J62" s="113"/>
      <c r="K62" s="113"/>
      <c r="L62" s="113"/>
    </row>
    <row r="63" spans="1:12">
      <c r="A63" s="2">
        <f t="shared" si="8"/>
        <v>49</v>
      </c>
      <c r="B63" s="113"/>
      <c r="C63" s="14" t="s">
        <v>383</v>
      </c>
      <c r="D63" s="876">
        <v>9.1787269171678454E-2</v>
      </c>
      <c r="E63" s="125"/>
      <c r="G63" s="113"/>
      <c r="H63" s="113"/>
      <c r="I63" s="113"/>
      <c r="J63" s="113"/>
      <c r="K63" s="113"/>
      <c r="L63" s="113"/>
    </row>
    <row r="64" spans="1:12">
      <c r="A64" s="2">
        <f t="shared" si="8"/>
        <v>50</v>
      </c>
      <c r="B64" s="113"/>
      <c r="C64" s="14" t="s">
        <v>384</v>
      </c>
      <c r="D64" s="876">
        <v>7.5296938318149625E-2</v>
      </c>
      <c r="E64" s="125"/>
      <c r="G64" s="113"/>
      <c r="H64" s="113"/>
      <c r="I64" s="113"/>
      <c r="J64" s="113"/>
      <c r="K64" s="113"/>
      <c r="L64" s="113"/>
    </row>
    <row r="65" spans="1:16">
      <c r="A65" s="2">
        <f t="shared" si="8"/>
        <v>51</v>
      </c>
      <c r="B65" s="113"/>
      <c r="C65" s="14" t="s">
        <v>372</v>
      </c>
      <c r="D65" s="192">
        <v>8.640264338381512E-2</v>
      </c>
      <c r="E65" s="29"/>
      <c r="G65" s="113"/>
      <c r="H65" s="113"/>
      <c r="I65" s="113"/>
      <c r="J65" s="113"/>
      <c r="K65" s="113"/>
      <c r="L65" s="113"/>
    </row>
    <row r="66" spans="1:16">
      <c r="A66" s="2">
        <f t="shared" si="8"/>
        <v>52</v>
      </c>
      <c r="B66" s="113"/>
      <c r="C66" s="22" t="s">
        <v>402</v>
      </c>
      <c r="D66" s="197">
        <f>SUM(D54:D65)</f>
        <v>1.0000000000000002</v>
      </c>
      <c r="E66" s="113"/>
      <c r="G66" s="113"/>
      <c r="H66" s="113"/>
      <c r="I66" s="113"/>
      <c r="J66" s="113"/>
      <c r="K66" s="113"/>
      <c r="L66" s="113"/>
    </row>
    <row r="67" spans="1:16">
      <c r="A67" s="2">
        <f t="shared" si="8"/>
        <v>53</v>
      </c>
      <c r="B67" s="113"/>
      <c r="C67" s="113"/>
      <c r="D67" s="113"/>
      <c r="E67" s="113"/>
      <c r="F67" s="2"/>
      <c r="G67" s="113"/>
      <c r="H67" s="113"/>
      <c r="I67" s="113"/>
      <c r="J67" s="113"/>
      <c r="K67" s="113"/>
      <c r="L67" s="113"/>
    </row>
    <row r="68" spans="1:16">
      <c r="A68" s="2">
        <f t="shared" si="8"/>
        <v>54</v>
      </c>
      <c r="B68" s="1" t="s">
        <v>403</v>
      </c>
      <c r="C68" s="113"/>
      <c r="D68" s="113"/>
      <c r="E68" s="113"/>
      <c r="F68" s="2"/>
      <c r="G68" s="113"/>
      <c r="H68" s="113"/>
      <c r="I68" s="113"/>
      <c r="J68" s="113"/>
      <c r="K68" s="113"/>
      <c r="L68" s="113"/>
    </row>
    <row r="69" spans="1:16">
      <c r="A69" s="2">
        <f t="shared" si="8"/>
        <v>55</v>
      </c>
      <c r="B69" s="113"/>
      <c r="C69" s="113"/>
      <c r="D69" s="113"/>
      <c r="E69" s="113"/>
      <c r="F69" s="2"/>
      <c r="G69" s="113"/>
      <c r="H69" s="113"/>
      <c r="I69" s="113"/>
      <c r="J69" s="113"/>
      <c r="K69" s="113"/>
      <c r="L69" s="113"/>
    </row>
    <row r="70" spans="1:16">
      <c r="A70" s="2">
        <f t="shared" si="8"/>
        <v>56</v>
      </c>
      <c r="B70" s="113"/>
      <c r="C70" s="48" t="s">
        <v>329</v>
      </c>
      <c r="D70" s="48" t="s">
        <v>330</v>
      </c>
      <c r="E70" s="48" t="s">
        <v>331</v>
      </c>
      <c r="F70" s="48" t="s">
        <v>332</v>
      </c>
      <c r="G70" s="48" t="s">
        <v>333</v>
      </c>
      <c r="H70" s="48" t="s">
        <v>334</v>
      </c>
      <c r="I70" s="48" t="s">
        <v>335</v>
      </c>
      <c r="J70" s="113"/>
    </row>
    <row r="71" spans="1:16">
      <c r="A71" s="2">
        <f t="shared" si="8"/>
        <v>57</v>
      </c>
      <c r="B71" s="113"/>
      <c r="C71" s="236" t="s">
        <v>404</v>
      </c>
      <c r="D71" s="236" t="s">
        <v>405</v>
      </c>
      <c r="E71" s="48"/>
      <c r="F71" s="48"/>
      <c r="G71" s="48"/>
      <c r="H71" s="48"/>
      <c r="I71" s="236" t="s">
        <v>406</v>
      </c>
      <c r="J71" s="113"/>
      <c r="K71" s="113"/>
      <c r="L71" s="113"/>
    </row>
    <row r="72" spans="1:16">
      <c r="A72" s="2">
        <f t="shared" si="8"/>
        <v>58</v>
      </c>
      <c r="B72" s="113"/>
      <c r="C72" s="113"/>
      <c r="D72" s="113"/>
      <c r="E72" s="113"/>
      <c r="F72" s="2"/>
      <c r="G72" s="113"/>
      <c r="H72" s="113"/>
      <c r="I72" s="113"/>
      <c r="J72" s="113"/>
      <c r="K72" s="199"/>
      <c r="L72" s="113"/>
    </row>
    <row r="73" spans="1:16">
      <c r="A73" s="2">
        <f t="shared" si="8"/>
        <v>59</v>
      </c>
      <c r="B73" s="113"/>
      <c r="C73" s="2" t="s">
        <v>351</v>
      </c>
      <c r="D73" s="113"/>
      <c r="E73" s="113"/>
      <c r="F73" s="2"/>
      <c r="G73" s="113"/>
      <c r="H73" s="113"/>
      <c r="I73" s="2" t="s">
        <v>353</v>
      </c>
      <c r="J73" s="113"/>
      <c r="K73" s="245"/>
      <c r="L73" s="113"/>
    </row>
    <row r="74" spans="1:16">
      <c r="A74" s="2">
        <f t="shared" si="8"/>
        <v>60</v>
      </c>
      <c r="B74" s="116" t="s">
        <v>407</v>
      </c>
      <c r="C74" s="2" t="s">
        <v>355</v>
      </c>
      <c r="D74" s="113"/>
      <c r="E74" s="113"/>
      <c r="F74" s="48"/>
      <c r="G74" s="113"/>
      <c r="H74" s="113"/>
      <c r="I74" s="2" t="s">
        <v>244</v>
      </c>
      <c r="J74" s="113"/>
    </row>
    <row r="75" spans="1:16" ht="15">
      <c r="A75" s="2">
        <f t="shared" si="8"/>
        <v>61</v>
      </c>
      <c r="B75" s="116" t="s">
        <v>365</v>
      </c>
      <c r="C75" s="2" t="s">
        <v>360</v>
      </c>
      <c r="D75" s="2" t="s">
        <v>408</v>
      </c>
      <c r="E75" s="2"/>
      <c r="F75" s="2"/>
      <c r="G75" s="2" t="s">
        <v>409</v>
      </c>
      <c r="H75" s="2"/>
      <c r="I75" s="2" t="s">
        <v>410</v>
      </c>
      <c r="J75" s="113"/>
      <c r="P75" s="121"/>
    </row>
    <row r="76" spans="1:16" ht="15">
      <c r="A76" s="2">
        <f t="shared" si="8"/>
        <v>62</v>
      </c>
      <c r="B76" s="3" t="s">
        <v>364</v>
      </c>
      <c r="C76" s="3" t="s">
        <v>367</v>
      </c>
      <c r="D76" s="3" t="s">
        <v>360</v>
      </c>
      <c r="E76" s="3" t="s">
        <v>411</v>
      </c>
      <c r="F76" s="3" t="s">
        <v>412</v>
      </c>
      <c r="G76" s="3" t="s">
        <v>4</v>
      </c>
      <c r="H76" s="3" t="s">
        <v>408</v>
      </c>
      <c r="I76" s="3" t="s">
        <v>243</v>
      </c>
      <c r="J76" s="113"/>
      <c r="K76" s="122"/>
      <c r="L76" s="122"/>
      <c r="M76" s="122"/>
      <c r="N76" s="122"/>
      <c r="O76" s="122"/>
      <c r="P76" s="122"/>
    </row>
    <row r="77" spans="1:16">
      <c r="A77" s="2">
        <f t="shared" si="8"/>
        <v>63</v>
      </c>
      <c r="B77" s="126" t="s">
        <v>413</v>
      </c>
      <c r="C77" s="533">
        <v>123350287.3</v>
      </c>
      <c r="D77" s="533">
        <v>-1191491.4999999991</v>
      </c>
      <c r="E77" s="533">
        <v>632526363.5</v>
      </c>
      <c r="F77" s="533">
        <v>471175754.80999994</v>
      </c>
      <c r="G77" s="533">
        <v>67956845.120000005</v>
      </c>
      <c r="H77" s="255">
        <v>45037108.280000001</v>
      </c>
      <c r="I77" s="115">
        <f t="shared" ref="I77:I82" si="9">SUM(C77:H77)</f>
        <v>1338854867.51</v>
      </c>
      <c r="J77" s="113"/>
      <c r="K77" s="31"/>
      <c r="M77" s="6"/>
      <c r="N77" s="6"/>
      <c r="O77" s="6"/>
      <c r="P77" s="6"/>
    </row>
    <row r="78" spans="1:16">
      <c r="A78" s="2">
        <f t="shared" si="8"/>
        <v>64</v>
      </c>
      <c r="B78" s="126" t="s">
        <v>414</v>
      </c>
      <c r="C78" s="533">
        <v>89828154.810000002</v>
      </c>
      <c r="D78" s="533">
        <v>204984.05999999959</v>
      </c>
      <c r="E78" s="533">
        <v>454069143.20999998</v>
      </c>
      <c r="F78" s="533">
        <v>410683184.49000001</v>
      </c>
      <c r="G78" s="533">
        <v>44780631.560000002</v>
      </c>
      <c r="H78" s="533">
        <v>11425694.310000001</v>
      </c>
      <c r="I78" s="115">
        <f t="shared" si="9"/>
        <v>1010991792.4399998</v>
      </c>
      <c r="J78" s="113"/>
      <c r="K78" s="31"/>
      <c r="M78" s="6"/>
      <c r="N78" s="6"/>
      <c r="O78" s="6"/>
      <c r="P78" s="6"/>
    </row>
    <row r="79" spans="1:16">
      <c r="A79" s="2">
        <f t="shared" si="8"/>
        <v>65</v>
      </c>
      <c r="B79" s="126" t="s">
        <v>415</v>
      </c>
      <c r="C79" s="533">
        <v>105985517.25</v>
      </c>
      <c r="D79" s="533">
        <v>-445741.42999999947</v>
      </c>
      <c r="E79" s="533">
        <v>185354624.24000001</v>
      </c>
      <c r="F79" s="533">
        <v>451425670.16000003</v>
      </c>
      <c r="G79" s="533">
        <v>57573813.629999995</v>
      </c>
      <c r="H79" s="533">
        <v>26826965.580000002</v>
      </c>
      <c r="I79" s="115">
        <f t="shared" si="9"/>
        <v>826720849.43000007</v>
      </c>
      <c r="J79" s="113"/>
      <c r="K79" s="31"/>
      <c r="M79" s="6"/>
      <c r="N79" s="6"/>
      <c r="O79" s="6"/>
      <c r="P79" s="6"/>
    </row>
    <row r="80" spans="1:16">
      <c r="A80" s="2">
        <f t="shared" si="8"/>
        <v>66</v>
      </c>
      <c r="B80" s="126" t="s">
        <v>416</v>
      </c>
      <c r="C80" s="533">
        <v>84499493.450000003</v>
      </c>
      <c r="D80" s="533">
        <v>-298773.25000000047</v>
      </c>
      <c r="E80" s="533">
        <v>336209680.34000003</v>
      </c>
      <c r="F80" s="533">
        <v>344082484.11000001</v>
      </c>
      <c r="G80" s="533">
        <v>48135682.369999997</v>
      </c>
      <c r="H80" s="533">
        <v>21401937.020000003</v>
      </c>
      <c r="I80" s="115">
        <f t="shared" si="9"/>
        <v>834030504.04000008</v>
      </c>
      <c r="J80" s="113"/>
      <c r="K80" s="31"/>
      <c r="M80" s="6"/>
      <c r="N80" s="6"/>
      <c r="O80" s="6"/>
      <c r="P80" s="6"/>
    </row>
    <row r="81" spans="1:16">
      <c r="A81" s="2">
        <f t="shared" si="8"/>
        <v>67</v>
      </c>
      <c r="B81" s="236" t="s">
        <v>378</v>
      </c>
      <c r="C81" s="533">
        <v>103018564.53</v>
      </c>
      <c r="D81" s="533">
        <v>-439036.63000000064</v>
      </c>
      <c r="E81" s="533">
        <v>499276104.44999999</v>
      </c>
      <c r="F81" s="533">
        <v>428350842.51000005</v>
      </c>
      <c r="G81" s="533">
        <v>62089229.620000005</v>
      </c>
      <c r="H81" s="533">
        <v>26879445.32</v>
      </c>
      <c r="I81" s="115">
        <f t="shared" si="9"/>
        <v>1119175149.8</v>
      </c>
      <c r="J81" s="113"/>
      <c r="K81" s="31"/>
      <c r="M81" s="6"/>
      <c r="N81" s="6"/>
      <c r="O81" s="6"/>
      <c r="P81" s="6"/>
    </row>
    <row r="82" spans="1:16">
      <c r="A82" s="2">
        <f t="shared" si="8"/>
        <v>68</v>
      </c>
      <c r="B82" s="126" t="s">
        <v>417</v>
      </c>
      <c r="C82" s="533">
        <v>104657063.3</v>
      </c>
      <c r="D82" s="533">
        <v>-3141420.6400000006</v>
      </c>
      <c r="E82" s="533">
        <v>625113936.58000004</v>
      </c>
      <c r="F82" s="533">
        <v>551790626.24000001</v>
      </c>
      <c r="G82" s="533">
        <v>61966760.380000003</v>
      </c>
      <c r="H82" s="533">
        <v>27556342.699999999</v>
      </c>
      <c r="I82" s="115">
        <f t="shared" si="9"/>
        <v>1367943308.5600002</v>
      </c>
      <c r="J82" s="113"/>
      <c r="K82" s="31"/>
      <c r="M82" s="6"/>
      <c r="N82" s="6"/>
      <c r="O82" s="6"/>
      <c r="P82" s="6"/>
    </row>
    <row r="83" spans="1:16">
      <c r="A83" s="2">
        <f t="shared" si="8"/>
        <v>69</v>
      </c>
      <c r="B83" s="126" t="s">
        <v>418</v>
      </c>
      <c r="C83" s="533">
        <v>142463886.24000001</v>
      </c>
      <c r="D83" s="533">
        <v>-7248139.4199999999</v>
      </c>
      <c r="E83" s="533">
        <v>895449667.52999997</v>
      </c>
      <c r="F83" s="533">
        <v>881679154.80999994</v>
      </c>
      <c r="G83" s="533">
        <v>68403523.640000001</v>
      </c>
      <c r="H83" s="533">
        <v>38473672.319999993</v>
      </c>
      <c r="I83" s="115">
        <f t="shared" ref="I83:I87" si="10">SUM(C83:H83)</f>
        <v>2019221765.1199999</v>
      </c>
      <c r="J83" s="113"/>
      <c r="K83" s="31"/>
      <c r="M83" s="6"/>
      <c r="N83" s="6"/>
      <c r="O83" s="6"/>
      <c r="P83" s="6"/>
    </row>
    <row r="84" spans="1:16">
      <c r="A84" s="2">
        <f t="shared" si="8"/>
        <v>70</v>
      </c>
      <c r="B84" s="126" t="s">
        <v>419</v>
      </c>
      <c r="C84" s="533">
        <v>136173467.86000001</v>
      </c>
      <c r="D84" s="533">
        <v>-6038347.7799999975</v>
      </c>
      <c r="E84" s="533">
        <v>885910893.21000004</v>
      </c>
      <c r="F84" s="533">
        <v>832911890.19999993</v>
      </c>
      <c r="G84" s="533">
        <v>37638602.060000002</v>
      </c>
      <c r="H84" s="533">
        <v>34256424.07</v>
      </c>
      <c r="I84" s="115">
        <f t="shared" si="10"/>
        <v>1920852929.6199999</v>
      </c>
      <c r="J84" s="113"/>
      <c r="K84" s="31"/>
      <c r="M84" s="6"/>
      <c r="N84" s="6"/>
      <c r="O84" s="6"/>
      <c r="P84" s="6"/>
    </row>
    <row r="85" spans="1:16">
      <c r="A85" s="2">
        <f t="shared" si="8"/>
        <v>71</v>
      </c>
      <c r="B85" s="126" t="s">
        <v>420</v>
      </c>
      <c r="C85" s="533">
        <v>113845307.23</v>
      </c>
      <c r="D85" s="533">
        <v>-5023088.8600000013</v>
      </c>
      <c r="E85" s="533">
        <v>707544966.81999993</v>
      </c>
      <c r="F85" s="533">
        <v>693056713.99000001</v>
      </c>
      <c r="G85" s="533">
        <v>47988228.469999999</v>
      </c>
      <c r="H85" s="533">
        <v>28936676.579999998</v>
      </c>
      <c r="I85" s="115">
        <f t="shared" si="10"/>
        <v>1586348804.2299998</v>
      </c>
      <c r="J85" s="113"/>
      <c r="K85" s="31"/>
      <c r="M85" s="6"/>
      <c r="N85" s="6"/>
      <c r="O85" s="6"/>
      <c r="P85" s="6"/>
    </row>
    <row r="86" spans="1:16">
      <c r="A86" s="2">
        <f t="shared" si="8"/>
        <v>72</v>
      </c>
      <c r="B86" s="126" t="s">
        <v>421</v>
      </c>
      <c r="C86" s="533">
        <v>100769309.55</v>
      </c>
      <c r="D86" s="533">
        <v>-4763966.1300000008</v>
      </c>
      <c r="E86" s="533">
        <v>213356946.08000007</v>
      </c>
      <c r="F86" s="533">
        <v>528488249.94999999</v>
      </c>
      <c r="G86" s="533">
        <v>50445031.759999998</v>
      </c>
      <c r="H86" s="533">
        <v>25109036.420000002</v>
      </c>
      <c r="I86" s="115">
        <f t="shared" si="10"/>
        <v>913404607.63</v>
      </c>
      <c r="J86" s="113"/>
      <c r="K86" s="31"/>
      <c r="M86" s="6"/>
      <c r="N86" s="6"/>
      <c r="O86" s="6"/>
      <c r="P86" s="6"/>
    </row>
    <row r="87" spans="1:16">
      <c r="A87" s="2">
        <f t="shared" si="8"/>
        <v>73</v>
      </c>
      <c r="B87" s="126" t="s">
        <v>422</v>
      </c>
      <c r="C87" s="533">
        <v>112523384.51000001</v>
      </c>
      <c r="D87" s="533">
        <v>-5031891.59</v>
      </c>
      <c r="E87" s="533">
        <v>511605599.30000001</v>
      </c>
      <c r="F87" s="533">
        <v>425497298.96999997</v>
      </c>
      <c r="G87" s="533">
        <v>61719300.350000001</v>
      </c>
      <c r="H87" s="533">
        <v>28797902.239999998</v>
      </c>
      <c r="I87" s="115">
        <f t="shared" si="10"/>
        <v>1135111593.78</v>
      </c>
      <c r="J87" s="113"/>
      <c r="K87" s="31"/>
      <c r="M87" s="6"/>
      <c r="N87" s="6"/>
      <c r="O87" s="6"/>
      <c r="P87" s="6"/>
    </row>
    <row r="88" spans="1:16">
      <c r="A88" s="2">
        <f t="shared" si="8"/>
        <v>74</v>
      </c>
      <c r="B88" s="126" t="s">
        <v>423</v>
      </c>
      <c r="C88" s="60">
        <v>101049928.75</v>
      </c>
      <c r="D88" s="60">
        <v>-4590673.1100000003</v>
      </c>
      <c r="E88" s="60">
        <v>518882540.68999994</v>
      </c>
      <c r="F88" s="60">
        <v>494586311.09000009</v>
      </c>
      <c r="G88" s="60">
        <v>53703661.430000007</v>
      </c>
      <c r="H88" s="60">
        <v>25967646.800000001</v>
      </c>
      <c r="I88" s="53">
        <f>SUM(C88:H88)</f>
        <v>1189599415.6500001</v>
      </c>
      <c r="J88" s="113"/>
      <c r="K88" s="31"/>
      <c r="M88" s="6"/>
      <c r="N88" s="6"/>
      <c r="O88" s="6"/>
      <c r="P88" s="53"/>
    </row>
    <row r="89" spans="1:16">
      <c r="A89" s="2">
        <f t="shared" si="8"/>
        <v>75</v>
      </c>
      <c r="B89" s="236" t="s">
        <v>424</v>
      </c>
      <c r="C89" s="115">
        <f t="shared" ref="C89:H89" si="11">SUM(C77:C88)</f>
        <v>1318164364.78</v>
      </c>
      <c r="D89" s="115">
        <f t="shared" si="11"/>
        <v>-38007586.280000001</v>
      </c>
      <c r="E89" s="115">
        <f t="shared" si="11"/>
        <v>6465300465.9499998</v>
      </c>
      <c r="F89" s="115">
        <f t="shared" si="11"/>
        <v>6513728181.3299999</v>
      </c>
      <c r="G89" s="115">
        <f t="shared" si="11"/>
        <v>662401310.3900001</v>
      </c>
      <c r="H89" s="115">
        <f t="shared" si="11"/>
        <v>340668851.63999999</v>
      </c>
      <c r="I89" s="115">
        <f>SUM(I77:I88)</f>
        <v>15262255587.809999</v>
      </c>
      <c r="J89" s="113"/>
      <c r="P89" s="6"/>
    </row>
    <row r="90" spans="1:16">
      <c r="A90" s="2">
        <f t="shared" si="8"/>
        <v>76</v>
      </c>
      <c r="B90" s="113"/>
      <c r="C90" s="113"/>
      <c r="D90" s="113"/>
      <c r="E90" s="113"/>
      <c r="F90" s="113"/>
      <c r="G90" s="113"/>
      <c r="H90" s="233"/>
      <c r="I90" s="113"/>
      <c r="J90" s="113"/>
      <c r="K90" s="113"/>
      <c r="L90" s="113"/>
    </row>
    <row r="91" spans="1:16">
      <c r="A91" s="2">
        <f t="shared" si="8"/>
        <v>77</v>
      </c>
      <c r="B91" s="113"/>
      <c r="C91" s="113"/>
      <c r="D91" s="113"/>
      <c r="E91" s="113"/>
      <c r="F91" s="113"/>
      <c r="G91" s="113"/>
      <c r="H91" s="233" t="s">
        <v>425</v>
      </c>
      <c r="I91" s="117">
        <v>15262255588</v>
      </c>
      <c r="J91" s="113"/>
      <c r="K91" s="113"/>
      <c r="L91" s="113"/>
    </row>
    <row r="92" spans="1:16">
      <c r="A92" s="113"/>
      <c r="B92" s="113"/>
      <c r="C92" s="113"/>
      <c r="D92" s="113"/>
      <c r="E92" s="113"/>
      <c r="F92" s="113"/>
      <c r="G92" s="113"/>
      <c r="H92" s="113"/>
      <c r="I92" s="113"/>
      <c r="J92" s="113"/>
      <c r="K92" s="113"/>
      <c r="L92" s="113"/>
    </row>
    <row r="93" spans="1:16">
      <c r="A93" s="2"/>
      <c r="B93" s="1" t="s">
        <v>426</v>
      </c>
      <c r="C93" s="113"/>
      <c r="D93" s="113"/>
      <c r="E93" s="113"/>
      <c r="F93" s="113"/>
      <c r="G93" s="113"/>
      <c r="H93" s="113"/>
      <c r="I93" s="115"/>
      <c r="J93" s="113"/>
      <c r="K93" s="113"/>
      <c r="L93" s="113"/>
    </row>
    <row r="94" spans="1:16">
      <c r="A94" s="2"/>
      <c r="B94" s="234" t="str">
        <f>"1) Enter applicable years on Column 1, Lines "&amp;A24&amp;"-"&amp;A36&amp;" (Prior Year and December of the year previous to the Prior Year)."</f>
        <v>1) Enter applicable years on Column 1, Lines 11-23 (Prior Year and December of the year previous to the Prior Year).</v>
      </c>
      <c r="C94" s="113"/>
      <c r="D94" s="113"/>
      <c r="E94" s="113"/>
      <c r="F94" s="113"/>
      <c r="G94" s="113"/>
      <c r="H94" s="113"/>
      <c r="I94" s="113"/>
      <c r="J94" s="113"/>
      <c r="K94" s="113"/>
      <c r="L94" s="113"/>
    </row>
    <row r="95" spans="1:16">
      <c r="A95" s="2"/>
      <c r="B95" s="234" t="str">
        <f>"2) Enter Previous Annual Update True Up Adjustment (if any) on Line "&amp;A41&amp;"."</f>
        <v>2) Enter Previous Annual Update True Up Adjustment (if any) on Line 27.</v>
      </c>
      <c r="C95" s="113"/>
      <c r="D95" s="113"/>
      <c r="E95" s="113"/>
      <c r="F95" s="113"/>
      <c r="G95" s="113"/>
      <c r="H95" s="113"/>
      <c r="I95" s="113"/>
      <c r="J95" s="113"/>
      <c r="K95" s="113"/>
      <c r="L95" s="113"/>
    </row>
    <row r="96" spans="1:16">
      <c r="A96" s="2"/>
      <c r="B96" s="553" t="s">
        <v>427</v>
      </c>
      <c r="C96" s="113"/>
      <c r="D96" s="113"/>
      <c r="E96" s="113"/>
      <c r="F96" s="113"/>
      <c r="G96" s="113"/>
      <c r="H96" s="113"/>
      <c r="I96" s="113"/>
      <c r="J96" s="113"/>
      <c r="K96" s="113"/>
      <c r="L96" s="113"/>
    </row>
    <row r="97" spans="1:12">
      <c r="A97" s="2"/>
      <c r="B97" s="234" t="s">
        <v>428</v>
      </c>
      <c r="C97" s="113"/>
      <c r="D97" s="113"/>
      <c r="E97" s="113"/>
      <c r="F97" s="113"/>
      <c r="G97" s="113"/>
      <c r="H97" s="113"/>
      <c r="I97" s="113"/>
      <c r="J97" s="113"/>
      <c r="K97" s="113"/>
      <c r="L97" s="113"/>
    </row>
    <row r="98" spans="1:12">
      <c r="A98" s="2"/>
      <c r="B98" s="249" t="str">
        <f>"18 C.F.R. §35.19a on lines "&amp;A25&amp;" to "&amp;A36&amp;", Column 6."</f>
        <v>18 C.F.R. §35.19a on lines 12 to 23, Column 6.</v>
      </c>
      <c r="C98" s="113"/>
      <c r="D98" s="113"/>
      <c r="E98" s="113"/>
      <c r="F98" s="113"/>
      <c r="G98" s="113"/>
      <c r="H98" s="113"/>
      <c r="I98" s="113"/>
      <c r="J98" s="113"/>
      <c r="K98" s="113"/>
      <c r="L98" s="113"/>
    </row>
    <row r="99" spans="1:12">
      <c r="A99" s="2"/>
      <c r="B99" s="234" t="s">
        <v>429</v>
      </c>
      <c r="C99" s="113"/>
      <c r="D99" s="113"/>
      <c r="E99" s="113"/>
      <c r="F99" s="113"/>
      <c r="G99" s="113"/>
      <c r="H99" s="113"/>
      <c r="I99" s="113"/>
      <c r="J99" s="113"/>
      <c r="K99" s="113"/>
      <c r="L99" s="113"/>
    </row>
    <row r="100" spans="1:12">
      <c r="A100" s="2"/>
      <c r="B100" s="229" t="s">
        <v>430</v>
      </c>
      <c r="C100" s="113"/>
      <c r="D100" s="113"/>
      <c r="E100" s="113"/>
      <c r="F100" s="113"/>
      <c r="G100" s="113"/>
      <c r="H100" s="113"/>
      <c r="I100" s="113"/>
      <c r="J100" s="113"/>
      <c r="K100" s="113"/>
      <c r="L100" s="113"/>
    </row>
    <row r="101" spans="1:12">
      <c r="A101" s="2"/>
      <c r="B101" s="483" t="s">
        <v>431</v>
      </c>
      <c r="C101" s="113"/>
      <c r="D101" s="113"/>
      <c r="E101" s="113"/>
      <c r="F101" s="113"/>
      <c r="G101" s="113"/>
      <c r="H101" s="113"/>
      <c r="I101" s="113"/>
      <c r="J101" s="113"/>
      <c r="K101" s="113"/>
    </row>
    <row r="102" spans="1:12">
      <c r="A102" s="2"/>
      <c r="B102" s="554" t="s">
        <v>432</v>
      </c>
      <c r="C102" s="113"/>
      <c r="D102" s="113"/>
      <c r="E102" s="113"/>
      <c r="F102" s="113"/>
      <c r="G102" s="113"/>
      <c r="H102" s="113"/>
      <c r="I102" s="113"/>
      <c r="J102" s="113"/>
      <c r="K102" s="113"/>
      <c r="L102" s="113"/>
    </row>
    <row r="103" spans="1:12">
      <c r="A103" s="2"/>
      <c r="B103" s="554" t="str">
        <f>"Entering on Line "&amp;A25&amp;" (or other appropriate) ensures these One Time Adjustments are recovered from or returned to customers."</f>
        <v>Entering on Line 12 (or other appropriate) ensures these One Time Adjustments are recovered from or returned to customers.</v>
      </c>
      <c r="D103" s="113"/>
      <c r="E103" s="113"/>
      <c r="F103" s="113"/>
      <c r="G103" s="113"/>
      <c r="H103" s="113"/>
      <c r="I103" s="113"/>
      <c r="J103" s="113"/>
      <c r="K103" s="113"/>
      <c r="L103" s="113"/>
    </row>
    <row r="104" spans="1:12">
      <c r="A104" s="2"/>
      <c r="B104" s="483" t="s">
        <v>433</v>
      </c>
      <c r="C104" s="113"/>
      <c r="D104" s="113"/>
      <c r="E104" s="113"/>
      <c r="F104" s="113"/>
      <c r="G104" s="113"/>
      <c r="H104" s="113"/>
      <c r="I104" s="113"/>
      <c r="J104" s="113"/>
      <c r="K104" s="113"/>
      <c r="L104" s="113"/>
    </row>
    <row r="105" spans="1:12">
      <c r="A105" s="2"/>
      <c r="B105" s="483" t="s">
        <v>434</v>
      </c>
      <c r="C105" s="113"/>
      <c r="D105" s="113"/>
      <c r="E105" s="113"/>
      <c r="F105" s="113"/>
      <c r="G105" s="113"/>
      <c r="H105" s="113"/>
      <c r="I105" s="113"/>
      <c r="J105" s="113"/>
      <c r="K105" s="113"/>
      <c r="L105" s="113"/>
    </row>
    <row r="106" spans="1:12">
      <c r="A106" s="2"/>
      <c r="B106" s="483"/>
      <c r="C106" s="235" t="s">
        <v>435</v>
      </c>
      <c r="D106" s="618"/>
      <c r="E106" s="242" t="s">
        <v>436</v>
      </c>
      <c r="F106" s="200"/>
      <c r="G106" s="200"/>
      <c r="H106" s="113"/>
      <c r="I106" s="113"/>
      <c r="J106" s="113"/>
      <c r="K106" s="113"/>
      <c r="L106" s="113"/>
    </row>
    <row r="107" spans="1:12">
      <c r="A107" s="2"/>
      <c r="B107" s="483"/>
      <c r="C107" s="235" t="s">
        <v>437</v>
      </c>
      <c r="D107" s="618"/>
      <c r="E107" s="242" t="s">
        <v>438</v>
      </c>
      <c r="F107" s="200"/>
      <c r="G107" s="200"/>
      <c r="H107" s="113"/>
      <c r="I107" s="113"/>
      <c r="J107" s="113"/>
      <c r="K107" s="113"/>
      <c r="L107" s="113"/>
    </row>
    <row r="108" spans="1:12">
      <c r="A108" s="2"/>
      <c r="B108" s="234" t="str">
        <f>"5) Fill in matrix of all retail revenues from Prior Year in table on lines "&amp;A77&amp;" to "&amp;A88&amp;"."</f>
        <v>5) Fill in matrix of all retail revenues from Prior Year in table on lines 63 to 74.</v>
      </c>
      <c r="C108" s="113"/>
      <c r="D108" s="113"/>
      <c r="E108" s="113"/>
      <c r="F108" s="113"/>
      <c r="G108" s="113"/>
      <c r="H108" s="113"/>
      <c r="I108" s="113"/>
      <c r="J108" s="113"/>
      <c r="K108" s="113"/>
      <c r="L108" s="113"/>
    </row>
    <row r="109" spans="1:12">
      <c r="A109" s="2"/>
      <c r="B109" s="234" t="str">
        <f>"6) Enter Total Sales to Ultimate Consumers on line "&amp;A91&amp;" and verify that it equals the total on line "&amp;A89&amp;"."</f>
        <v>6) Enter Total Sales to Ultimate Consumers on line 77 and verify that it equals the total on line 75.</v>
      </c>
      <c r="C109" s="113"/>
      <c r="D109" s="113"/>
      <c r="E109" s="113"/>
      <c r="F109" s="113"/>
      <c r="G109" s="113"/>
      <c r="H109" s="113"/>
      <c r="I109" s="113"/>
      <c r="J109" s="113"/>
      <c r="K109" s="113"/>
      <c r="L109" s="113"/>
    </row>
    <row r="110" spans="1:12">
      <c r="A110" s="2"/>
      <c r="B110" s="234" t="s">
        <v>439</v>
      </c>
      <c r="C110" s="113"/>
      <c r="D110" s="113"/>
      <c r="E110" s="113"/>
      <c r="F110" s="113"/>
      <c r="G110" s="113"/>
      <c r="H110" s="113"/>
      <c r="I110" s="113"/>
      <c r="J110" s="113"/>
      <c r="K110" s="113"/>
      <c r="L110" s="113"/>
    </row>
    <row r="111" spans="1:12">
      <c r="A111" s="2"/>
      <c r="B111" s="249" t="s">
        <v>440</v>
      </c>
      <c r="C111" s="113"/>
      <c r="D111" s="113"/>
      <c r="E111" s="113"/>
      <c r="F111" s="113"/>
      <c r="G111" s="113"/>
      <c r="H111" s="113"/>
      <c r="I111" s="113"/>
      <c r="J111" s="113"/>
      <c r="K111" s="113"/>
      <c r="L111" s="113"/>
    </row>
    <row r="112" spans="1:12">
      <c r="A112" s="2"/>
      <c r="B112" s="30" t="s">
        <v>226</v>
      </c>
      <c r="C112" s="113"/>
      <c r="D112" s="113"/>
      <c r="E112" s="113"/>
      <c r="F112" s="113"/>
      <c r="G112" s="113"/>
      <c r="H112" s="113"/>
      <c r="I112" s="113"/>
      <c r="J112" s="113"/>
      <c r="K112" s="113"/>
      <c r="L112" s="113"/>
    </row>
    <row r="113" spans="1:12">
      <c r="A113" s="2"/>
      <c r="B113" s="234" t="s">
        <v>441</v>
      </c>
      <c r="C113" s="113"/>
      <c r="D113" s="113"/>
      <c r="E113" s="113"/>
      <c r="F113" s="113"/>
      <c r="G113" s="113"/>
      <c r="H113" s="113"/>
      <c r="I113" s="113"/>
      <c r="J113" s="113"/>
      <c r="K113" s="113"/>
      <c r="L113" s="113"/>
    </row>
    <row r="114" spans="1:12">
      <c r="A114" s="2"/>
      <c r="B114" s="306" t="s">
        <v>442</v>
      </c>
      <c r="C114" s="113"/>
      <c r="D114" s="113"/>
      <c r="E114" s="113"/>
      <c r="F114" s="113"/>
      <c r="G114" s="113"/>
      <c r="H114" s="113"/>
      <c r="I114" s="113"/>
      <c r="J114" s="113"/>
      <c r="K114" s="113"/>
      <c r="L114" s="113"/>
    </row>
    <row r="115" spans="1:12">
      <c r="A115" s="2"/>
      <c r="B115" s="553"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3"/>
      <c r="D115" s="113"/>
      <c r="E115" s="113"/>
      <c r="F115" s="113"/>
      <c r="G115" s="113"/>
      <c r="H115" s="113"/>
      <c r="I115" s="113"/>
      <c r="J115" s="113"/>
      <c r="K115" s="113"/>
      <c r="L115" s="113"/>
    </row>
    <row r="116" spans="1:12">
      <c r="A116" s="2"/>
      <c r="B116" s="553" t="str">
        <f>"Only enter in the Prior Year, Lines "&amp;A25&amp;" to "&amp;A36&amp;", or portion of year formula was in effect in case of Partial Year True Up."</f>
        <v>Only enter in the Prior Year, Lines 12 to 23, or portion of year formula was in effect in case of Partial Year True Up.</v>
      </c>
      <c r="C116" s="113"/>
      <c r="D116" s="113"/>
      <c r="E116" s="113"/>
      <c r="F116" s="113"/>
      <c r="G116" s="113"/>
      <c r="H116" s="113"/>
      <c r="I116" s="113"/>
      <c r="J116" s="113"/>
      <c r="K116" s="113"/>
      <c r="L116" s="113"/>
    </row>
    <row r="117" spans="1:12">
      <c r="A117" s="2"/>
      <c r="B117" s="553" t="s">
        <v>443</v>
      </c>
      <c r="C117" s="113"/>
      <c r="D117" s="113"/>
      <c r="E117" s="113"/>
      <c r="F117" s="113"/>
      <c r="G117" s="113"/>
      <c r="H117" s="113"/>
      <c r="I117" s="113"/>
      <c r="J117" s="113"/>
      <c r="K117" s="113"/>
      <c r="L117" s="113"/>
    </row>
    <row r="118" spans="1:12">
      <c r="A118" s="2"/>
      <c r="B118" s="306" t="s">
        <v>444</v>
      </c>
      <c r="C118" s="113"/>
      <c r="D118" s="113"/>
      <c r="E118" s="113"/>
      <c r="F118" s="113"/>
      <c r="G118" s="113"/>
      <c r="H118" s="113"/>
      <c r="I118" s="113"/>
      <c r="J118" s="113"/>
      <c r="K118" s="113"/>
      <c r="L118" s="113"/>
    </row>
    <row r="119" spans="1:12">
      <c r="A119" s="2"/>
      <c r="B119" s="553" t="str">
        <f>"as shown on Lines "&amp;A77&amp;" to "&amp;A88&amp;", Column 1."</f>
        <v>as shown on Lines 63 to 74, Column 1.</v>
      </c>
      <c r="C119" s="113"/>
      <c r="D119" s="113"/>
      <c r="E119" s="113"/>
      <c r="F119" s="113"/>
      <c r="G119" s="113"/>
      <c r="H119" s="113"/>
      <c r="I119" s="113"/>
      <c r="J119" s="113"/>
      <c r="K119" s="113"/>
      <c r="L119" s="113"/>
    </row>
    <row r="120" spans="1:12">
      <c r="A120" s="2"/>
      <c r="B120" s="306" t="s">
        <v>445</v>
      </c>
      <c r="C120" s="113"/>
      <c r="D120" s="113"/>
      <c r="E120" s="113"/>
      <c r="F120" s="113"/>
      <c r="G120" s="113"/>
      <c r="H120" s="113"/>
      <c r="I120" s="113"/>
      <c r="J120" s="113"/>
      <c r="K120" s="113"/>
      <c r="L120" s="113"/>
    </row>
    <row r="121" spans="1:12">
      <c r="A121" s="2"/>
      <c r="B121" s="306" t="s">
        <v>446</v>
      </c>
      <c r="C121" s="113"/>
      <c r="D121" s="113"/>
      <c r="E121" s="113"/>
      <c r="F121" s="113"/>
      <c r="G121" s="113"/>
      <c r="H121" s="113"/>
      <c r="I121" s="113"/>
      <c r="J121" s="113"/>
      <c r="K121" s="113"/>
      <c r="L121" s="113"/>
    </row>
    <row r="122" spans="1:12">
      <c r="A122" s="2"/>
      <c r="B122" s="234" t="s">
        <v>447</v>
      </c>
      <c r="C122" s="113"/>
      <c r="D122" s="113"/>
      <c r="E122" s="113"/>
      <c r="F122" s="113"/>
      <c r="G122" s="113"/>
      <c r="H122" s="113"/>
      <c r="I122" s="113"/>
      <c r="J122" s="113"/>
      <c r="K122" s="113"/>
      <c r="L122" s="113"/>
    </row>
    <row r="123" spans="1:12">
      <c r="A123" s="2"/>
      <c r="B123" s="249" t="s">
        <v>448</v>
      </c>
      <c r="C123" s="113"/>
      <c r="D123" s="113"/>
      <c r="E123" s="113"/>
      <c r="F123" s="113"/>
      <c r="G123" s="113"/>
      <c r="H123" s="113"/>
      <c r="I123" s="113"/>
      <c r="J123" s="113"/>
      <c r="K123" s="113"/>
      <c r="L123" s="113"/>
    </row>
    <row r="124" spans="1:12">
      <c r="A124" s="2"/>
      <c r="B124" s="234" t="s">
        <v>449</v>
      </c>
      <c r="C124" s="113"/>
      <c r="D124" s="113"/>
      <c r="E124" s="113"/>
      <c r="F124" s="113"/>
      <c r="G124" s="113"/>
      <c r="H124" s="113"/>
      <c r="I124" s="113"/>
      <c r="J124" s="113"/>
      <c r="K124" s="113"/>
      <c r="L124" s="113"/>
    </row>
    <row r="125" spans="1:12">
      <c r="A125" s="2"/>
      <c r="B125" s="482" t="s">
        <v>450</v>
      </c>
      <c r="C125" s="113"/>
      <c r="D125" s="113"/>
      <c r="E125" s="113"/>
      <c r="F125" s="113"/>
      <c r="G125" s="113"/>
      <c r="H125" s="113"/>
      <c r="I125" s="113"/>
      <c r="J125" s="113"/>
      <c r="K125" s="113"/>
      <c r="L125" s="113"/>
    </row>
    <row r="126" spans="1:12">
      <c r="A126" s="2"/>
      <c r="B126" s="234" t="s">
        <v>451</v>
      </c>
      <c r="C126" s="113"/>
      <c r="D126" s="113"/>
      <c r="E126" s="113"/>
      <c r="F126" s="113"/>
      <c r="G126" s="113"/>
      <c r="H126" s="113"/>
      <c r="I126" s="113"/>
      <c r="J126" s="113"/>
      <c r="K126" s="113"/>
      <c r="L126" s="113"/>
    </row>
    <row r="127" spans="1:12">
      <c r="A127" s="2"/>
      <c r="B127" s="234" t="s">
        <v>452</v>
      </c>
      <c r="C127" s="113"/>
      <c r="D127" s="113"/>
      <c r="E127" s="113"/>
      <c r="F127" s="113"/>
      <c r="G127" s="113"/>
      <c r="H127" s="113"/>
      <c r="I127" s="113"/>
      <c r="J127" s="113"/>
      <c r="K127" s="113"/>
      <c r="L127" s="113"/>
    </row>
    <row r="128" spans="1:12">
      <c r="A128" s="2"/>
      <c r="B128" s="249" t="s">
        <v>453</v>
      </c>
      <c r="C128" s="113"/>
      <c r="D128" s="113"/>
      <c r="E128" s="113"/>
      <c r="F128" s="113"/>
      <c r="G128" s="113"/>
      <c r="H128" s="113"/>
      <c r="I128" s="113"/>
      <c r="J128" s="113"/>
      <c r="K128" s="113"/>
      <c r="L128" s="113"/>
    </row>
    <row r="129" spans="1:12">
      <c r="A129" s="2"/>
      <c r="B129" s="249" t="s">
        <v>454</v>
      </c>
      <c r="C129" s="113"/>
      <c r="D129" s="113"/>
      <c r="E129" s="113"/>
      <c r="F129" s="113"/>
      <c r="G129" s="113"/>
      <c r="H129" s="113"/>
      <c r="I129" s="113"/>
      <c r="J129" s="113"/>
      <c r="K129" s="113"/>
      <c r="L129" s="113"/>
    </row>
    <row r="130" spans="1:12">
      <c r="A130" s="2"/>
      <c r="B130" s="249" t="s">
        <v>455</v>
      </c>
      <c r="C130" s="113"/>
      <c r="D130" s="113"/>
      <c r="E130" s="113"/>
      <c r="F130" s="113"/>
      <c r="G130" s="113"/>
      <c r="H130" s="113"/>
      <c r="I130" s="113"/>
      <c r="J130" s="113"/>
      <c r="K130" s="113"/>
      <c r="L130" s="113"/>
    </row>
    <row r="131" spans="1:12">
      <c r="A131" s="2"/>
      <c r="B131" s="234" t="s">
        <v>456</v>
      </c>
      <c r="C131" s="113"/>
      <c r="D131" s="113"/>
      <c r="E131" s="113"/>
      <c r="F131" s="113"/>
      <c r="G131" s="113"/>
      <c r="H131" s="113"/>
      <c r="I131" s="113"/>
      <c r="J131" s="113"/>
      <c r="K131" s="113"/>
      <c r="L131" s="113"/>
    </row>
    <row r="132" spans="1:12">
      <c r="A132" s="2"/>
      <c r="B132" s="249" t="s">
        <v>457</v>
      </c>
      <c r="C132" s="113"/>
      <c r="D132" s="113"/>
      <c r="E132" s="113"/>
      <c r="F132" s="113"/>
      <c r="G132" s="113"/>
      <c r="H132" s="113"/>
      <c r="I132" s="113"/>
      <c r="J132" s="113"/>
      <c r="K132" s="113"/>
      <c r="L132" s="113"/>
    </row>
    <row r="133" spans="1:12">
      <c r="A133" s="2"/>
      <c r="B133" s="249" t="s">
        <v>458</v>
      </c>
      <c r="C133" s="113"/>
      <c r="D133" s="113"/>
      <c r="E133" s="113"/>
      <c r="F133" s="113"/>
      <c r="G133" s="113"/>
      <c r="H133" s="113"/>
      <c r="I133" s="113"/>
      <c r="J133" s="113"/>
      <c r="K133" s="113"/>
      <c r="L133" s="113"/>
    </row>
    <row r="134" spans="1:12">
      <c r="A134" s="113"/>
      <c r="B134" s="249" t="s">
        <v>459</v>
      </c>
      <c r="C134" s="113"/>
      <c r="D134" s="113"/>
      <c r="E134" s="113"/>
      <c r="F134" s="113"/>
      <c r="G134" s="113"/>
      <c r="H134" s="113"/>
      <c r="I134" s="113"/>
      <c r="J134" s="113"/>
      <c r="K134" s="113"/>
      <c r="L134" s="113"/>
    </row>
    <row r="135" spans="1:12">
      <c r="A135" s="113"/>
      <c r="B135" s="249" t="s">
        <v>460</v>
      </c>
      <c r="C135" s="113"/>
      <c r="D135" s="113"/>
      <c r="E135" s="113"/>
      <c r="F135" s="113"/>
      <c r="G135" s="113"/>
      <c r="H135" s="113"/>
      <c r="I135" s="113"/>
      <c r="J135" s="113"/>
      <c r="K135" s="113"/>
      <c r="L135" s="113"/>
    </row>
    <row r="136" spans="1:12">
      <c r="A136" s="113"/>
      <c r="B136" s="234"/>
      <c r="C136" s="113"/>
      <c r="D136" s="113"/>
      <c r="E136" s="113"/>
      <c r="F136" s="113"/>
      <c r="G136" s="113"/>
      <c r="H136" s="113"/>
      <c r="I136" s="113"/>
      <c r="J136" s="113"/>
      <c r="K136" s="113"/>
      <c r="L136" s="113"/>
    </row>
    <row r="137" spans="1:12">
      <c r="A137" s="113"/>
      <c r="B137" s="249"/>
      <c r="C137" s="113"/>
      <c r="D137" s="113"/>
      <c r="E137" s="113"/>
      <c r="F137" s="113"/>
      <c r="G137" s="113"/>
      <c r="H137" s="113"/>
      <c r="I137" s="113"/>
      <c r="J137" s="113"/>
      <c r="K137" s="113"/>
      <c r="L137" s="113"/>
    </row>
    <row r="138" spans="1:12">
      <c r="A138" s="113"/>
      <c r="B138" s="249"/>
      <c r="C138" s="113"/>
      <c r="D138" s="113"/>
      <c r="E138" s="113"/>
      <c r="F138" s="113"/>
      <c r="G138" s="113"/>
      <c r="H138" s="113"/>
      <c r="I138" s="113"/>
      <c r="J138" s="113"/>
      <c r="K138" s="113"/>
      <c r="L138" s="113"/>
    </row>
    <row r="139" spans="1:12">
      <c r="A139" s="113"/>
      <c r="B139" s="249"/>
      <c r="C139" s="113"/>
      <c r="D139" s="113"/>
      <c r="E139" s="113"/>
      <c r="F139" s="113"/>
      <c r="G139" s="113"/>
      <c r="H139" s="113"/>
      <c r="I139" s="113"/>
      <c r="J139" s="113"/>
      <c r="K139" s="113"/>
      <c r="L139" s="113"/>
    </row>
    <row r="140" spans="1:12">
      <c r="A140" s="113"/>
      <c r="B140" s="234"/>
      <c r="C140" s="113"/>
      <c r="D140" s="113"/>
      <c r="E140" s="113"/>
      <c r="F140" s="113"/>
      <c r="G140" s="113"/>
      <c r="H140" s="113"/>
      <c r="I140" s="113"/>
      <c r="J140" s="113"/>
      <c r="K140" s="113"/>
      <c r="L140" s="113"/>
    </row>
    <row r="141" spans="1:12">
      <c r="A141" s="113"/>
      <c r="B141" s="249"/>
      <c r="C141" s="113"/>
      <c r="D141" s="113"/>
      <c r="E141" s="113"/>
      <c r="F141" s="113"/>
      <c r="G141" s="113"/>
      <c r="H141" s="113"/>
      <c r="I141" s="113"/>
      <c r="J141" s="113"/>
      <c r="K141" s="113"/>
      <c r="L141" s="113"/>
    </row>
    <row r="142" spans="1:12">
      <c r="A142" s="113"/>
      <c r="B142" s="249"/>
      <c r="C142" s="113"/>
      <c r="D142" s="113"/>
      <c r="E142" s="113"/>
      <c r="F142" s="113"/>
      <c r="G142" s="113"/>
      <c r="H142" s="113"/>
      <c r="I142" s="113"/>
      <c r="J142" s="113"/>
      <c r="K142" s="113"/>
      <c r="L142" s="113"/>
    </row>
    <row r="143" spans="1:12">
      <c r="A143" s="113"/>
      <c r="B143" s="249"/>
      <c r="C143" s="113"/>
      <c r="D143" s="113"/>
      <c r="E143" s="113"/>
      <c r="F143" s="113"/>
      <c r="G143" s="113"/>
      <c r="H143" s="113"/>
      <c r="I143" s="113"/>
      <c r="J143" s="113"/>
      <c r="K143" s="113"/>
      <c r="L143" s="113"/>
    </row>
    <row r="144" spans="1:12">
      <c r="A144" s="113"/>
      <c r="B144" s="249"/>
      <c r="C144" s="113"/>
      <c r="D144" s="113"/>
      <c r="E144" s="113"/>
      <c r="F144" s="113"/>
      <c r="G144" s="113"/>
      <c r="H144" s="113"/>
      <c r="I144" s="113"/>
      <c r="J144" s="113"/>
      <c r="K144" s="113"/>
      <c r="L144" s="113"/>
    </row>
    <row r="145" spans="1:12">
      <c r="A145" s="113"/>
      <c r="C145" s="113"/>
      <c r="D145" s="113"/>
      <c r="E145" s="113"/>
      <c r="F145" s="113"/>
      <c r="G145" s="113"/>
      <c r="H145" s="113"/>
      <c r="I145" s="113"/>
      <c r="J145" s="113"/>
      <c r="K145" s="113"/>
      <c r="L145" s="113"/>
    </row>
    <row r="146" spans="1:12">
      <c r="A146" s="113"/>
      <c r="B146" s="113"/>
      <c r="C146" s="113"/>
      <c r="D146" s="113"/>
      <c r="E146" s="113"/>
      <c r="F146" s="113"/>
      <c r="G146" s="113"/>
      <c r="H146" s="113"/>
      <c r="I146" s="113"/>
      <c r="J146" s="113"/>
      <c r="K146" s="113"/>
      <c r="L146" s="113"/>
    </row>
    <row r="147" spans="1:12">
      <c r="A147" s="113"/>
      <c r="B147" s="113"/>
      <c r="C147" s="113"/>
      <c r="D147" s="113"/>
      <c r="E147" s="113"/>
      <c r="F147" s="113"/>
      <c r="G147" s="113"/>
      <c r="H147" s="113"/>
      <c r="I147" s="113"/>
      <c r="J147" s="113"/>
      <c r="K147" s="113"/>
      <c r="L147" s="113"/>
    </row>
    <row r="148" spans="1:12">
      <c r="A148" s="113"/>
      <c r="B148" s="113"/>
      <c r="C148" s="113"/>
      <c r="D148" s="113"/>
      <c r="E148" s="113"/>
      <c r="F148" s="113"/>
      <c r="G148" s="113"/>
      <c r="H148" s="113"/>
      <c r="I148" s="113"/>
      <c r="J148" s="113"/>
      <c r="K148" s="113"/>
      <c r="L148" s="113"/>
    </row>
    <row r="149" spans="1:12">
      <c r="A149" s="113"/>
      <c r="B149" s="113"/>
      <c r="C149" s="113"/>
      <c r="D149" s="113"/>
      <c r="E149" s="113"/>
      <c r="F149" s="113"/>
      <c r="G149" s="113"/>
      <c r="H149" s="113"/>
      <c r="I149" s="113"/>
      <c r="J149" s="113"/>
      <c r="K149" s="113"/>
      <c r="L149" s="113"/>
    </row>
    <row r="150" spans="1:12">
      <c r="A150" s="113"/>
      <c r="B150" s="113"/>
      <c r="C150" s="113"/>
      <c r="D150" s="113"/>
      <c r="E150" s="113"/>
      <c r="F150" s="113"/>
      <c r="G150" s="113"/>
      <c r="H150" s="113"/>
      <c r="I150" s="113"/>
      <c r="J150" s="113"/>
      <c r="K150" s="113"/>
      <c r="L150" s="113"/>
    </row>
    <row r="151" spans="1:12">
      <c r="A151" s="113"/>
      <c r="B151" s="113"/>
      <c r="C151" s="113"/>
      <c r="D151" s="113"/>
      <c r="E151" s="113"/>
      <c r="F151" s="113"/>
      <c r="G151" s="113"/>
      <c r="H151" s="113"/>
      <c r="I151" s="113"/>
      <c r="J151" s="113"/>
      <c r="K151" s="113"/>
      <c r="L151" s="113"/>
    </row>
    <row r="152" spans="1:12">
      <c r="A152" s="113"/>
      <c r="B152" s="113"/>
      <c r="C152" s="113"/>
      <c r="D152" s="113"/>
      <c r="E152" s="113"/>
      <c r="F152" s="113"/>
      <c r="G152" s="113"/>
      <c r="H152" s="113"/>
      <c r="I152" s="113"/>
      <c r="J152" s="113"/>
      <c r="K152" s="113"/>
      <c r="L152" s="113"/>
    </row>
    <row r="153" spans="1:12">
      <c r="A153" s="113"/>
      <c r="B153" s="113"/>
      <c r="C153" s="113"/>
      <c r="D153" s="113"/>
      <c r="E153" s="113"/>
      <c r="F153" s="113"/>
      <c r="G153" s="113"/>
      <c r="H153" s="113"/>
      <c r="I153" s="113"/>
      <c r="J153" s="113"/>
      <c r="K153" s="113"/>
      <c r="L153" s="113"/>
    </row>
    <row r="154" spans="1:12">
      <c r="A154" s="113"/>
      <c r="B154" s="113"/>
      <c r="C154" s="113"/>
      <c r="D154" s="113"/>
      <c r="E154" s="113"/>
      <c r="F154" s="113"/>
      <c r="G154" s="113"/>
      <c r="H154" s="113"/>
      <c r="I154" s="113"/>
      <c r="J154" s="113"/>
      <c r="K154" s="113"/>
      <c r="L154" s="113"/>
    </row>
    <row r="155" spans="1:12">
      <c r="A155" s="113"/>
      <c r="B155" s="113"/>
      <c r="C155" s="113"/>
      <c r="D155" s="113"/>
      <c r="E155" s="113"/>
      <c r="F155" s="113"/>
      <c r="G155" s="113"/>
      <c r="H155" s="113"/>
      <c r="I155" s="113"/>
      <c r="J155" s="113"/>
      <c r="K155" s="113"/>
      <c r="L155" s="113"/>
    </row>
    <row r="156" spans="1:12">
      <c r="A156" s="113"/>
      <c r="B156" s="113"/>
      <c r="C156" s="113"/>
      <c r="D156" s="113"/>
      <c r="E156" s="113"/>
      <c r="F156" s="113"/>
      <c r="G156" s="113"/>
      <c r="H156" s="113"/>
      <c r="I156" s="113"/>
      <c r="J156" s="113"/>
      <c r="K156" s="113"/>
      <c r="L156" s="113"/>
    </row>
    <row r="157" spans="1:12">
      <c r="A157" s="113"/>
      <c r="B157" s="113"/>
      <c r="C157" s="113"/>
      <c r="D157" s="113"/>
      <c r="E157" s="113"/>
      <c r="F157" s="113"/>
      <c r="G157" s="113"/>
      <c r="H157" s="113"/>
      <c r="I157" s="113"/>
      <c r="J157" s="113"/>
      <c r="K157" s="113"/>
      <c r="L157" s="113"/>
    </row>
    <row r="158" spans="1:12">
      <c r="A158" s="113"/>
      <c r="B158" s="113"/>
      <c r="C158" s="113"/>
      <c r="D158" s="113"/>
      <c r="E158" s="113"/>
      <c r="F158" s="113"/>
      <c r="G158" s="113"/>
      <c r="H158" s="113"/>
      <c r="I158" s="113"/>
      <c r="J158" s="113"/>
      <c r="K158" s="113"/>
      <c r="L158" s="113"/>
    </row>
    <row r="159" spans="1:12">
      <c r="A159" s="113"/>
      <c r="B159" s="113"/>
      <c r="C159" s="113"/>
      <c r="D159" s="113"/>
      <c r="E159" s="113"/>
      <c r="F159" s="113"/>
      <c r="G159" s="113"/>
      <c r="H159" s="113"/>
      <c r="I159" s="113"/>
      <c r="J159" s="113"/>
      <c r="K159" s="113"/>
      <c r="L159" s="113"/>
    </row>
    <row r="160" spans="1:12">
      <c r="A160" s="113"/>
      <c r="B160" s="113"/>
      <c r="C160" s="113"/>
      <c r="D160" s="113"/>
      <c r="E160" s="113"/>
      <c r="F160" s="113"/>
      <c r="G160" s="113"/>
      <c r="H160" s="113"/>
      <c r="I160" s="113"/>
      <c r="J160" s="113"/>
      <c r="K160" s="113"/>
      <c r="L160" s="113"/>
    </row>
    <row r="161" spans="1:12">
      <c r="A161" s="113"/>
      <c r="B161" s="113"/>
      <c r="C161" s="113"/>
      <c r="D161" s="113"/>
      <c r="E161" s="113"/>
      <c r="F161" s="113"/>
      <c r="G161" s="113"/>
      <c r="H161" s="113"/>
      <c r="I161" s="113"/>
      <c r="J161" s="113"/>
      <c r="K161" s="113"/>
      <c r="L161" s="113"/>
    </row>
    <row r="162" spans="1:12">
      <c r="A162" s="113"/>
      <c r="B162" s="113"/>
      <c r="C162" s="113"/>
      <c r="D162" s="113"/>
      <c r="E162" s="113"/>
      <c r="F162" s="113"/>
      <c r="G162" s="113"/>
      <c r="H162" s="113"/>
      <c r="I162" s="113"/>
      <c r="J162" s="113"/>
      <c r="K162" s="113"/>
      <c r="L162" s="113"/>
    </row>
    <row r="163" spans="1:12">
      <c r="A163" s="113"/>
      <c r="B163" s="113"/>
      <c r="C163" s="113"/>
      <c r="D163" s="113"/>
      <c r="E163" s="113"/>
      <c r="F163" s="113"/>
      <c r="G163" s="113"/>
      <c r="H163" s="113"/>
      <c r="I163" s="113"/>
      <c r="J163" s="113"/>
      <c r="K163" s="113"/>
      <c r="L163" s="113"/>
    </row>
    <row r="164" spans="1:12">
      <c r="A164" s="113"/>
      <c r="B164" s="113"/>
      <c r="C164" s="113"/>
      <c r="D164" s="113"/>
      <c r="E164" s="113"/>
      <c r="F164" s="113"/>
      <c r="G164" s="113"/>
      <c r="H164" s="113"/>
      <c r="I164" s="113"/>
      <c r="J164" s="113"/>
      <c r="K164" s="113"/>
      <c r="L164" s="113"/>
    </row>
    <row r="165" spans="1:12">
      <c r="A165" s="113"/>
      <c r="B165" s="113"/>
      <c r="C165" s="113"/>
      <c r="D165" s="113"/>
      <c r="E165" s="113"/>
      <c r="F165" s="113"/>
      <c r="G165" s="113"/>
      <c r="H165" s="113"/>
      <c r="I165" s="113"/>
      <c r="J165" s="113"/>
      <c r="K165" s="113"/>
      <c r="L165" s="113"/>
    </row>
    <row r="166" spans="1:12">
      <c r="A166" s="113"/>
      <c r="B166" s="113"/>
      <c r="C166" s="113"/>
      <c r="D166" s="113"/>
      <c r="E166" s="113"/>
      <c r="F166" s="113"/>
      <c r="G166" s="113"/>
      <c r="H166" s="113"/>
      <c r="I166" s="113"/>
      <c r="J166" s="113"/>
      <c r="K166" s="113"/>
      <c r="L166" s="113"/>
    </row>
    <row r="167" spans="1:12">
      <c r="A167" s="113"/>
      <c r="B167" s="113"/>
      <c r="C167" s="113"/>
      <c r="D167" s="113"/>
      <c r="E167" s="113"/>
      <c r="F167" s="113"/>
      <c r="G167" s="113"/>
      <c r="H167" s="113"/>
      <c r="I167" s="113"/>
      <c r="J167" s="113"/>
      <c r="K167" s="113"/>
      <c r="L167" s="113"/>
    </row>
    <row r="168" spans="1:12">
      <c r="A168" s="113"/>
      <c r="B168" s="113"/>
      <c r="C168" s="113"/>
      <c r="D168" s="113"/>
      <c r="E168" s="113"/>
      <c r="F168" s="113"/>
      <c r="G168" s="113"/>
      <c r="H168" s="113"/>
      <c r="I168" s="113"/>
      <c r="J168" s="113"/>
      <c r="K168" s="113"/>
      <c r="L168" s="113"/>
    </row>
    <row r="169" spans="1:12">
      <c r="A169" s="113"/>
      <c r="B169" s="113"/>
      <c r="C169" s="113"/>
      <c r="D169" s="113"/>
      <c r="E169" s="113"/>
      <c r="F169" s="113"/>
      <c r="G169" s="113"/>
      <c r="H169" s="113"/>
      <c r="I169" s="113"/>
      <c r="J169" s="113"/>
      <c r="K169" s="113"/>
      <c r="L169" s="113"/>
    </row>
  </sheetData>
  <pageMargins left="0.7" right="0.7" top="0.75" bottom="0.75" header="0.3" footer="0.3"/>
  <pageSetup scale="72" orientation="landscape" cellComments="asDisplayed" r:id="rId1"/>
  <headerFooter>
    <oddHeader>&amp;CSchedule 3
True Up Adjustment
&amp;RTO2025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4"/>
  <sheetViews>
    <sheetView zoomScaleNormal="100" workbookViewId="0"/>
  </sheetViews>
  <sheetFormatPr defaultRowHeight="12.75"/>
  <cols>
    <col min="1" max="2" width="4.5703125" customWidth="1"/>
    <col min="3" max="3" width="18.5703125" customWidth="1"/>
    <col min="4" max="4" width="10.42578125" bestFit="1" customWidth="1"/>
    <col min="5" max="7" width="15.5703125" customWidth="1"/>
    <col min="8" max="8" width="24.5703125" customWidth="1"/>
    <col min="9" max="9" width="4.5703125" customWidth="1"/>
    <col min="10" max="10" width="16.42578125" customWidth="1"/>
    <col min="11" max="11" width="2.5703125" customWidth="1"/>
    <col min="12" max="12" width="16.28515625" customWidth="1"/>
    <col min="13" max="13" width="10.5703125" customWidth="1"/>
    <col min="14" max="14" width="15.42578125" customWidth="1"/>
    <col min="15" max="15" width="18.140625" customWidth="1"/>
    <col min="16" max="16" width="3.42578125" customWidth="1"/>
    <col min="17" max="17" width="14.85546875" customWidth="1"/>
  </cols>
  <sheetData>
    <row r="1" spans="1:14">
      <c r="A1" s="1" t="s">
        <v>461</v>
      </c>
    </row>
    <row r="3" spans="1:14">
      <c r="B3" s="47" t="s">
        <v>462</v>
      </c>
      <c r="L3" s="2"/>
    </row>
    <row r="4" spans="1:14">
      <c r="B4" s="40"/>
      <c r="F4" s="2" t="s">
        <v>463</v>
      </c>
      <c r="G4" s="2"/>
      <c r="H4" s="2" t="s">
        <v>98</v>
      </c>
      <c r="L4" s="2"/>
      <c r="N4" s="2"/>
    </row>
    <row r="5" spans="1:14">
      <c r="A5" s="32" t="s">
        <v>99</v>
      </c>
      <c r="B5" s="12"/>
      <c r="C5" s="30" t="s">
        <v>464</v>
      </c>
      <c r="F5" s="3" t="s">
        <v>465</v>
      </c>
      <c r="G5" s="3" t="s">
        <v>100</v>
      </c>
      <c r="H5" s="3" t="s">
        <v>101</v>
      </c>
      <c r="J5" s="3" t="s">
        <v>79</v>
      </c>
      <c r="L5" s="3"/>
      <c r="N5" s="3"/>
    </row>
    <row r="6" spans="1:14">
      <c r="A6" s="2">
        <v>1</v>
      </c>
      <c r="C6" s="278" t="s">
        <v>104</v>
      </c>
      <c r="F6" t="s">
        <v>466</v>
      </c>
      <c r="H6" s="278" t="str">
        <f>"6-PlantInService, Line "&amp;'6-PlantInService'!A43&amp;""</f>
        <v>6-PlantInService, Line 18</v>
      </c>
      <c r="J6" s="6">
        <f>'6-PlantInService'!D43</f>
        <v>10990492369.622263</v>
      </c>
      <c r="L6" s="6"/>
      <c r="N6" s="6"/>
    </row>
    <row r="7" spans="1:14">
      <c r="A7" s="2">
        <f>A6+1</f>
        <v>2</v>
      </c>
      <c r="C7" s="278" t="s">
        <v>467</v>
      </c>
      <c r="F7" t="s">
        <v>468</v>
      </c>
      <c r="H7" s="278" t="str">
        <f>"6-PlantInService, Line "&amp;'6-PlantInService'!A59&amp;""</f>
        <v>6-PlantInService, Line 24</v>
      </c>
      <c r="J7" s="6">
        <f>'6-PlantInService'!F59</f>
        <v>366108685.4969182</v>
      </c>
      <c r="L7" s="6"/>
      <c r="N7" s="6"/>
    </row>
    <row r="8" spans="1:14">
      <c r="A8" s="2">
        <f>A7+1</f>
        <v>3</v>
      </c>
      <c r="C8" s="278" t="s">
        <v>106</v>
      </c>
      <c r="F8" t="s">
        <v>468</v>
      </c>
      <c r="H8" t="str">
        <f>"11-PHFU, Line "&amp;'11-PHFU'!A42&amp;""</f>
        <v>11-PHFU, Line 9</v>
      </c>
      <c r="J8" s="6">
        <f>'11-PHFU'!D42</f>
        <v>9132042.8139648717</v>
      </c>
      <c r="L8" s="6"/>
      <c r="N8" s="6"/>
    </row>
    <row r="9" spans="1:14">
      <c r="A9" s="2">
        <f>A8+1</f>
        <v>4</v>
      </c>
      <c r="C9" s="278" t="s">
        <v>107</v>
      </c>
      <c r="F9" t="s">
        <v>468</v>
      </c>
      <c r="H9" s="235" t="str">
        <f>"12-AbandonedPlant Line "&amp;'12-AbandonedPlant'!A21&amp;""</f>
        <v>12-AbandonedPlant Line 4</v>
      </c>
      <c r="J9" s="6">
        <f>'12-AbandonedPlant'!G21</f>
        <v>0</v>
      </c>
      <c r="L9" s="6"/>
      <c r="N9" s="6"/>
    </row>
    <row r="10" spans="1:14">
      <c r="A10" s="2"/>
      <c r="C10" s="278"/>
      <c r="J10" s="6"/>
      <c r="L10" s="6"/>
      <c r="N10" s="6"/>
    </row>
    <row r="11" spans="1:14">
      <c r="A11" s="2"/>
      <c r="C11" s="28" t="s">
        <v>469</v>
      </c>
      <c r="J11" s="6"/>
      <c r="L11" s="6"/>
      <c r="N11" s="6"/>
    </row>
    <row r="12" spans="1:14">
      <c r="A12" s="2">
        <f>A9+1</f>
        <v>5</v>
      </c>
      <c r="C12" s="234" t="s">
        <v>109</v>
      </c>
      <c r="F12" t="s">
        <v>466</v>
      </c>
      <c r="H12" s="278" t="str">
        <f>"13-WorkCap, Line "&amp;'13-WorkCap'!A27&amp;""</f>
        <v>13-WorkCap, Line 17</v>
      </c>
      <c r="J12" s="6">
        <f>'13-WorkCap'!F27</f>
        <v>28944243.264841855</v>
      </c>
      <c r="L12" s="6"/>
      <c r="N12" s="6"/>
    </row>
    <row r="13" spans="1:14">
      <c r="A13" s="2">
        <f>A12+1</f>
        <v>6</v>
      </c>
      <c r="C13" s="12" t="s">
        <v>110</v>
      </c>
      <c r="F13" t="s">
        <v>466</v>
      </c>
      <c r="H13" s="278" t="str">
        <f>"13-WorkCap, Line "&amp;'13-WorkCap'!A51&amp;""</f>
        <v>13-WorkCap, Line 33</v>
      </c>
      <c r="J13" s="6">
        <f>'13-WorkCap'!F51</f>
        <v>10073770.552641224</v>
      </c>
      <c r="L13" s="6"/>
      <c r="N13" s="6"/>
    </row>
    <row r="14" spans="1:14">
      <c r="A14" s="2">
        <f>A13+1</f>
        <v>7</v>
      </c>
      <c r="C14" s="234" t="s">
        <v>111</v>
      </c>
      <c r="F14" s="235" t="s">
        <v>470</v>
      </c>
      <c r="H14" t="str">
        <f>"1-Base TRR Line "&amp;'1-BaseTRR'!A17&amp;""</f>
        <v>1-Base TRR Line 7</v>
      </c>
      <c r="J14" s="53">
        <f>'1-BaseTRR'!K17</f>
        <v>25717913.472511321</v>
      </c>
      <c r="L14" s="53"/>
      <c r="N14" s="6"/>
    </row>
    <row r="15" spans="1:14">
      <c r="A15" s="2">
        <f>A14+1</f>
        <v>8</v>
      </c>
      <c r="C15" s="234" t="s">
        <v>112</v>
      </c>
      <c r="H15" t="str">
        <f>"Line "&amp;A12&amp;" + Line "&amp;A13&amp;" + Line "&amp;A14&amp;""</f>
        <v>Line 5 + Line 6 + Line 7</v>
      </c>
      <c r="J15" s="6">
        <f>SUM(J12:J14)</f>
        <v>64735927.289994404</v>
      </c>
      <c r="L15" s="6"/>
      <c r="N15" s="6"/>
    </row>
    <row r="16" spans="1:14">
      <c r="A16" s="2"/>
      <c r="C16" s="234"/>
      <c r="J16" s="6"/>
      <c r="L16" s="6"/>
      <c r="N16" s="6"/>
    </row>
    <row r="17" spans="1:14">
      <c r="A17" s="2"/>
      <c r="C17" s="44" t="s">
        <v>471</v>
      </c>
      <c r="J17" s="6"/>
      <c r="L17" s="6"/>
      <c r="N17" s="6"/>
    </row>
    <row r="18" spans="1:14">
      <c r="A18" s="2">
        <f>A15+1</f>
        <v>9</v>
      </c>
      <c r="C18" s="234" t="s">
        <v>472</v>
      </c>
      <c r="F18" t="s">
        <v>466</v>
      </c>
      <c r="G18" t="s">
        <v>115</v>
      </c>
      <c r="H18" s="278" t="str">
        <f>"8-AccDep, Line "&amp;'8-AccDep'!A25&amp;", Col. 12"</f>
        <v>8-AccDep, Line 14, Col. 12</v>
      </c>
      <c r="J18" s="6">
        <f>-'8-AccDep'!N25</f>
        <v>-2542373548.8070903</v>
      </c>
      <c r="L18" s="6"/>
      <c r="N18" s="6"/>
    </row>
    <row r="19" spans="1:14">
      <c r="A19" s="2">
        <f>A18+1</f>
        <v>10</v>
      </c>
      <c r="C19" s="234" t="s">
        <v>473</v>
      </c>
      <c r="F19" t="s">
        <v>468</v>
      </c>
      <c r="G19" t="s">
        <v>115</v>
      </c>
      <c r="H19" s="278" t="str">
        <f>"8-AccDep, Line "&amp;'8-AccDep'!A35&amp;", Col. 5"</f>
        <v>8-AccDep, Line 17, Col. 5</v>
      </c>
      <c r="J19" s="6">
        <f>-'8-AccDep'!G35</f>
        <v>0</v>
      </c>
      <c r="L19" s="6"/>
      <c r="N19" s="6"/>
    </row>
    <row r="20" spans="1:14">
      <c r="A20" s="2">
        <f>A19+1</f>
        <v>11</v>
      </c>
      <c r="C20" s="234" t="s">
        <v>474</v>
      </c>
      <c r="D20" s="15"/>
      <c r="F20" t="s">
        <v>468</v>
      </c>
      <c r="G20" t="s">
        <v>115</v>
      </c>
      <c r="H20" s="278" t="str">
        <f>"8-AccDep, Line "&amp;'8-AccDep'!A53&amp;""</f>
        <v>8-AccDep, Line 23</v>
      </c>
      <c r="J20" s="53">
        <f>-'8-AccDep'!F53</f>
        <v>-137179639.85967994</v>
      </c>
      <c r="L20" s="6"/>
      <c r="N20" s="6"/>
    </row>
    <row r="21" spans="1:14">
      <c r="A21" s="2">
        <f>A20+1</f>
        <v>12</v>
      </c>
      <c r="C21" s="45" t="s">
        <v>118</v>
      </c>
      <c r="D21" s="15"/>
      <c r="H21" t="str">
        <f>"Line "&amp;A18&amp;" + Line "&amp;A19&amp;" + Line "&amp;A20&amp;""</f>
        <v>Line 9 + Line 10 + Line 11</v>
      </c>
      <c r="J21" s="6">
        <f>SUM(J18:J20)</f>
        <v>-2679553188.66677</v>
      </c>
      <c r="L21" s="6"/>
      <c r="N21" s="6"/>
    </row>
    <row r="22" spans="1:14">
      <c r="A22" s="2"/>
      <c r="C22" s="235"/>
      <c r="J22" s="6"/>
      <c r="L22" s="6"/>
      <c r="N22" s="6"/>
    </row>
    <row r="23" spans="1:14">
      <c r="A23" s="2">
        <f>A21+1</f>
        <v>13</v>
      </c>
      <c r="C23" s="38" t="s">
        <v>475</v>
      </c>
      <c r="F23" s="278" t="s">
        <v>468</v>
      </c>
      <c r="H23" s="278" t="str">
        <f>"9-ADIT-1, Line "&amp;'9-ADIT-1'!A24&amp;""</f>
        <v>9-ADIT-1, Line 15</v>
      </c>
      <c r="J23" s="6">
        <f>'9-ADIT-1'!D24</f>
        <v>-1471828067.7745776</v>
      </c>
      <c r="L23" s="6"/>
      <c r="N23" s="6"/>
    </row>
    <row r="24" spans="1:14">
      <c r="A24" s="2">
        <f>A23+1</f>
        <v>14</v>
      </c>
      <c r="C24" s="278" t="s">
        <v>120</v>
      </c>
      <c r="F24" t="s">
        <v>466</v>
      </c>
      <c r="H24" s="278" t="str">
        <f>"14-IncentivePlant, L "&amp;'14-IncentivePlant'!A40&amp;", C2"</f>
        <v>14-IncentivePlant, L 15, C2</v>
      </c>
      <c r="J24" s="6">
        <f>'14-IncentivePlant'!F40</f>
        <v>296319924.04384613</v>
      </c>
      <c r="L24" s="6"/>
      <c r="N24" s="6"/>
    </row>
    <row r="25" spans="1:14">
      <c r="A25" s="2">
        <f>A24+1</f>
        <v>15</v>
      </c>
      <c r="C25" s="38" t="s">
        <v>122</v>
      </c>
      <c r="F25" t="s">
        <v>468</v>
      </c>
      <c r="G25" t="s">
        <v>115</v>
      </c>
      <c r="H25" s="278" t="str">
        <f>"22-NUCs, Line "&amp;'22-NUCs'!A15&amp;""</f>
        <v>22-NUCs, Line 7</v>
      </c>
      <c r="J25" s="6">
        <f>-'22-NUCs'!E15</f>
        <v>-39117001.942732081</v>
      </c>
      <c r="L25" s="6"/>
      <c r="N25" s="6"/>
    </row>
    <row r="26" spans="1:14">
      <c r="A26" s="2">
        <f t="shared" ref="A26:A27" si="0">A25+1</f>
        <v>16</v>
      </c>
      <c r="C26" s="278" t="s">
        <v>72</v>
      </c>
      <c r="H26" s="235" t="str">
        <f>"34-UnfundedReserves, Line "&amp;'34-UnfundedReserves'!A10&amp;""</f>
        <v>34-UnfundedReserves, Line 7</v>
      </c>
      <c r="J26" s="6">
        <f>'34-UnfundedReserves'!K10</f>
        <v>-60321615.325915091</v>
      </c>
      <c r="L26" s="6"/>
      <c r="N26" s="6"/>
    </row>
    <row r="27" spans="1:14">
      <c r="A27" s="2">
        <f t="shared" si="0"/>
        <v>17</v>
      </c>
      <c r="C27" s="38" t="s">
        <v>121</v>
      </c>
      <c r="F27" t="s">
        <v>468</v>
      </c>
      <c r="H27" s="278" t="str">
        <f>"23-RegAssets, Line "&amp;'23-RegAssets'!A18&amp;""</f>
        <v>23-RegAssets, Line 15</v>
      </c>
      <c r="J27" s="6">
        <f>'23-RegAssets'!E18</f>
        <v>0</v>
      </c>
      <c r="L27" s="6"/>
      <c r="N27" s="6"/>
    </row>
    <row r="28" spans="1:14">
      <c r="A28" s="2"/>
      <c r="C28" s="38"/>
      <c r="L28" s="6"/>
      <c r="N28" s="6"/>
    </row>
    <row r="29" spans="1:14">
      <c r="A29" s="2">
        <f>A27+1</f>
        <v>18</v>
      </c>
      <c r="C29" t="s">
        <v>123</v>
      </c>
      <c r="H29" t="str">
        <f>"L"&amp;A6&amp;"+L"&amp;A7&amp;"+L"&amp;A8&amp;"+L"&amp;A9&amp;"+L"&amp;A15&amp;"+L"&amp;A21&amp;"+"</f>
        <v>L1+L2+L3+L4+L8+L12+</v>
      </c>
      <c r="J29" s="6">
        <f>J6+ J7+J8+J9+J15+J21+J23+J24+J25+J26+J27</f>
        <v>7475969075.5569906</v>
      </c>
      <c r="L29" s="6"/>
      <c r="N29" s="6"/>
    </row>
    <row r="30" spans="1:14">
      <c r="A30" s="2"/>
      <c r="H30" t="str">
        <f>"L"&amp;A23&amp;"+L"&amp;A24&amp;"+L"&amp;A25&amp;"+L"&amp;A26&amp;"+L"&amp;A27&amp;""</f>
        <v>L13+L14+L15+L16+L17</v>
      </c>
      <c r="J30" s="6"/>
      <c r="L30" s="6"/>
      <c r="N30" s="6"/>
    </row>
    <row r="31" spans="1:14">
      <c r="A31" s="2"/>
      <c r="B31" s="1" t="s">
        <v>476</v>
      </c>
      <c r="J31" s="6"/>
      <c r="L31" s="6"/>
      <c r="N31" s="6"/>
    </row>
    <row r="32" spans="1:14">
      <c r="A32" s="32" t="s">
        <v>99</v>
      </c>
      <c r="C32" s="1"/>
      <c r="J32" s="6"/>
      <c r="L32" s="6"/>
      <c r="N32" s="6"/>
    </row>
    <row r="33" spans="1:17">
      <c r="A33" s="2">
        <f>A29+1</f>
        <v>19</v>
      </c>
      <c r="B33" s="235"/>
      <c r="C33" s="235" t="s">
        <v>171</v>
      </c>
      <c r="D33" s="235"/>
      <c r="E33" s="235"/>
      <c r="F33" s="235"/>
      <c r="G33" s="235" t="s">
        <v>477</v>
      </c>
      <c r="H33" s="235" t="str">
        <f>"Instruction 1, Line "&amp;B100&amp;""</f>
        <v>Instruction 1, Line j</v>
      </c>
      <c r="I33" s="235"/>
      <c r="J33" s="205">
        <f>E100</f>
        <v>7.1706275961064034E-2</v>
      </c>
      <c r="L33" s="7"/>
      <c r="M33" s="7"/>
      <c r="N33" s="7"/>
    </row>
    <row r="34" spans="1:17">
      <c r="A34" s="2">
        <f>A33+1</f>
        <v>20</v>
      </c>
      <c r="C34" s="235" t="s">
        <v>174</v>
      </c>
      <c r="D34" s="235"/>
      <c r="E34" s="235"/>
      <c r="F34" s="235"/>
      <c r="G34" s="235"/>
      <c r="H34" t="str">
        <f>"Line "&amp;A29&amp;" * Line "&amp;A33&amp;""</f>
        <v>Line 18 * Line 19</v>
      </c>
      <c r="J34" s="237">
        <f>J29*J33</f>
        <v>536073901.60827035</v>
      </c>
      <c r="L34" s="6"/>
      <c r="N34" s="6"/>
    </row>
    <row r="35" spans="1:17">
      <c r="A35" s="2"/>
      <c r="B35" s="12"/>
      <c r="L35" s="6"/>
      <c r="N35" s="6"/>
    </row>
    <row r="36" spans="1:17">
      <c r="A36" s="2"/>
      <c r="B36" s="1" t="s">
        <v>478</v>
      </c>
      <c r="L36" s="6"/>
      <c r="N36" s="6"/>
    </row>
    <row r="37" spans="1:17">
      <c r="A37" s="2"/>
      <c r="B37" s="12"/>
      <c r="L37" s="6"/>
      <c r="N37" s="6"/>
    </row>
    <row r="38" spans="1:17">
      <c r="A38" s="2">
        <f>A34+1</f>
        <v>21</v>
      </c>
      <c r="C38" s="235" t="s">
        <v>186</v>
      </c>
      <c r="J38" s="6">
        <f>(((J29*J42)+J46)*(J43/(1-J43)))+J44/(1-J43)</f>
        <v>152315980.09312135</v>
      </c>
      <c r="L38" s="6"/>
      <c r="N38" s="6"/>
    </row>
    <row r="39" spans="1:17">
      <c r="A39" s="2"/>
      <c r="J39" s="235"/>
      <c r="L39" s="6"/>
      <c r="N39" s="6"/>
    </row>
    <row r="40" spans="1:17">
      <c r="A40" s="2"/>
      <c r="D40" t="s">
        <v>187</v>
      </c>
      <c r="L40" s="6"/>
      <c r="N40" s="6"/>
    </row>
    <row r="41" spans="1:17">
      <c r="A41" s="2">
        <f>A38+1</f>
        <v>22</v>
      </c>
      <c r="D41" s="12" t="s">
        <v>188</v>
      </c>
      <c r="H41" t="str">
        <f>"Line "&amp;A29&amp;""</f>
        <v>Line 18</v>
      </c>
      <c r="J41" s="6">
        <f>J29</f>
        <v>7475969075.5569906</v>
      </c>
      <c r="L41" s="6"/>
      <c r="N41" s="6"/>
    </row>
    <row r="42" spans="1:17">
      <c r="A42" s="2">
        <f>A41+1</f>
        <v>23</v>
      </c>
      <c r="D42" s="234" t="s">
        <v>479</v>
      </c>
      <c r="G42" s="235" t="s">
        <v>480</v>
      </c>
      <c r="H42" s="235" t="str">
        <f>"Instruction 1, Line "&amp;B105&amp;""</f>
        <v>Instruction 1, Line k</v>
      </c>
      <c r="J42" s="205">
        <f>E105</f>
        <v>5.1610574592930752E-2</v>
      </c>
      <c r="L42" s="7"/>
      <c r="M42" s="7"/>
      <c r="N42" s="7"/>
    </row>
    <row r="43" spans="1:17">
      <c r="A43" s="2">
        <f>A42+1</f>
        <v>24</v>
      </c>
      <c r="D43" s="12" t="s">
        <v>190</v>
      </c>
      <c r="H43" t="str">
        <f>"1-Base TRR L "&amp;'1-BaseTRR'!A104&amp;""</f>
        <v>1-Base TRR L 59</v>
      </c>
      <c r="J43" s="7">
        <f>'1-BaseTRR'!K104</f>
        <v>0.27983599999999997</v>
      </c>
      <c r="L43" s="7"/>
      <c r="M43" s="7"/>
      <c r="N43" s="7"/>
    </row>
    <row r="44" spans="1:17">
      <c r="A44" s="2">
        <f>A43+1</f>
        <v>25</v>
      </c>
      <c r="D44" s="12" t="s">
        <v>191</v>
      </c>
      <c r="H44" s="235" t="s">
        <v>2886</v>
      </c>
      <c r="J44" s="6">
        <f>'1-BaseTRR'!K110 +J45</f>
        <v>282670</v>
      </c>
      <c r="L44" s="6"/>
      <c r="N44" s="6"/>
    </row>
    <row r="45" spans="1:17">
      <c r="A45" s="2" t="s">
        <v>2872</v>
      </c>
      <c r="B45" s="618"/>
      <c r="C45" s="618"/>
      <c r="D45" s="234" t="s">
        <v>2882</v>
      </c>
      <c r="E45" s="235"/>
      <c r="F45" s="235"/>
      <c r="G45" s="235" t="s">
        <v>2897</v>
      </c>
      <c r="H45" s="242" t="s">
        <v>2945</v>
      </c>
      <c r="I45" s="618"/>
      <c r="J45" s="117">
        <v>2606000</v>
      </c>
      <c r="N45" s="6"/>
    </row>
    <row r="46" spans="1:17">
      <c r="A46" s="2">
        <f>A44+1</f>
        <v>26</v>
      </c>
      <c r="D46" s="12" t="s">
        <v>192</v>
      </c>
      <c r="H46" t="str">
        <f>"1-Base TRR L "&amp;'1-BaseTRR'!A114&amp;""</f>
        <v>1-Base TRR L 65</v>
      </c>
      <c r="J46" s="237">
        <f>'1-BaseTRR'!K121</f>
        <v>5139283</v>
      </c>
      <c r="N46" s="6"/>
    </row>
    <row r="47" spans="1:17">
      <c r="A47" s="2"/>
      <c r="B47" s="12"/>
      <c r="N47" s="2"/>
      <c r="O47" s="2"/>
    </row>
    <row r="48" spans="1:17">
      <c r="A48" s="2"/>
      <c r="B48" s="1" t="s">
        <v>481</v>
      </c>
      <c r="L48" s="6"/>
      <c r="N48" s="48"/>
      <c r="O48" s="48"/>
      <c r="Q48" s="30"/>
    </row>
    <row r="49" spans="1:17">
      <c r="A49" s="2">
        <f>A46+1</f>
        <v>27</v>
      </c>
      <c r="B49" s="12"/>
      <c r="C49" t="s">
        <v>197</v>
      </c>
      <c r="H49" t="str">
        <f>"1-Base TRR L "&amp;'1-BaseTRR'!A126&amp;""</f>
        <v>1-Base TRR L 66</v>
      </c>
      <c r="J49" s="6">
        <f>'1-BaseTRR'!K126</f>
        <v>105996728.55320503</v>
      </c>
      <c r="N49" s="6"/>
      <c r="O49" s="6"/>
      <c r="Q49" s="235"/>
    </row>
    <row r="50" spans="1:17">
      <c r="A50" s="2">
        <f t="shared" ref="A50:A60" si="1">A49+1</f>
        <v>28</v>
      </c>
      <c r="B50" s="12"/>
      <c r="C50" s="235" t="s">
        <v>198</v>
      </c>
      <c r="H50" t="str">
        <f>"1-Base TRR L "&amp;'1-BaseTRR'!A127&amp;""</f>
        <v>1-Base TRR L 67</v>
      </c>
      <c r="J50" s="6">
        <f>'1-BaseTRR'!K127</f>
        <v>99746579.226885542</v>
      </c>
      <c r="N50" s="6"/>
      <c r="O50" s="6"/>
      <c r="Q50" s="235"/>
    </row>
    <row r="51" spans="1:17">
      <c r="A51" s="2">
        <f>A50+1</f>
        <v>29</v>
      </c>
      <c r="B51" s="12"/>
      <c r="C51" t="s">
        <v>199</v>
      </c>
      <c r="H51" t="str">
        <f>"1-Base TRR L "&amp;'1-BaseTRR'!A128&amp;""</f>
        <v>1-Base TRR L 68</v>
      </c>
      <c r="J51" s="6">
        <f>'1-BaseTRR'!K128</f>
        <v>4204158.4508966263</v>
      </c>
      <c r="L51" s="6"/>
      <c r="N51" s="6"/>
      <c r="O51" s="6"/>
    </row>
    <row r="52" spans="1:17">
      <c r="A52" s="2">
        <f t="shared" si="1"/>
        <v>30</v>
      </c>
      <c r="B52" s="12"/>
      <c r="C52" s="235" t="s">
        <v>200</v>
      </c>
      <c r="H52" t="str">
        <f>"1-Base TRR L "&amp;'1-BaseTRR'!A129&amp;""</f>
        <v>1-Base TRR L 69</v>
      </c>
      <c r="J52" s="6">
        <f>'1-BaseTRR'!K129</f>
        <v>322943232.29123127</v>
      </c>
      <c r="L52" s="6"/>
      <c r="N52" s="6"/>
      <c r="O52" s="6"/>
    </row>
    <row r="53" spans="1:17">
      <c r="A53" s="2">
        <f t="shared" si="1"/>
        <v>31</v>
      </c>
      <c r="B53" s="12"/>
      <c r="C53" s="235" t="s">
        <v>201</v>
      </c>
      <c r="H53" t="str">
        <f>"1-Base TRR L "&amp;'1-BaseTRR'!A130&amp;""</f>
        <v>1-Base TRR L 70</v>
      </c>
      <c r="J53" s="6">
        <f>'1-BaseTRR'!K130</f>
        <v>0</v>
      </c>
      <c r="L53" s="6"/>
      <c r="N53" s="6"/>
      <c r="O53" s="6"/>
    </row>
    <row r="54" spans="1:17">
      <c r="A54" s="2">
        <f t="shared" si="1"/>
        <v>32</v>
      </c>
      <c r="B54" s="12"/>
      <c r="C54" s="235" t="s">
        <v>143</v>
      </c>
      <c r="H54" t="str">
        <f>"1-Base TRR L "&amp;'1-BaseTRR'!A131&amp;""</f>
        <v>1-Base TRR L 71</v>
      </c>
      <c r="J54" s="6">
        <f>'1-BaseTRR'!K131</f>
        <v>91431839.489027277</v>
      </c>
      <c r="L54" s="6"/>
      <c r="N54" s="6"/>
      <c r="O54" s="6"/>
    </row>
    <row r="55" spans="1:17">
      <c r="A55" s="2">
        <f t="shared" si="1"/>
        <v>33</v>
      </c>
      <c r="B55" s="12"/>
      <c r="C55" t="s">
        <v>202</v>
      </c>
      <c r="G55" s="235"/>
      <c r="H55" t="str">
        <f>"1-Base TRR L "&amp;'1-BaseTRR'!A132&amp;""</f>
        <v>1-Base TRR L 72</v>
      </c>
      <c r="J55" s="6">
        <f>'1-BaseTRR'!K132</f>
        <v>-58664880.791078113</v>
      </c>
      <c r="L55" s="6"/>
      <c r="N55" s="6"/>
      <c r="O55" s="6"/>
    </row>
    <row r="56" spans="1:17">
      <c r="A56" s="2">
        <f t="shared" si="1"/>
        <v>34</v>
      </c>
      <c r="B56" s="12"/>
      <c r="C56" t="s">
        <v>203</v>
      </c>
      <c r="H56" t="str">
        <f>"Line "&amp;A34&amp;""</f>
        <v>Line 20</v>
      </c>
      <c r="J56" s="6">
        <f>J34</f>
        <v>536073901.60827035</v>
      </c>
      <c r="L56" s="6"/>
      <c r="N56" s="6"/>
      <c r="O56" s="6"/>
    </row>
    <row r="57" spans="1:17">
      <c r="A57" s="2">
        <f t="shared" si="1"/>
        <v>35</v>
      </c>
      <c r="B57" s="12"/>
      <c r="C57" t="s">
        <v>204</v>
      </c>
      <c r="H57" t="str">
        <f>"Line "&amp;A38&amp;""</f>
        <v>Line 21</v>
      </c>
      <c r="J57" s="237">
        <f>J38</f>
        <v>152315980.09312135</v>
      </c>
      <c r="L57" s="6"/>
      <c r="N57" s="6"/>
      <c r="O57" s="6"/>
    </row>
    <row r="58" spans="1:17">
      <c r="A58" s="2">
        <f t="shared" si="1"/>
        <v>36</v>
      </c>
      <c r="B58" s="12"/>
      <c r="C58" s="235" t="s">
        <v>482</v>
      </c>
      <c r="H58" t="str">
        <f>"1-Base TRR L "&amp;'1-BaseTRR'!A135&amp;""</f>
        <v>1-Base TRR L 75</v>
      </c>
      <c r="J58" s="237">
        <f>'1-BaseTRR'!K135</f>
        <v>0</v>
      </c>
      <c r="L58" s="6"/>
      <c r="N58" s="6"/>
      <c r="O58" s="6"/>
    </row>
    <row r="59" spans="1:17">
      <c r="A59" s="2">
        <f t="shared" si="1"/>
        <v>37</v>
      </c>
      <c r="B59" s="12"/>
      <c r="C59" s="291" t="s">
        <v>207</v>
      </c>
      <c r="D59" s="291"/>
      <c r="H59" t="str">
        <f>"1-Base TRR L "&amp;'1-BaseTRR'!A136&amp;""</f>
        <v>1-Base TRR L 76</v>
      </c>
      <c r="J59" s="53">
        <f>'1-BaseTRR'!K136</f>
        <v>0</v>
      </c>
      <c r="L59" s="6"/>
      <c r="N59" s="6"/>
      <c r="O59" s="6"/>
    </row>
    <row r="60" spans="1:17">
      <c r="A60" s="2">
        <f t="shared" si="1"/>
        <v>38</v>
      </c>
      <c r="B60" s="12"/>
      <c r="C60" s="235" t="s">
        <v>483</v>
      </c>
      <c r="H60" t="str">
        <f>"Sum Line "&amp;A49&amp;" to Line "&amp;A59&amp;""</f>
        <v>Sum Line 27 to Line 37</v>
      </c>
      <c r="J60" s="6">
        <f>SUM(J49:J59)</f>
        <v>1254047538.9215593</v>
      </c>
      <c r="L60" s="6"/>
      <c r="N60" s="6"/>
      <c r="O60" s="6"/>
    </row>
    <row r="61" spans="1:17">
      <c r="A61" s="2"/>
      <c r="B61" s="12"/>
      <c r="J61" s="6"/>
      <c r="L61" s="6"/>
      <c r="N61" s="6"/>
      <c r="O61" s="6"/>
    </row>
    <row r="62" spans="1:17" ht="12.75" customHeight="1">
      <c r="A62" s="2">
        <f>A60+1</f>
        <v>39</v>
      </c>
      <c r="B62" s="12"/>
      <c r="C62" s="235" t="s">
        <v>484</v>
      </c>
      <c r="H62" t="str">
        <f>"15-IncentiveAdder L "&amp;'15-IncentiveAdder'!A59&amp;""</f>
        <v>15-IncentiveAdder L 20</v>
      </c>
      <c r="J62" s="6">
        <f>'15-IncentiveAdder'!G59</f>
        <v>23620313.715315629</v>
      </c>
      <c r="L62" s="6"/>
      <c r="N62" s="6"/>
      <c r="O62" s="6"/>
    </row>
    <row r="63" spans="1:17" ht="12.75" customHeight="1">
      <c r="A63" s="2" t="s">
        <v>485</v>
      </c>
      <c r="B63" s="12"/>
      <c r="C63" s="235" t="s">
        <v>486</v>
      </c>
      <c r="H63" s="235" t="s">
        <v>487</v>
      </c>
      <c r="J63" s="6">
        <f>-J62</f>
        <v>-23620313.715315629</v>
      </c>
      <c r="L63" s="6"/>
      <c r="N63" s="6"/>
      <c r="O63" s="6"/>
    </row>
    <row r="64" spans="1:17">
      <c r="A64" s="2"/>
      <c r="B64" s="12"/>
      <c r="C64" s="235"/>
      <c r="J64" s="6"/>
      <c r="L64" s="6"/>
      <c r="N64" s="6"/>
      <c r="O64" s="6"/>
    </row>
    <row r="65" spans="1:19">
      <c r="A65" s="2">
        <f>A62+1</f>
        <v>40</v>
      </c>
      <c r="B65" s="12"/>
      <c r="C65" s="235" t="s">
        <v>488</v>
      </c>
      <c r="H65" t="str">
        <f>"Sum of Lines "&amp;A60&amp;" to "&amp;A63&amp;""</f>
        <v>Sum of Lines 38 to 39a</v>
      </c>
      <c r="J65" s="6">
        <f>J60+J62+J63</f>
        <v>1254047538.9215593</v>
      </c>
      <c r="L65" s="6"/>
      <c r="N65" s="6"/>
      <c r="O65" s="6"/>
    </row>
    <row r="66" spans="1:19">
      <c r="A66" s="2"/>
      <c r="B66" s="12"/>
      <c r="C66" s="235"/>
      <c r="J66" s="6"/>
      <c r="M66" s="6"/>
    </row>
    <row r="67" spans="1:19">
      <c r="A67" s="2"/>
      <c r="B67" s="47" t="s">
        <v>489</v>
      </c>
      <c r="C67" s="235"/>
      <c r="J67" s="6"/>
      <c r="N67" s="2"/>
      <c r="O67" s="2"/>
    </row>
    <row r="68" spans="1:19">
      <c r="A68" s="32" t="s">
        <v>99</v>
      </c>
      <c r="B68" s="38"/>
      <c r="G68" s="30" t="s">
        <v>490</v>
      </c>
      <c r="J68" s="1087"/>
      <c r="N68" s="48"/>
      <c r="O68" s="48"/>
      <c r="Q68" s="30"/>
    </row>
    <row r="69" spans="1:19">
      <c r="A69" s="2">
        <f>A65+1</f>
        <v>41</v>
      </c>
      <c r="B69" s="38"/>
      <c r="D69" s="233" t="s">
        <v>491</v>
      </c>
      <c r="E69" s="6">
        <f>J65</f>
        <v>1254047538.9215593</v>
      </c>
      <c r="G69" t="str">
        <f>"Line "&amp;A65&amp;""</f>
        <v>Line 40</v>
      </c>
      <c r="J69" s="1087"/>
      <c r="L69" s="6"/>
      <c r="N69" s="6"/>
      <c r="O69" s="6"/>
      <c r="Q69" s="235"/>
    </row>
    <row r="70" spans="1:19">
      <c r="A70" s="2">
        <f>A69+1</f>
        <v>42</v>
      </c>
      <c r="B70" s="38"/>
      <c r="D70" s="233" t="s">
        <v>492</v>
      </c>
      <c r="E70" s="1010">
        <f>'28-FFU'!D22</f>
        <v>9.3645816374923023E-3</v>
      </c>
      <c r="G70" t="str">
        <f>"28-FFU, L "&amp;'28-FFU'!A22&amp;""</f>
        <v>28-FFU, L 5</v>
      </c>
      <c r="J70" s="1088"/>
      <c r="L70" s="7"/>
      <c r="N70" s="7"/>
      <c r="O70" s="7"/>
      <c r="Q70" s="235"/>
    </row>
    <row r="71" spans="1:19">
      <c r="A71" s="2">
        <f>A70+1</f>
        <v>43</v>
      </c>
      <c r="B71" s="38"/>
      <c r="D71" s="25" t="s">
        <v>493</v>
      </c>
      <c r="E71" s="6">
        <f>E69*E70</f>
        <v>11743630.555527247</v>
      </c>
      <c r="G71" t="str">
        <f>"Line "&amp;A69&amp;" * Line "&amp;A70&amp;""</f>
        <v>Line 41 * Line 42</v>
      </c>
      <c r="J71" s="1089"/>
      <c r="L71" s="237"/>
      <c r="N71" s="6"/>
      <c r="O71" s="6"/>
      <c r="Q71" s="235"/>
    </row>
    <row r="72" spans="1:19">
      <c r="A72" s="2">
        <f>A71+1</f>
        <v>44</v>
      </c>
      <c r="B72" s="38"/>
      <c r="D72" s="233" t="s">
        <v>494</v>
      </c>
      <c r="E72" s="1010">
        <f>'28-FFU'!E22</f>
        <v>7.6558573610423109E-3</v>
      </c>
      <c r="G72" t="str">
        <f>"28-FFU, L "&amp;'28-FFU'!A22&amp;""</f>
        <v>28-FFU, L 5</v>
      </c>
      <c r="J72" s="1007"/>
      <c r="L72" s="205"/>
      <c r="N72" s="7"/>
      <c r="O72" s="7"/>
      <c r="Q72" s="235"/>
    </row>
    <row r="73" spans="1:19">
      <c r="A73" s="2">
        <f>A72+1</f>
        <v>45</v>
      </c>
      <c r="B73" s="38"/>
      <c r="D73" s="233" t="s">
        <v>318</v>
      </c>
      <c r="E73" s="6">
        <f>E69*E72</f>
        <v>9600809.081949614</v>
      </c>
      <c r="G73" t="str">
        <f>"Line "&amp;A69&amp;" * Line "&amp;A72&amp;""</f>
        <v>Line 41 * Line 44</v>
      </c>
      <c r="J73" s="1007"/>
      <c r="L73" s="6"/>
      <c r="N73" s="6"/>
      <c r="O73" s="6"/>
      <c r="Q73" s="235"/>
    </row>
    <row r="74" spans="1:19">
      <c r="A74" s="2" t="s">
        <v>495</v>
      </c>
      <c r="B74" s="278"/>
      <c r="C74" s="235"/>
      <c r="D74" s="233" t="s">
        <v>496</v>
      </c>
      <c r="E74" s="53">
        <f>-'35-Other Formula Revenue'!D113</f>
        <v>-11497999.826668495</v>
      </c>
      <c r="F74" s="235"/>
      <c r="G74" s="235" t="str">
        <f>"Negative of 35-Other Formula Revenue, L "&amp;'35-Other Formula Revenue'!A113&amp;""</f>
        <v>Negative of 35-Other Formula Revenue, L 80</v>
      </c>
      <c r="H74" s="235"/>
      <c r="I74" s="593"/>
      <c r="J74" s="826"/>
      <c r="L74" s="6"/>
      <c r="O74" s="6"/>
      <c r="Q74" s="235"/>
    </row>
    <row r="75" spans="1:19">
      <c r="A75" s="2">
        <f>A73+1</f>
        <v>46</v>
      </c>
      <c r="B75" s="38"/>
      <c r="D75" s="233" t="s">
        <v>327</v>
      </c>
      <c r="E75" s="237">
        <f>E69+E71+E73+E74</f>
        <v>1263893978.7323678</v>
      </c>
      <c r="F75" s="235"/>
      <c r="G75" s="235" t="str">
        <f>"L "&amp;A69&amp;" + L "&amp;A71&amp;" + L "&amp;A73&amp;"+ L "&amp;A74&amp;""</f>
        <v>L 41 + L 43 + L 45+ L 45a</v>
      </c>
      <c r="H75" s="235"/>
      <c r="L75" s="237"/>
      <c r="M75" s="1007"/>
      <c r="N75" s="6"/>
      <c r="O75" s="6"/>
      <c r="Q75" s="235"/>
    </row>
    <row r="76" spans="1:19">
      <c r="B76" s="47" t="s">
        <v>426</v>
      </c>
      <c r="D76" s="25"/>
      <c r="E76" s="6"/>
      <c r="H76" s="305"/>
      <c r="L76" s="237"/>
      <c r="M76" s="1007"/>
    </row>
    <row r="77" spans="1:19">
      <c r="A77" s="2"/>
      <c r="B77" s="235" t="s">
        <v>497</v>
      </c>
      <c r="C77" s="47"/>
      <c r="D77" s="25"/>
      <c r="E77" s="6"/>
      <c r="L77" s="237"/>
      <c r="M77" s="237"/>
    </row>
    <row r="78" spans="1:19">
      <c r="A78" s="2"/>
      <c r="B78" s="235" t="s">
        <v>498</v>
      </c>
      <c r="C78" s="47"/>
      <c r="D78" s="25"/>
      <c r="E78" s="6"/>
      <c r="L78" s="815"/>
      <c r="M78" s="237"/>
      <c r="O78" s="30"/>
      <c r="P78" s="30"/>
      <c r="Q78" s="30"/>
    </row>
    <row r="79" spans="1:19">
      <c r="A79" s="2"/>
      <c r="B79" s="278" t="s">
        <v>499</v>
      </c>
      <c r="C79" s="235"/>
      <c r="D79" s="25"/>
      <c r="E79" s="6"/>
      <c r="L79" s="1083"/>
      <c r="M79" s="28"/>
      <c r="N79" s="28"/>
      <c r="O79" s="28"/>
    </row>
    <row r="80" spans="1:19">
      <c r="A80" s="2"/>
      <c r="B80" s="278" t="s">
        <v>500</v>
      </c>
      <c r="D80" s="25"/>
      <c r="E80" s="6"/>
      <c r="L80" s="237"/>
      <c r="M80" s="235"/>
      <c r="O80" s="30"/>
      <c r="Q80" s="30"/>
      <c r="S80" s="30"/>
    </row>
    <row r="81" spans="1:19">
      <c r="A81" s="2"/>
      <c r="L81" s="6"/>
      <c r="M81" s="235"/>
      <c r="O81" s="233"/>
      <c r="Q81" s="237"/>
    </row>
    <row r="82" spans="1:19">
      <c r="A82" s="2"/>
      <c r="B82" s="235" t="s">
        <v>501</v>
      </c>
      <c r="O82" s="233"/>
      <c r="Q82" s="6"/>
      <c r="S82" s="235"/>
    </row>
    <row r="83" spans="1:19">
      <c r="A83" s="2"/>
      <c r="B83" s="235"/>
      <c r="C83" s="235" t="s">
        <v>502</v>
      </c>
      <c r="O83" s="233"/>
      <c r="Q83" s="6"/>
      <c r="S83" s="235"/>
    </row>
    <row r="84" spans="1:19">
      <c r="A84" s="2"/>
      <c r="B84" s="235"/>
      <c r="J84" s="2" t="s">
        <v>503</v>
      </c>
      <c r="O84" s="233"/>
      <c r="Q84" s="6"/>
      <c r="S84" s="235"/>
    </row>
    <row r="85" spans="1:19">
      <c r="A85" s="2"/>
      <c r="E85" s="3" t="s">
        <v>504</v>
      </c>
      <c r="F85" s="30" t="s">
        <v>490</v>
      </c>
      <c r="G85" s="3" t="s">
        <v>505</v>
      </c>
      <c r="H85" s="3" t="s">
        <v>506</v>
      </c>
      <c r="J85" s="3" t="s">
        <v>507</v>
      </c>
      <c r="O85" s="233"/>
      <c r="Q85" s="6"/>
      <c r="S85" s="235"/>
    </row>
    <row r="86" spans="1:19">
      <c r="B86" s="4" t="s">
        <v>508</v>
      </c>
      <c r="C86" s="235" t="s">
        <v>509</v>
      </c>
      <c r="E86" s="792">
        <v>0.10299999999999999</v>
      </c>
      <c r="F86" s="235" t="s">
        <v>510</v>
      </c>
      <c r="G86" s="615">
        <v>44927</v>
      </c>
      <c r="H86" s="615">
        <v>45291</v>
      </c>
      <c r="I86" s="235"/>
      <c r="J86" s="369">
        <v>365</v>
      </c>
      <c r="K86" s="235"/>
      <c r="O86" s="233"/>
      <c r="Q86" s="6"/>
      <c r="S86" s="235"/>
    </row>
    <row r="87" spans="1:19">
      <c r="B87" s="4" t="s">
        <v>511</v>
      </c>
      <c r="C87" s="235" t="s">
        <v>512</v>
      </c>
      <c r="E87" s="792"/>
      <c r="F87" s="235" t="s">
        <v>513</v>
      </c>
      <c r="G87" s="615"/>
      <c r="H87" s="615"/>
      <c r="I87" s="235"/>
      <c r="J87" s="369"/>
      <c r="K87" s="235"/>
      <c r="O87" s="233"/>
      <c r="Q87" s="53"/>
      <c r="S87" s="235"/>
    </row>
    <row r="88" spans="1:19">
      <c r="B88" s="4" t="s">
        <v>514</v>
      </c>
      <c r="C88" s="235"/>
      <c r="E88" s="485"/>
      <c r="F88" s="235"/>
      <c r="G88" s="241"/>
      <c r="H88" s="241"/>
      <c r="I88" s="233" t="s">
        <v>515</v>
      </c>
      <c r="J88" s="236">
        <f>SUM(J86:J87)</f>
        <v>365</v>
      </c>
      <c r="K88" s="235"/>
      <c r="L88" s="235"/>
      <c r="O88" s="233"/>
      <c r="Q88" s="6"/>
      <c r="S88" s="245"/>
    </row>
    <row r="89" spans="1:19">
      <c r="B89" s="4" t="s">
        <v>516</v>
      </c>
      <c r="C89" s="235" t="s">
        <v>517</v>
      </c>
      <c r="E89" s="26">
        <f>((E86*J86) + (E87* J87)) / J88</f>
        <v>0.10299999999999999</v>
      </c>
      <c r="F89" s="235" t="s">
        <v>518</v>
      </c>
      <c r="H89" s="235"/>
      <c r="I89" s="235"/>
      <c r="J89" s="235"/>
      <c r="K89" s="235"/>
      <c r="L89" s="235"/>
    </row>
    <row r="90" spans="1:19">
      <c r="A90" s="2"/>
      <c r="B90" s="235"/>
      <c r="H90" s="235"/>
      <c r="I90" s="235"/>
      <c r="J90" s="235"/>
      <c r="K90" s="235"/>
      <c r="L90" s="235"/>
    </row>
    <row r="91" spans="1:19">
      <c r="A91" s="2"/>
      <c r="B91" s="235" t="s">
        <v>519</v>
      </c>
      <c r="H91" s="235"/>
      <c r="I91" s="235"/>
      <c r="J91" s="235"/>
      <c r="K91" s="235"/>
      <c r="L91" s="235"/>
    </row>
    <row r="92" spans="1:19">
      <c r="A92" s="2"/>
      <c r="B92" s="235"/>
      <c r="E92" s="30" t="s">
        <v>490</v>
      </c>
      <c r="H92" s="235"/>
      <c r="I92" s="235"/>
      <c r="J92" s="235"/>
      <c r="K92" s="235"/>
      <c r="L92" s="235"/>
    </row>
    <row r="93" spans="1:19">
      <c r="B93" s="4" t="s">
        <v>520</v>
      </c>
      <c r="C93" s="235" t="s">
        <v>521</v>
      </c>
      <c r="E93" s="200" t="s">
        <v>522</v>
      </c>
      <c r="F93" s="54"/>
      <c r="G93" s="54"/>
      <c r="H93" s="242"/>
      <c r="I93" s="242"/>
      <c r="J93" s="242"/>
      <c r="K93" s="235"/>
      <c r="L93" s="235"/>
    </row>
    <row r="94" spans="1:19">
      <c r="B94" s="4" t="s">
        <v>523</v>
      </c>
      <c r="C94" s="235" t="s">
        <v>524</v>
      </c>
      <c r="E94" s="200" t="s">
        <v>525</v>
      </c>
      <c r="F94" s="54"/>
      <c r="G94" s="54"/>
      <c r="H94" s="242"/>
      <c r="I94" s="242"/>
      <c r="J94" s="242"/>
      <c r="K94" s="235"/>
      <c r="L94" s="235"/>
    </row>
    <row r="95" spans="1:19">
      <c r="C95" s="235"/>
      <c r="E95" s="241"/>
      <c r="I95" s="235"/>
      <c r="J95" s="235"/>
      <c r="K95" s="235"/>
      <c r="L95" s="235"/>
    </row>
    <row r="96" spans="1:19">
      <c r="E96" s="3" t="s">
        <v>504</v>
      </c>
      <c r="F96" s="30" t="s">
        <v>490</v>
      </c>
      <c r="H96" s="235"/>
      <c r="I96" s="235"/>
      <c r="L96" s="235"/>
    </row>
    <row r="97" spans="1:12">
      <c r="B97" s="4" t="s">
        <v>526</v>
      </c>
      <c r="C97" s="235" t="s">
        <v>527</v>
      </c>
      <c r="D97" s="235"/>
      <c r="E97" s="793">
        <f>'1-BaseTRR'!K90</f>
        <v>2.0095701368133278E-2</v>
      </c>
      <c r="F97" t="str">
        <f>"1-Base TRR L "&amp;'1-BaseTRR'!A90&amp;""</f>
        <v>1-Base TRR L 51</v>
      </c>
      <c r="H97" s="235"/>
      <c r="I97" s="235"/>
      <c r="L97" s="235"/>
    </row>
    <row r="98" spans="1:12">
      <c r="B98" s="4" t="s">
        <v>528</v>
      </c>
      <c r="C98" s="235" t="s">
        <v>529</v>
      </c>
      <c r="E98" s="793">
        <f>'1-BaseTRR'!K91</f>
        <v>2.6855745929307579E-3</v>
      </c>
      <c r="F98" t="str">
        <f>"1-Base TRR L "&amp;'1-BaseTRR'!A91&amp;""</f>
        <v>1-Base TRR L 52</v>
      </c>
      <c r="H98" s="235"/>
      <c r="I98" s="235"/>
    </row>
    <row r="99" spans="1:12">
      <c r="B99" s="4" t="s">
        <v>530</v>
      </c>
      <c r="C99" s="235" t="s">
        <v>531</v>
      </c>
      <c r="E99" s="794">
        <f>('1-BaseTRR'!K82) * E89</f>
        <v>4.8924999999999996E-2</v>
      </c>
      <c r="F99" t="str">
        <f>"1-Base TRR L "&amp;'1-BaseTRR'!A82&amp;" * Line d"</f>
        <v>1-Base TRR L 47 * Line d</v>
      </c>
      <c r="G99" s="235"/>
      <c r="H99" s="235"/>
    </row>
    <row r="100" spans="1:12">
      <c r="B100" s="2" t="s">
        <v>532</v>
      </c>
      <c r="C100" s="234" t="s">
        <v>171</v>
      </c>
      <c r="E100" s="1013">
        <f>SUM(E97:E99)</f>
        <v>7.1706275961064034E-2</v>
      </c>
      <c r="F100" s="6" t="str">
        <f>"Sum of Lines "&amp;B97&amp;" to "&amp;B99&amp;""</f>
        <v>Sum of Lines g to i</v>
      </c>
      <c r="G100" s="236"/>
      <c r="J100" s="46"/>
    </row>
    <row r="101" spans="1:12">
      <c r="A101" s="2"/>
      <c r="C101" s="14"/>
      <c r="D101" s="17"/>
      <c r="E101" s="6"/>
      <c r="F101" s="6"/>
      <c r="G101" s="236"/>
      <c r="H101" s="6"/>
      <c r="J101" s="46"/>
    </row>
    <row r="102" spans="1:12">
      <c r="A102" s="2"/>
      <c r="B102" s="235" t="s">
        <v>533</v>
      </c>
    </row>
    <row r="103" spans="1:12">
      <c r="A103" s="2"/>
    </row>
    <row r="104" spans="1:12">
      <c r="A104" s="2"/>
      <c r="E104" s="3" t="s">
        <v>504</v>
      </c>
      <c r="F104" s="30" t="s">
        <v>490</v>
      </c>
    </row>
    <row r="105" spans="1:12">
      <c r="B105" s="4" t="s">
        <v>534</v>
      </c>
      <c r="E105" s="793">
        <f>E98+E99</f>
        <v>5.1610574592930752E-2</v>
      </c>
      <c r="F105" s="6" t="str">
        <f>"Sum of Lines "&amp;B98&amp;" to "&amp;B99&amp;""</f>
        <v>Sum of Lines h to i</v>
      </c>
    </row>
    <row r="106" spans="1:12">
      <c r="A106" s="2"/>
      <c r="E106" s="7"/>
      <c r="F106" s="6"/>
    </row>
    <row r="107" spans="1:12">
      <c r="A107" s="2"/>
      <c r="B107" s="32" t="s">
        <v>226</v>
      </c>
      <c r="E107" s="236"/>
      <c r="F107" s="236"/>
      <c r="G107" s="236"/>
      <c r="H107" s="6"/>
    </row>
    <row r="108" spans="1:12">
      <c r="A108" s="2"/>
      <c r="B108" s="235" t="s">
        <v>535</v>
      </c>
    </row>
    <row r="109" spans="1:12">
      <c r="A109" s="2"/>
      <c r="B109" s="234" t="s">
        <v>536</v>
      </c>
      <c r="D109" s="2"/>
      <c r="E109" s="2"/>
      <c r="F109" s="2"/>
      <c r="G109" s="2"/>
      <c r="H109" s="2"/>
    </row>
    <row r="110" spans="1:12">
      <c r="A110" s="2"/>
      <c r="B110" s="237" t="s">
        <v>2896</v>
      </c>
      <c r="C110" s="235"/>
      <c r="D110" s="2"/>
      <c r="E110" s="2"/>
      <c r="F110" s="2"/>
      <c r="G110" s="2"/>
      <c r="H110" s="2"/>
      <c r="I110" s="235"/>
      <c r="J110" s="235"/>
      <c r="K110" s="235"/>
    </row>
    <row r="111" spans="1:12">
      <c r="A111" s="2"/>
      <c r="B111" s="234" t="s">
        <v>2889</v>
      </c>
      <c r="C111" s="19"/>
      <c r="D111" s="19"/>
      <c r="E111" s="2"/>
      <c r="F111" s="2"/>
      <c r="G111" s="2"/>
      <c r="H111" s="2"/>
      <c r="I111" s="235"/>
      <c r="J111" s="235"/>
      <c r="K111" s="235"/>
    </row>
    <row r="112" spans="1:12">
      <c r="A112" s="2"/>
      <c r="B112" s="234" t="s">
        <v>2891</v>
      </c>
      <c r="C112" s="235"/>
      <c r="D112" s="235"/>
      <c r="E112" s="235"/>
      <c r="F112" s="235"/>
      <c r="G112" s="235"/>
      <c r="H112" s="235"/>
      <c r="I112" s="235"/>
      <c r="J112" s="235"/>
      <c r="K112" s="235"/>
    </row>
    <row r="113" spans="1:11">
      <c r="A113" s="2"/>
      <c r="B113" s="281" t="s">
        <v>2890</v>
      </c>
      <c r="C113" s="235"/>
      <c r="D113" s="235"/>
      <c r="E113" s="235"/>
      <c r="F113" s="235"/>
      <c r="G113" s="235"/>
      <c r="H113" s="235"/>
      <c r="I113" s="235"/>
      <c r="J113" s="235"/>
      <c r="K113" s="235"/>
    </row>
    <row r="114" spans="1:11">
      <c r="A114" s="2"/>
    </row>
    <row r="115" spans="1:11">
      <c r="A115" s="2"/>
      <c r="C115" s="14"/>
      <c r="E115" s="6"/>
      <c r="F115" s="6"/>
      <c r="H115" s="6"/>
      <c r="J115" s="46"/>
    </row>
    <row r="116" spans="1:11">
      <c r="A116" s="2"/>
      <c r="C116" s="14"/>
      <c r="E116" s="6"/>
      <c r="F116" s="6"/>
      <c r="H116" s="6"/>
      <c r="J116" s="46"/>
    </row>
    <row r="117" spans="1:11">
      <c r="A117" s="32"/>
      <c r="C117" s="14"/>
      <c r="E117" s="6"/>
      <c r="F117" s="6"/>
      <c r="H117" s="6"/>
      <c r="J117" s="46"/>
    </row>
    <row r="118" spans="1:11">
      <c r="A118" s="2"/>
      <c r="D118" s="22"/>
      <c r="E118" s="6"/>
      <c r="F118" s="6"/>
      <c r="G118" s="235"/>
      <c r="H118" s="6"/>
      <c r="J118" s="46"/>
    </row>
    <row r="119" spans="1:11">
      <c r="A119" s="2"/>
      <c r="C119" s="14"/>
      <c r="D119" s="233"/>
      <c r="E119" s="53"/>
      <c r="F119" s="6"/>
      <c r="G119" s="235"/>
      <c r="H119" s="6"/>
      <c r="J119" s="46"/>
    </row>
    <row r="120" spans="1:11">
      <c r="A120" s="2"/>
      <c r="C120" s="14"/>
      <c r="D120" s="233"/>
      <c r="E120" s="6"/>
      <c r="F120" s="6"/>
      <c r="G120" s="235"/>
      <c r="H120" s="6"/>
      <c r="J120" s="46"/>
    </row>
    <row r="121" spans="1:11">
      <c r="A121" s="2"/>
    </row>
    <row r="122" spans="1:11">
      <c r="A122" s="2"/>
      <c r="B122" s="1"/>
    </row>
    <row r="123" spans="1:11">
      <c r="A123" s="2"/>
    </row>
    <row r="124" spans="1:11">
      <c r="A124" s="2"/>
    </row>
    <row r="125" spans="1:11">
      <c r="A125" s="2"/>
      <c r="F125" s="2"/>
    </row>
    <row r="126" spans="1:11">
      <c r="A126" s="2"/>
      <c r="F126" s="2"/>
    </row>
    <row r="127" spans="1:11">
      <c r="A127" s="2"/>
      <c r="D127" s="2"/>
      <c r="E127" s="2"/>
      <c r="F127" s="2"/>
      <c r="H127" s="2"/>
    </row>
    <row r="128" spans="1:11">
      <c r="A128" s="2"/>
      <c r="D128" s="2"/>
      <c r="E128" s="2"/>
      <c r="F128" s="2"/>
      <c r="G128" s="2"/>
      <c r="H128" s="4"/>
    </row>
    <row r="129" spans="1:8">
      <c r="A129" s="32"/>
      <c r="C129" s="18"/>
      <c r="D129" s="18"/>
      <c r="E129" s="3"/>
      <c r="F129" s="48"/>
      <c r="G129" s="3"/>
      <c r="H129" s="4"/>
    </row>
    <row r="130" spans="1:8">
      <c r="A130" s="2"/>
      <c r="C130" s="14"/>
      <c r="D130" s="17"/>
      <c r="E130" s="6"/>
      <c r="F130" s="6"/>
      <c r="G130" s="26"/>
      <c r="H130" s="6"/>
    </row>
    <row r="131" spans="1:8">
      <c r="A131" s="2"/>
      <c r="C131" s="14"/>
      <c r="D131" s="17"/>
      <c r="E131" s="6"/>
      <c r="F131" s="6"/>
      <c r="G131" s="26"/>
      <c r="H131" s="6"/>
    </row>
    <row r="132" spans="1:8">
      <c r="A132" s="2"/>
      <c r="C132" s="14"/>
      <c r="D132" s="17"/>
      <c r="E132" s="6"/>
      <c r="F132" s="6"/>
      <c r="G132" s="26"/>
      <c r="H132" s="6"/>
    </row>
    <row r="133" spans="1:8">
      <c r="A133" s="2"/>
      <c r="C133" s="14"/>
      <c r="D133" s="17"/>
      <c r="E133" s="6"/>
      <c r="F133" s="6"/>
      <c r="G133" s="26"/>
      <c r="H133" s="6"/>
    </row>
    <row r="134" spans="1:8">
      <c r="A134" s="2"/>
      <c r="C134" s="14"/>
      <c r="D134" s="17"/>
      <c r="E134" s="6"/>
      <c r="F134" s="6"/>
      <c r="G134" s="26"/>
      <c r="H134" s="6"/>
    </row>
    <row r="135" spans="1:8">
      <c r="A135" s="2"/>
      <c r="C135" s="14"/>
      <c r="D135" s="17"/>
      <c r="E135" s="6"/>
      <c r="F135" s="6"/>
      <c r="G135" s="26"/>
      <c r="H135" s="6"/>
    </row>
    <row r="136" spans="1:8">
      <c r="A136" s="2"/>
      <c r="C136" s="14"/>
      <c r="D136" s="17"/>
      <c r="E136" s="6"/>
      <c r="F136" s="6"/>
      <c r="G136" s="26"/>
      <c r="H136" s="6"/>
    </row>
    <row r="137" spans="1:8">
      <c r="A137" s="2"/>
      <c r="C137" s="14"/>
      <c r="D137" s="17"/>
      <c r="E137" s="6"/>
      <c r="F137" s="6"/>
      <c r="G137" s="26"/>
      <c r="H137" s="6"/>
    </row>
    <row r="138" spans="1:8">
      <c r="A138" s="2"/>
      <c r="C138" s="14"/>
      <c r="D138" s="17"/>
      <c r="E138" s="6"/>
      <c r="F138" s="6"/>
      <c r="G138" s="26"/>
      <c r="H138" s="6"/>
    </row>
    <row r="139" spans="1:8">
      <c r="A139" s="2"/>
      <c r="C139" s="14"/>
      <c r="D139" s="17"/>
      <c r="E139" s="6"/>
      <c r="F139" s="6"/>
      <c r="G139" s="26"/>
      <c r="H139" s="6"/>
    </row>
    <row r="140" spans="1:8">
      <c r="A140" s="2"/>
      <c r="C140" s="14"/>
      <c r="D140" s="17"/>
      <c r="E140" s="6"/>
      <c r="F140" s="6"/>
      <c r="G140" s="26"/>
      <c r="H140" s="6"/>
    </row>
    <row r="141" spans="1:8">
      <c r="A141" s="2"/>
      <c r="C141" s="14"/>
      <c r="D141" s="17"/>
      <c r="E141" s="6"/>
      <c r="F141" s="6"/>
      <c r="G141" s="26"/>
      <c r="H141" s="53"/>
    </row>
    <row r="142" spans="1:8">
      <c r="A142" s="2"/>
      <c r="H142" s="6"/>
    </row>
    <row r="143" spans="1:8">
      <c r="A143" s="2"/>
      <c r="C143" s="14"/>
      <c r="D143" s="17"/>
      <c r="F143" s="41"/>
      <c r="G143" s="26"/>
      <c r="H143" s="41"/>
    </row>
    <row r="144" spans="1:8">
      <c r="A144" s="2"/>
      <c r="B144" s="1"/>
      <c r="C144" s="14"/>
      <c r="D144" s="17"/>
      <c r="F144" s="41"/>
      <c r="G144" s="26"/>
      <c r="H144" s="41"/>
    </row>
    <row r="145" spans="1:8">
      <c r="A145" s="32"/>
      <c r="B145" s="1"/>
      <c r="C145" s="14"/>
      <c r="D145" s="17"/>
      <c r="F145" s="41"/>
      <c r="G145" s="26"/>
      <c r="H145" s="41"/>
    </row>
    <row r="146" spans="1:8">
      <c r="A146" s="2"/>
      <c r="C146" s="14"/>
      <c r="D146" s="49"/>
      <c r="E146" s="6"/>
      <c r="F146" s="252"/>
      <c r="G146" s="26"/>
      <c r="H146" s="41"/>
    </row>
    <row r="147" spans="1:8">
      <c r="A147" s="2"/>
      <c r="C147" s="14"/>
      <c r="D147" s="25"/>
      <c r="E147" s="6"/>
      <c r="F147" s="252"/>
      <c r="G147" s="26"/>
      <c r="H147" s="41"/>
    </row>
    <row r="148" spans="1:8">
      <c r="A148" s="2"/>
      <c r="C148" s="14"/>
      <c r="D148" s="25"/>
      <c r="E148" s="53"/>
      <c r="F148" s="252"/>
      <c r="G148" s="26"/>
      <c r="H148" s="41"/>
    </row>
    <row r="149" spans="1:8">
      <c r="A149" s="2"/>
      <c r="C149" s="14"/>
      <c r="D149" s="49"/>
      <c r="E149" s="6"/>
      <c r="F149" s="41"/>
      <c r="G149" s="26"/>
      <c r="H149" s="41"/>
    </row>
    <row r="150" spans="1:8">
      <c r="A150" s="2"/>
      <c r="C150" s="14"/>
      <c r="D150" s="17"/>
      <c r="F150" s="41"/>
      <c r="G150" s="26"/>
      <c r="H150" s="41"/>
    </row>
    <row r="151" spans="1:8">
      <c r="A151" s="2"/>
    </row>
    <row r="152" spans="1:8">
      <c r="A152" s="2"/>
    </row>
    <row r="153" spans="1:8">
      <c r="A153" s="2"/>
    </row>
    <row r="154" spans="1:8">
      <c r="A154" s="2"/>
      <c r="B154" s="1"/>
    </row>
    <row r="155" spans="1:8">
      <c r="A155" s="2"/>
      <c r="B155" s="235"/>
    </row>
    <row r="156" spans="1:8">
      <c r="A156" s="2"/>
      <c r="B156" s="235"/>
    </row>
    <row r="157" spans="1:8">
      <c r="A157" s="2"/>
      <c r="B157" s="235"/>
    </row>
    <row r="158" spans="1:8">
      <c r="A158" s="2"/>
    </row>
    <row r="159" spans="1:8">
      <c r="A159" s="2"/>
      <c r="B159" s="1"/>
    </row>
    <row r="160" spans="1:8">
      <c r="A160" s="2"/>
    </row>
    <row r="161" spans="1:6">
      <c r="A161" s="32"/>
      <c r="C161" s="18"/>
      <c r="D161" s="3"/>
    </row>
    <row r="162" spans="1:6">
      <c r="A162" s="2"/>
      <c r="C162" s="14"/>
      <c r="D162" s="80"/>
      <c r="F162" s="7"/>
    </row>
    <row r="163" spans="1:6">
      <c r="A163" s="2"/>
      <c r="C163" s="14"/>
      <c r="D163" s="80"/>
      <c r="F163" s="7"/>
    </row>
    <row r="164" spans="1:6">
      <c r="A164" s="2"/>
      <c r="C164" s="14"/>
      <c r="D164" s="80"/>
      <c r="F164" s="7"/>
    </row>
    <row r="165" spans="1:6">
      <c r="A165" s="2"/>
      <c r="C165" s="14"/>
      <c r="D165" s="80"/>
      <c r="F165" s="7"/>
    </row>
    <row r="166" spans="1:6">
      <c r="A166" s="2"/>
      <c r="C166" s="14"/>
      <c r="D166" s="80"/>
      <c r="F166" s="7"/>
    </row>
    <row r="167" spans="1:6">
      <c r="A167" s="2"/>
      <c r="C167" s="14"/>
      <c r="D167" s="80"/>
      <c r="F167" s="7"/>
    </row>
    <row r="168" spans="1:6">
      <c r="A168" s="2"/>
      <c r="C168" s="14"/>
      <c r="D168" s="80"/>
      <c r="F168" s="7"/>
    </row>
    <row r="169" spans="1:6">
      <c r="A169" s="2"/>
      <c r="C169" s="14"/>
      <c r="D169" s="80"/>
      <c r="F169" s="7"/>
    </row>
    <row r="170" spans="1:6">
      <c r="A170" s="2"/>
      <c r="C170" s="14"/>
      <c r="D170" s="80"/>
      <c r="F170" s="7"/>
    </row>
    <row r="171" spans="1:6">
      <c r="A171" s="2"/>
      <c r="C171" s="14"/>
      <c r="D171" s="80"/>
      <c r="F171" s="7"/>
    </row>
    <row r="172" spans="1:6">
      <c r="A172" s="2"/>
      <c r="C172" s="14"/>
      <c r="D172" s="80"/>
      <c r="F172" s="7"/>
    </row>
    <row r="173" spans="1:6">
      <c r="A173" s="2"/>
      <c r="C173" s="14"/>
      <c r="D173" s="81"/>
      <c r="F173" s="29"/>
    </row>
    <row r="174" spans="1:6">
      <c r="A174" s="2"/>
      <c r="C174" s="22"/>
      <c r="D174" s="80"/>
    </row>
  </sheetData>
  <phoneticPr fontId="23" type="noConversion"/>
  <pageMargins left="0.75" right="0.75" top="1" bottom="1" header="0.5" footer="0.5"/>
  <pageSetup scale="78" orientation="landscape" cellComments="asDisplayed" r:id="rId1"/>
  <headerFooter alignWithMargins="0">
    <oddHeader>&amp;CSchedule 4
True Up TRR
&amp;RTO2025 Annual Update 
Attachment 1</oddHeader>
    <oddFooter>&amp;R&amp;A</oddFooter>
  </headerFooter>
  <rowBreaks count="4" manualBreakCount="4">
    <brk id="46" max="16383" man="1"/>
    <brk id="75" max="16383" man="1"/>
    <brk id="121" max="9" man="1"/>
    <brk id="1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view="pageLayout" zoomScaleNormal="100" workbookViewId="0">
      <selection activeCell="I10" sqref="I9:I10"/>
    </sheetView>
  </sheetViews>
  <sheetFormatPr defaultColWidth="8.5703125" defaultRowHeight="12.75"/>
  <cols>
    <col min="1" max="1" width="4.5703125" customWidth="1"/>
    <col min="2" max="2" width="3.5703125" customWidth="1"/>
    <col min="4" max="4" width="13.5703125" customWidth="1"/>
    <col min="6" max="7" width="10.5703125" customWidth="1"/>
    <col min="9" max="9" width="27.5703125" customWidth="1"/>
    <col min="10" max="10" width="30.5703125" customWidth="1"/>
    <col min="11" max="11" width="2.5703125" customWidth="1"/>
    <col min="12" max="12" width="16.5703125" customWidth="1"/>
    <col min="13" max="13" width="1.5703125" customWidth="1"/>
    <col min="14" max="14" width="4.5703125" customWidth="1"/>
    <col min="15" max="28" width="14.5703125" customWidth="1"/>
  </cols>
  <sheetData>
    <row r="1" spans="1:28">
      <c r="A1" s="1" t="s">
        <v>537</v>
      </c>
      <c r="J1" s="54" t="s">
        <v>96</v>
      </c>
    </row>
    <row r="2" spans="1:28">
      <c r="B2" s="1"/>
      <c r="I2" s="2"/>
      <c r="J2" s="2" t="s">
        <v>98</v>
      </c>
      <c r="L2" s="127">
        <v>2023</v>
      </c>
    </row>
    <row r="3" spans="1:28">
      <c r="I3" s="3" t="s">
        <v>100</v>
      </c>
      <c r="J3" s="3" t="s">
        <v>101</v>
      </c>
      <c r="L3" s="3" t="s">
        <v>102</v>
      </c>
    </row>
    <row r="5" spans="1:28">
      <c r="A5" s="9" t="s">
        <v>145</v>
      </c>
      <c r="B5" s="63"/>
      <c r="C5" s="10"/>
      <c r="D5" s="10"/>
      <c r="E5" s="10"/>
      <c r="F5" s="10"/>
      <c r="G5" s="10"/>
      <c r="H5" s="10"/>
      <c r="I5" s="8"/>
      <c r="J5" s="8"/>
      <c r="K5" s="8"/>
      <c r="L5" s="8"/>
      <c r="N5" s="64"/>
      <c r="O5" s="65"/>
      <c r="P5" s="65"/>
      <c r="Q5" s="65"/>
      <c r="R5" s="65"/>
      <c r="S5" s="65"/>
      <c r="T5" s="65"/>
    </row>
    <row r="6" spans="1:28">
      <c r="B6" s="1"/>
      <c r="C6" s="235"/>
      <c r="D6" s="235"/>
      <c r="E6" s="235"/>
      <c r="F6" s="235"/>
      <c r="G6" s="235"/>
      <c r="H6" s="235"/>
      <c r="I6" s="235"/>
      <c r="J6" s="235"/>
      <c r="K6" s="235"/>
      <c r="L6" s="235"/>
      <c r="O6" s="48"/>
      <c r="P6" s="48"/>
      <c r="Q6" s="48"/>
      <c r="R6" s="48"/>
      <c r="S6" s="48"/>
      <c r="T6" s="48"/>
      <c r="U6" s="48"/>
      <c r="V6" s="48"/>
      <c r="W6" s="48"/>
      <c r="X6" s="48"/>
      <c r="Y6" s="48"/>
      <c r="Z6" s="48"/>
      <c r="AA6" s="48"/>
      <c r="AB6" s="48"/>
    </row>
    <row r="7" spans="1:28">
      <c r="A7" s="32" t="s">
        <v>99</v>
      </c>
      <c r="B7" s="1"/>
      <c r="C7" s="28" t="s">
        <v>538</v>
      </c>
      <c r="D7" s="235"/>
      <c r="E7" s="235"/>
      <c r="F7" s="235"/>
      <c r="G7" s="235"/>
      <c r="H7" s="235"/>
      <c r="I7" s="235"/>
      <c r="J7" s="235"/>
      <c r="K7" s="235"/>
      <c r="L7" s="235"/>
      <c r="N7" s="32"/>
      <c r="O7" s="25"/>
      <c r="P7" s="246"/>
      <c r="Q7" s="241"/>
      <c r="R7" s="241"/>
      <c r="S7" s="241"/>
      <c r="T7" s="241"/>
      <c r="U7" s="241"/>
      <c r="V7" s="241"/>
      <c r="W7" s="241"/>
      <c r="X7" s="241"/>
      <c r="Y7" s="241"/>
      <c r="Z7" s="241"/>
      <c r="AA7" s="241"/>
      <c r="AB7" s="241"/>
    </row>
    <row r="8" spans="1:28">
      <c r="A8" s="2">
        <v>1</v>
      </c>
      <c r="B8" s="1"/>
      <c r="C8" s="235" t="s">
        <v>539</v>
      </c>
      <c r="D8" s="235"/>
      <c r="E8" s="235"/>
      <c r="F8" s="235"/>
      <c r="G8" s="235"/>
      <c r="H8" s="235"/>
      <c r="I8" s="235" t="s">
        <v>540</v>
      </c>
      <c r="J8" s="234" t="str">
        <f>"5-ROR-2, Line "&amp;'5-ROR-2'!A8&amp;""</f>
        <v>5-ROR-2, Line 1</v>
      </c>
      <c r="K8" s="235"/>
      <c r="L8" s="237">
        <f>'5-ROR-2'!C8</f>
        <v>25771130769.18</v>
      </c>
      <c r="N8" s="2"/>
      <c r="O8" s="237"/>
      <c r="P8" s="237"/>
      <c r="Q8" s="237"/>
      <c r="R8" s="237"/>
      <c r="S8" s="237"/>
      <c r="T8" s="237"/>
      <c r="U8" s="237"/>
      <c r="V8" s="237"/>
      <c r="W8" s="237"/>
      <c r="X8" s="237"/>
      <c r="Y8" s="237"/>
      <c r="Z8" s="237"/>
      <c r="AA8" s="237"/>
      <c r="AB8" s="237"/>
    </row>
    <row r="9" spans="1:28">
      <c r="A9" s="2">
        <f>A8+1</f>
        <v>2</v>
      </c>
      <c r="B9" s="1"/>
      <c r="C9" s="235" t="s">
        <v>541</v>
      </c>
      <c r="D9" s="235"/>
      <c r="E9" s="235"/>
      <c r="F9" s="235"/>
      <c r="G9" s="235"/>
      <c r="H9" s="235"/>
      <c r="I9" s="235" t="s">
        <v>540</v>
      </c>
      <c r="J9" s="234" t="str">
        <f>"5-ROR-2, Line "&amp;'5-ROR-2'!A10&amp;""</f>
        <v>5-ROR-2, Line 2</v>
      </c>
      <c r="K9" s="235"/>
      <c r="L9" s="237">
        <f>'5-ROR-2'!C10</f>
        <v>0</v>
      </c>
      <c r="N9" s="2"/>
      <c r="O9" s="237"/>
      <c r="P9" s="237"/>
      <c r="Q9" s="237"/>
      <c r="R9" s="237"/>
      <c r="S9" s="237"/>
      <c r="T9" s="237"/>
      <c r="U9" s="237"/>
      <c r="V9" s="237"/>
      <c r="W9" s="237"/>
      <c r="X9" s="237"/>
      <c r="Y9" s="237"/>
      <c r="Z9" s="237"/>
      <c r="AA9" s="237"/>
      <c r="AB9" s="237"/>
    </row>
    <row r="10" spans="1:28">
      <c r="A10" s="2" t="s">
        <v>542</v>
      </c>
      <c r="B10" s="1"/>
      <c r="C10" s="235" t="s">
        <v>543</v>
      </c>
      <c r="D10" s="593"/>
      <c r="E10" s="593"/>
      <c r="F10" s="593"/>
      <c r="G10" s="593"/>
      <c r="H10" s="593"/>
      <c r="I10" s="235" t="s">
        <v>540</v>
      </c>
      <c r="J10" s="234" t="str">
        <f>"5-ROR-2, Line "&amp;'5-ROR-2'!A12&amp;""</f>
        <v>5-ROR-2, Line 2a</v>
      </c>
      <c r="K10" s="235"/>
      <c r="L10" s="237">
        <f>'5-ROR-2'!C12</f>
        <v>0</v>
      </c>
      <c r="N10" s="2"/>
      <c r="O10" s="237"/>
      <c r="P10" s="237"/>
      <c r="Q10" s="237"/>
      <c r="R10" s="237"/>
      <c r="S10" s="237"/>
      <c r="T10" s="237"/>
      <c r="U10" s="237"/>
      <c r="V10" s="237"/>
      <c r="W10" s="237"/>
      <c r="X10" s="237"/>
      <c r="Y10" s="237"/>
      <c r="Z10" s="237"/>
      <c r="AA10" s="237"/>
      <c r="AB10" s="237"/>
    </row>
    <row r="11" spans="1:28">
      <c r="A11" s="2">
        <f>A9+1</f>
        <v>3</v>
      </c>
      <c r="B11" s="1"/>
      <c r="C11" s="235" t="s">
        <v>544</v>
      </c>
      <c r="D11" s="235"/>
      <c r="E11" s="235"/>
      <c r="F11" s="235"/>
      <c r="G11" s="235"/>
      <c r="H11" s="235"/>
      <c r="I11" s="235" t="s">
        <v>540</v>
      </c>
      <c r="J11" s="234" t="str">
        <f>"5-ROR-2, Line "&amp;'5-ROR-2'!A14&amp;""</f>
        <v>5-ROR-2, Line 3</v>
      </c>
      <c r="K11" s="235"/>
      <c r="L11" s="237">
        <f>'5-ROR-2'!C14</f>
        <v>583065258.00153852</v>
      </c>
      <c r="N11" s="2"/>
      <c r="O11" s="237"/>
      <c r="P11" s="237"/>
      <c r="Q11" s="237"/>
      <c r="R11" s="237"/>
      <c r="S11" s="237"/>
      <c r="T11" s="237"/>
      <c r="U11" s="237"/>
      <c r="V11" s="237"/>
      <c r="W11" s="237"/>
      <c r="X11" s="237"/>
      <c r="Y11" s="237"/>
      <c r="Z11" s="237"/>
      <c r="AA11" s="237"/>
      <c r="AB11" s="237"/>
    </row>
    <row r="12" spans="1:28">
      <c r="A12" s="2">
        <v>4</v>
      </c>
      <c r="B12" s="1"/>
      <c r="C12" s="234" t="s">
        <v>147</v>
      </c>
      <c r="D12" s="235"/>
      <c r="E12" s="235"/>
      <c r="F12" s="235"/>
      <c r="G12" s="235"/>
      <c r="H12" s="235"/>
      <c r="J12" s="234" t="str">
        <f>"L"&amp;A8&amp;" + L"&amp;A9&amp;" + L"&amp;A10&amp;" + L"&amp;A11&amp;""</f>
        <v>L1 + L2 + L2a + L3</v>
      </c>
      <c r="K12" s="235"/>
      <c r="L12" s="878">
        <f>SUM(L8:L11)</f>
        <v>26354196027.181538</v>
      </c>
    </row>
    <row r="13" spans="1:28">
      <c r="B13" s="1"/>
      <c r="C13" s="235"/>
      <c r="D13" s="235"/>
      <c r="E13" s="235"/>
      <c r="F13" s="235"/>
      <c r="G13" s="235" t="s">
        <v>129</v>
      </c>
      <c r="H13" s="235"/>
      <c r="I13" s="235"/>
      <c r="J13" s="234"/>
      <c r="K13" s="235"/>
      <c r="L13" s="235"/>
    </row>
    <row r="14" spans="1:28">
      <c r="A14" s="2"/>
      <c r="B14" s="1"/>
      <c r="C14" s="28" t="s">
        <v>545</v>
      </c>
      <c r="D14" s="235"/>
      <c r="E14" s="235"/>
      <c r="F14" s="235"/>
      <c r="G14" s="235"/>
      <c r="H14" s="235"/>
      <c r="I14" s="235"/>
      <c r="J14" s="234"/>
      <c r="K14" s="235"/>
      <c r="L14" s="235"/>
    </row>
    <row r="15" spans="1:28">
      <c r="A15" s="2">
        <f>A12+1</f>
        <v>5</v>
      </c>
      <c r="B15" s="1"/>
      <c r="C15" s="235" t="s">
        <v>546</v>
      </c>
      <c r="D15" s="235"/>
      <c r="E15" s="235"/>
      <c r="F15" s="235"/>
      <c r="G15" s="235"/>
      <c r="H15" s="235"/>
      <c r="I15" s="235"/>
      <c r="J15" s="234" t="s">
        <v>547</v>
      </c>
      <c r="K15" s="235"/>
      <c r="L15" s="533">
        <v>1064954247</v>
      </c>
    </row>
    <row r="16" spans="1:28">
      <c r="A16" s="2">
        <f>A15+1</f>
        <v>6</v>
      </c>
      <c r="B16" s="1"/>
      <c r="C16" s="235" t="s">
        <v>548</v>
      </c>
      <c r="D16" s="235"/>
      <c r="E16" s="235"/>
      <c r="F16" s="235"/>
      <c r="G16" s="235"/>
      <c r="H16" s="235"/>
      <c r="I16" s="235"/>
      <c r="J16" s="234" t="s">
        <v>549</v>
      </c>
      <c r="K16" s="235"/>
      <c r="L16" s="533">
        <v>26985527</v>
      </c>
    </row>
    <row r="17" spans="1:28">
      <c r="A17" s="2">
        <f t="shared" ref="A17:A19" si="0">A16+1</f>
        <v>7</v>
      </c>
      <c r="B17" s="1"/>
      <c r="C17" s="235" t="s">
        <v>550</v>
      </c>
      <c r="D17" s="235"/>
      <c r="E17" s="235"/>
      <c r="F17" s="235"/>
      <c r="G17" s="235"/>
      <c r="H17" s="235"/>
      <c r="I17" s="235"/>
      <c r="J17" s="234" t="s">
        <v>551</v>
      </c>
      <c r="K17" s="235"/>
      <c r="L17" s="533">
        <v>11401520</v>
      </c>
    </row>
    <row r="18" spans="1:28">
      <c r="A18" s="2">
        <f t="shared" si="0"/>
        <v>8</v>
      </c>
      <c r="B18" s="1"/>
      <c r="C18" s="235" t="s">
        <v>552</v>
      </c>
      <c r="D18" s="235"/>
      <c r="E18" s="235"/>
      <c r="F18" s="235"/>
      <c r="G18" s="235"/>
      <c r="H18" s="235"/>
      <c r="I18" s="235" t="s">
        <v>553</v>
      </c>
      <c r="J18" s="234" t="s">
        <v>554</v>
      </c>
      <c r="K18" s="235"/>
      <c r="L18" s="533">
        <v>-6869096</v>
      </c>
    </row>
    <row r="19" spans="1:28">
      <c r="A19" s="2">
        <f t="shared" si="0"/>
        <v>9</v>
      </c>
      <c r="B19" s="1"/>
      <c r="C19" s="235" t="s">
        <v>555</v>
      </c>
      <c r="D19" s="235"/>
      <c r="E19" s="235"/>
      <c r="F19" s="235"/>
      <c r="G19" s="235"/>
      <c r="H19" s="235"/>
      <c r="I19" s="235" t="s">
        <v>553</v>
      </c>
      <c r="J19" s="234" t="s">
        <v>556</v>
      </c>
      <c r="K19" s="235"/>
      <c r="L19" s="533">
        <v>0</v>
      </c>
    </row>
    <row r="20" spans="1:28">
      <c r="A20" s="2">
        <v>10</v>
      </c>
      <c r="B20" s="1"/>
      <c r="C20" s="235" t="s">
        <v>557</v>
      </c>
      <c r="D20" s="235"/>
      <c r="E20" s="235"/>
      <c r="F20" s="235"/>
      <c r="G20" s="235"/>
      <c r="H20" s="235"/>
      <c r="I20" s="235"/>
      <c r="J20" s="234" t="s">
        <v>558</v>
      </c>
      <c r="K20" s="235"/>
      <c r="L20" s="533">
        <v>0</v>
      </c>
    </row>
    <row r="21" spans="1:28">
      <c r="A21" s="2">
        <v>11</v>
      </c>
      <c r="B21" s="1"/>
      <c r="C21" s="234" t="s">
        <v>148</v>
      </c>
      <c r="D21" s="235"/>
      <c r="E21" s="235"/>
      <c r="F21" s="235"/>
      <c r="G21" s="235"/>
      <c r="H21" s="235"/>
      <c r="J21" s="234" t="str">
        <f>"Sum of Lines "&amp;A15&amp;" to "&amp;A20&amp;""</f>
        <v>Sum of Lines 5 to 10</v>
      </c>
      <c r="K21" s="235"/>
      <c r="L21" s="878">
        <f>SUM(L15:L20)</f>
        <v>1096472198</v>
      </c>
    </row>
    <row r="22" spans="1:28">
      <c r="B22" s="1"/>
      <c r="C22" s="235"/>
      <c r="D22" s="235"/>
      <c r="E22" s="235"/>
      <c r="F22" s="235"/>
      <c r="G22" s="235"/>
      <c r="H22" s="235"/>
      <c r="I22" s="235"/>
      <c r="J22" s="234"/>
      <c r="K22" s="235"/>
      <c r="L22" s="235"/>
    </row>
    <row r="23" spans="1:28">
      <c r="A23" s="2">
        <f>A21+1</f>
        <v>12</v>
      </c>
      <c r="B23" s="1"/>
      <c r="C23" s="235" t="s">
        <v>559</v>
      </c>
      <c r="D23" s="235"/>
      <c r="E23" s="235"/>
      <c r="F23" s="235"/>
      <c r="G23" s="235"/>
      <c r="H23" s="235"/>
      <c r="J23" s="234" t="str">
        <f>"Line "&amp;A21&amp;" / Line "&amp;A12&amp;""</f>
        <v>Line 11 / Line 4</v>
      </c>
      <c r="K23" s="235"/>
      <c r="L23" s="205">
        <f>L21/L12</f>
        <v>4.1605222821789217E-2</v>
      </c>
    </row>
    <row r="24" spans="1:28">
      <c r="A24" s="2"/>
      <c r="B24" s="1"/>
      <c r="C24" s="235"/>
      <c r="D24" s="235"/>
      <c r="E24" s="235"/>
      <c r="F24" s="235"/>
      <c r="G24" s="235"/>
      <c r="H24" s="235"/>
      <c r="J24" s="234"/>
      <c r="K24" s="235"/>
      <c r="L24" s="205"/>
    </row>
    <row r="25" spans="1:28">
      <c r="B25" s="1"/>
      <c r="C25" s="28" t="s">
        <v>560</v>
      </c>
      <c r="D25" s="235"/>
      <c r="E25" s="235"/>
      <c r="F25" s="235"/>
      <c r="G25" s="235"/>
      <c r="H25" s="235"/>
      <c r="I25" s="235"/>
      <c r="J25" s="234"/>
      <c r="K25" s="235"/>
      <c r="L25" s="235"/>
    </row>
    <row r="26" spans="1:28">
      <c r="A26" s="2">
        <f>A23+1</f>
        <v>13</v>
      </c>
      <c r="B26" s="1"/>
      <c r="C26" s="235" t="s">
        <v>561</v>
      </c>
      <c r="D26" s="235"/>
      <c r="E26" s="235"/>
      <c r="F26" s="235"/>
      <c r="G26" s="235"/>
      <c r="H26" s="235"/>
      <c r="I26" s="235" t="s">
        <v>540</v>
      </c>
      <c r="J26" s="234" t="str">
        <f>"5-ROR-2, Line "&amp;'5-ROR-2'!A16&amp;""</f>
        <v>5-ROR-2, Line 4</v>
      </c>
      <c r="K26" s="235"/>
      <c r="L26" s="237">
        <f>'5-ROR-2'!C16</f>
        <v>2029666923.0769231</v>
      </c>
      <c r="N26" s="2"/>
      <c r="O26" s="237"/>
      <c r="P26" s="237"/>
      <c r="Q26" s="237"/>
      <c r="R26" s="237"/>
      <c r="S26" s="237"/>
      <c r="T26" s="237"/>
      <c r="U26" s="237"/>
      <c r="V26" s="237"/>
      <c r="W26" s="237"/>
      <c r="X26" s="237"/>
      <c r="Y26" s="237"/>
      <c r="Z26" s="237"/>
      <c r="AA26" s="237"/>
      <c r="AB26" s="237"/>
    </row>
    <row r="27" spans="1:28">
      <c r="A27" s="2">
        <f t="shared" ref="A27:A28" si="1">A26+1</f>
        <v>14</v>
      </c>
      <c r="B27" s="1"/>
      <c r="C27" s="235" t="s">
        <v>562</v>
      </c>
      <c r="D27" s="235"/>
      <c r="E27" s="235"/>
      <c r="F27" s="235"/>
      <c r="G27" s="235"/>
      <c r="H27" s="235"/>
      <c r="I27" s="235" t="s">
        <v>540</v>
      </c>
      <c r="J27" s="234" t="str">
        <f>"5-ROR-2, Line "&amp;'5-ROR-2'!A18&amp;""</f>
        <v>5-ROR-2, Line 5</v>
      </c>
      <c r="K27" s="235"/>
      <c r="L27" s="237">
        <f>'5-ROR-2'!C18</f>
        <v>-18407581.010897405</v>
      </c>
      <c r="N27" s="2"/>
      <c r="O27" s="237"/>
      <c r="P27" s="237"/>
      <c r="Q27" s="237"/>
      <c r="R27" s="237"/>
      <c r="S27" s="237"/>
      <c r="T27" s="237"/>
      <c r="U27" s="237"/>
      <c r="V27" s="237"/>
      <c r="W27" s="237"/>
      <c r="X27" s="237"/>
      <c r="Y27" s="237"/>
      <c r="Z27" s="237"/>
      <c r="AA27" s="237"/>
      <c r="AB27" s="237"/>
    </row>
    <row r="28" spans="1:28">
      <c r="A28" s="2">
        <f t="shared" si="1"/>
        <v>15</v>
      </c>
      <c r="B28" s="1"/>
      <c r="C28" s="235" t="s">
        <v>563</v>
      </c>
      <c r="D28" s="235"/>
      <c r="E28" s="235"/>
      <c r="F28" s="235"/>
      <c r="G28" s="235"/>
      <c r="H28" s="235"/>
      <c r="I28" s="235" t="s">
        <v>540</v>
      </c>
      <c r="J28" s="234" t="str">
        <f>"5-ROR-2, Line "&amp;'5-ROR-2'!A20&amp;""</f>
        <v>5-ROR-2, Line 6</v>
      </c>
      <c r="K28" s="235"/>
      <c r="L28" s="661">
        <f>'5-ROR-2'!C20</f>
        <v>-24468652.689093512</v>
      </c>
      <c r="N28" s="2"/>
      <c r="O28" s="237"/>
      <c r="P28" s="237"/>
      <c r="Q28" s="237"/>
      <c r="R28" s="237"/>
      <c r="S28" s="237"/>
      <c r="T28" s="237"/>
      <c r="U28" s="237"/>
      <c r="V28" s="237"/>
      <c r="W28" s="237"/>
      <c r="X28" s="237"/>
      <c r="Y28" s="237"/>
      <c r="Z28" s="237"/>
      <c r="AA28" s="237"/>
      <c r="AB28" s="237"/>
    </row>
    <row r="29" spans="1:28">
      <c r="A29" s="2">
        <f>A28+1</f>
        <v>16</v>
      </c>
      <c r="B29" s="1"/>
      <c r="C29" s="234" t="s">
        <v>151</v>
      </c>
      <c r="D29" s="235"/>
      <c r="E29" s="235"/>
      <c r="F29" s="235"/>
      <c r="G29" s="235"/>
      <c r="H29" s="235"/>
      <c r="I29" s="235"/>
      <c r="J29" s="234" t="str">
        <f>"Sum of Lines "&amp;A26&amp;" to "&amp;A28&amp;""</f>
        <v>Sum of Lines 13 to 15</v>
      </c>
      <c r="K29" s="235"/>
      <c r="L29" s="237">
        <f>SUM(L26:L28)</f>
        <v>1986790689.3769321</v>
      </c>
    </row>
    <row r="30" spans="1:28">
      <c r="A30" s="2"/>
      <c r="B30" s="1"/>
      <c r="C30" s="235"/>
      <c r="D30" s="235"/>
      <c r="E30" s="235"/>
      <c r="F30" s="235"/>
      <c r="G30" s="235"/>
      <c r="H30" s="235"/>
      <c r="I30" s="235"/>
      <c r="J30" s="234"/>
      <c r="K30" s="235"/>
      <c r="L30" s="237"/>
    </row>
    <row r="31" spans="1:28">
      <c r="A31" s="2"/>
      <c r="B31" s="1"/>
      <c r="C31" s="28" t="s">
        <v>564</v>
      </c>
      <c r="D31" s="235"/>
      <c r="E31" s="235"/>
      <c r="F31" s="235"/>
      <c r="G31" s="235"/>
      <c r="H31" s="235"/>
      <c r="I31" s="235"/>
      <c r="J31" s="234"/>
      <c r="K31" s="235"/>
      <c r="L31" s="237"/>
    </row>
    <row r="32" spans="1:28">
      <c r="A32" s="2">
        <f>A29+1</f>
        <v>17</v>
      </c>
      <c r="B32" s="1"/>
      <c r="C32" s="235" t="s">
        <v>565</v>
      </c>
      <c r="D32" s="235"/>
      <c r="E32" s="235"/>
      <c r="F32" s="235"/>
      <c r="G32" s="235"/>
      <c r="H32" s="235"/>
      <c r="I32" s="235" t="s">
        <v>566</v>
      </c>
      <c r="J32" s="234" t="s">
        <v>567</v>
      </c>
      <c r="K32" s="235"/>
      <c r="L32" s="533">
        <v>122596521</v>
      </c>
    </row>
    <row r="33" spans="1:28">
      <c r="A33" s="2">
        <f>A32+1</f>
        <v>18</v>
      </c>
      <c r="B33" s="1"/>
      <c r="C33" s="235" t="s">
        <v>568</v>
      </c>
      <c r="D33" s="235"/>
      <c r="E33" s="235"/>
      <c r="F33" s="235"/>
      <c r="G33" s="235"/>
      <c r="H33" s="235"/>
      <c r="I33" s="235"/>
      <c r="J33" s="234" t="s">
        <v>569</v>
      </c>
      <c r="K33" s="235"/>
      <c r="L33" s="237">
        <f>'5-ROR-2'!H65</f>
        <v>1819324.5717344894</v>
      </c>
    </row>
    <row r="34" spans="1:28">
      <c r="A34" s="2">
        <f>A33+1</f>
        <v>19</v>
      </c>
      <c r="B34" s="1"/>
      <c r="C34" s="235" t="s">
        <v>570</v>
      </c>
      <c r="D34" s="235"/>
      <c r="E34" s="235"/>
      <c r="F34" s="235"/>
      <c r="G34" s="235"/>
      <c r="H34" s="235"/>
      <c r="I34" s="235"/>
      <c r="J34" s="234" t="s">
        <v>339</v>
      </c>
      <c r="K34" s="235"/>
      <c r="L34" s="237">
        <f>'5-ROR-2'!I50</f>
        <v>2651567.0666666664</v>
      </c>
    </row>
    <row r="35" spans="1:28">
      <c r="A35" s="2">
        <f t="shared" ref="A35" si="2">A34+1</f>
        <v>20</v>
      </c>
      <c r="B35" s="1"/>
      <c r="C35" s="234" t="s">
        <v>565</v>
      </c>
      <c r="D35" s="235"/>
      <c r="E35" s="235"/>
      <c r="F35" s="235"/>
      <c r="G35" s="235"/>
      <c r="H35" s="235"/>
      <c r="J35" s="234" t="str">
        <f>"Sum of Lines "&amp;A32&amp;" to "&amp;A34&amp;""</f>
        <v>Sum of Lines 17 to 19</v>
      </c>
      <c r="K35" s="235"/>
      <c r="L35" s="878">
        <f>SUM(L32:L34)</f>
        <v>127067412.63840115</v>
      </c>
    </row>
    <row r="36" spans="1:28">
      <c r="B36" s="1"/>
      <c r="C36" s="235"/>
      <c r="D36" s="235"/>
      <c r="E36" s="235"/>
      <c r="F36" s="235"/>
      <c r="G36" s="235"/>
      <c r="H36" s="235"/>
      <c r="I36" s="235"/>
      <c r="J36" s="234"/>
      <c r="K36" s="235"/>
      <c r="L36" s="237"/>
    </row>
    <row r="37" spans="1:28">
      <c r="A37" s="2">
        <f>A35+1</f>
        <v>21</v>
      </c>
      <c r="B37" s="1"/>
      <c r="C37" s="235" t="s">
        <v>153</v>
      </c>
      <c r="D37" s="235"/>
      <c r="E37" s="235"/>
      <c r="F37" s="235"/>
      <c r="G37" s="235"/>
      <c r="H37" s="235"/>
      <c r="J37" s="234" t="str">
        <f>"Line "&amp;A35&amp;" / Line "&amp;A29&amp;""</f>
        <v>Line 20 / Line 16</v>
      </c>
      <c r="K37" s="235"/>
      <c r="L37" s="205">
        <f>L35/L29</f>
        <v>6.3956114409943282E-2</v>
      </c>
    </row>
    <row r="38" spans="1:28">
      <c r="B38" s="1"/>
      <c r="C38" s="235"/>
      <c r="D38" s="235"/>
      <c r="E38" s="235"/>
      <c r="F38" s="235"/>
      <c r="G38" s="235"/>
      <c r="H38" s="235"/>
      <c r="I38" s="235"/>
      <c r="J38" s="234"/>
      <c r="K38" s="235"/>
      <c r="L38" s="235"/>
    </row>
    <row r="39" spans="1:28">
      <c r="B39" s="1"/>
      <c r="C39" s="28" t="s">
        <v>571</v>
      </c>
      <c r="D39" s="235"/>
      <c r="E39" s="235"/>
      <c r="F39" s="235"/>
      <c r="G39" s="235"/>
      <c r="H39" s="235"/>
      <c r="I39" s="607"/>
      <c r="J39" s="234"/>
      <c r="K39" s="235"/>
      <c r="L39" s="235"/>
    </row>
    <row r="40" spans="1:28">
      <c r="A40" s="2">
        <f>A37+1</f>
        <v>22</v>
      </c>
      <c r="B40" s="1"/>
      <c r="C40" s="235" t="s">
        <v>572</v>
      </c>
      <c r="D40" s="235"/>
      <c r="E40" s="235"/>
      <c r="F40" s="235"/>
      <c r="G40" s="235"/>
      <c r="H40" s="235"/>
      <c r="I40" s="235" t="s">
        <v>540</v>
      </c>
      <c r="J40" s="234" t="str">
        <f>"5-ROR-2, Line "&amp;'5-ROR-2'!A22&amp;""</f>
        <v>5-ROR-2, Line 7</v>
      </c>
      <c r="K40" s="235"/>
      <c r="L40" s="237">
        <f>'5-ROR-2'!C22</f>
        <v>20968285175.438847</v>
      </c>
      <c r="N40" s="2"/>
      <c r="O40" s="237"/>
      <c r="P40" s="237"/>
      <c r="Q40" s="237"/>
      <c r="R40" s="237"/>
      <c r="S40" s="237"/>
      <c r="T40" s="237"/>
      <c r="U40" s="237"/>
      <c r="V40" s="237"/>
      <c r="W40" s="237"/>
      <c r="X40" s="237"/>
      <c r="Y40" s="237"/>
      <c r="Z40" s="237"/>
      <c r="AA40" s="237"/>
      <c r="AB40" s="237"/>
    </row>
    <row r="41" spans="1:28">
      <c r="A41" s="2">
        <f>A40+1</f>
        <v>23</v>
      </c>
      <c r="B41" s="1"/>
      <c r="C41" s="235" t="s">
        <v>573</v>
      </c>
      <c r="D41" s="235"/>
      <c r="E41" s="235"/>
      <c r="F41" s="235"/>
      <c r="G41" s="235"/>
      <c r="H41" s="235"/>
      <c r="I41" s="235" t="str">
        <f>"Same as L "&amp;A26&amp;", but negative"</f>
        <v>Same as L 13, but negative</v>
      </c>
      <c r="J41" s="234" t="str">
        <f>"5-ROR-2, Line "&amp;'5-ROR-2'!A16&amp;""</f>
        <v>5-ROR-2, Line 4</v>
      </c>
      <c r="K41" s="235"/>
      <c r="L41" s="237">
        <f>-'5-ROR-2'!C16</f>
        <v>-2029666923.0769231</v>
      </c>
      <c r="N41" s="2"/>
      <c r="O41" s="237"/>
      <c r="P41" s="237"/>
      <c r="Q41" s="237"/>
      <c r="R41" s="237"/>
      <c r="S41" s="237"/>
      <c r="T41" s="237"/>
      <c r="U41" s="237"/>
      <c r="V41" s="237"/>
      <c r="W41" s="237"/>
      <c r="X41" s="237"/>
      <c r="Y41" s="237"/>
      <c r="Z41" s="237"/>
      <c r="AA41" s="237"/>
      <c r="AB41" s="237"/>
    </row>
    <row r="42" spans="1:28">
      <c r="A42" s="2">
        <f t="shared" ref="A42:A44" si="3">A41+1</f>
        <v>24</v>
      </c>
      <c r="B42" s="1"/>
      <c r="C42" s="235" t="s">
        <v>574</v>
      </c>
      <c r="D42" s="235"/>
      <c r="E42" s="235"/>
      <c r="F42" s="235"/>
      <c r="G42" s="235"/>
      <c r="H42" s="235"/>
      <c r="I42" s="235" t="str">
        <f>"Same as L "&amp;A28&amp;", but reverse sign"</f>
        <v>Same as L 15, but reverse sign</v>
      </c>
      <c r="J42" s="234" t="s">
        <v>340</v>
      </c>
      <c r="K42" s="235"/>
      <c r="L42" s="237">
        <f>-L28</f>
        <v>24468652.689093512</v>
      </c>
      <c r="N42" s="2"/>
      <c r="O42" s="237"/>
      <c r="P42" s="237"/>
      <c r="Q42" s="237"/>
      <c r="R42" s="237"/>
      <c r="S42" s="237"/>
      <c r="T42" s="237"/>
      <c r="U42" s="237"/>
      <c r="V42" s="237"/>
      <c r="W42" s="237"/>
      <c r="X42" s="237"/>
      <c r="Y42" s="237"/>
      <c r="Z42" s="237"/>
      <c r="AA42" s="237"/>
      <c r="AB42" s="237"/>
    </row>
    <row r="43" spans="1:28">
      <c r="A43" s="2">
        <f t="shared" si="3"/>
        <v>25</v>
      </c>
      <c r="B43" s="1"/>
      <c r="C43" s="235" t="s">
        <v>575</v>
      </c>
      <c r="D43" s="235"/>
      <c r="E43" s="235"/>
      <c r="F43" s="235"/>
      <c r="G43" s="235"/>
      <c r="H43" s="235"/>
      <c r="I43" s="235" t="s">
        <v>540</v>
      </c>
      <c r="J43" s="234" t="str">
        <f>"5-ROR-2, Line "&amp;'5-ROR-2'!A24&amp;""</f>
        <v>5-ROR-2, Line 8</v>
      </c>
      <c r="K43" s="235"/>
      <c r="L43" s="237">
        <f>'5-ROR-2'!C24</f>
        <v>2631008.1899999995</v>
      </c>
      <c r="N43" s="2"/>
      <c r="O43" s="237"/>
      <c r="P43" s="237"/>
      <c r="Q43" s="237"/>
      <c r="R43" s="237"/>
      <c r="S43" s="237"/>
      <c r="T43" s="237"/>
      <c r="U43" s="237"/>
      <c r="V43" s="237"/>
      <c r="W43" s="237"/>
      <c r="X43" s="237"/>
      <c r="Y43" s="237"/>
      <c r="Z43" s="237"/>
      <c r="AA43" s="237"/>
      <c r="AB43" s="237"/>
    </row>
    <row r="44" spans="1:28">
      <c r="A44" s="2">
        <f t="shared" si="3"/>
        <v>26</v>
      </c>
      <c r="B44" s="1"/>
      <c r="C44" s="235" t="s">
        <v>576</v>
      </c>
      <c r="D44" s="235"/>
      <c r="E44" s="235"/>
      <c r="F44" s="235"/>
      <c r="G44" s="235"/>
      <c r="H44" s="235"/>
      <c r="I44" s="235" t="s">
        <v>540</v>
      </c>
      <c r="J44" s="234" t="str">
        <f>"5-ROR-2, Line "&amp;'5-ROR-2'!A26&amp;""</f>
        <v>5-ROR-2, Line 9</v>
      </c>
      <c r="K44" s="235"/>
      <c r="L44" s="237">
        <f>'5-ROR-2'!C26</f>
        <v>8090860.4769230764</v>
      </c>
      <c r="N44" s="2"/>
      <c r="O44" s="237"/>
      <c r="P44" s="237"/>
      <c r="Q44" s="237"/>
      <c r="R44" s="237"/>
      <c r="S44" s="237"/>
      <c r="T44" s="237"/>
      <c r="U44" s="237"/>
      <c r="V44" s="237"/>
      <c r="W44" s="237"/>
      <c r="X44" s="237"/>
      <c r="Y44" s="237"/>
      <c r="Z44" s="237"/>
      <c r="AA44" s="237"/>
      <c r="AB44" s="237"/>
    </row>
    <row r="45" spans="1:28">
      <c r="A45" s="2">
        <f>A44+1</f>
        <v>27</v>
      </c>
      <c r="B45" s="1"/>
      <c r="C45" s="235" t="s">
        <v>155</v>
      </c>
      <c r="D45" s="235"/>
      <c r="E45" s="235"/>
      <c r="F45" s="235"/>
      <c r="G45" s="235"/>
      <c r="H45" s="235"/>
      <c r="I45" s="235"/>
      <c r="J45" s="234" t="str">
        <f>"Sum of Lines "&amp;A40&amp;" to "&amp;A44&amp;""</f>
        <v>Sum of Lines 22 to 26</v>
      </c>
      <c r="K45" s="235"/>
      <c r="L45" s="878">
        <f>SUM(L40:L44)</f>
        <v>18973808773.717941</v>
      </c>
    </row>
    <row r="46" spans="1:28">
      <c r="A46" s="2"/>
      <c r="B46" s="1"/>
      <c r="C46" s="235"/>
      <c r="D46" s="235"/>
      <c r="E46" s="235"/>
      <c r="F46" s="235"/>
      <c r="G46" s="235"/>
      <c r="H46" s="235"/>
      <c r="I46" s="235"/>
      <c r="J46" s="234"/>
      <c r="K46" s="235"/>
      <c r="L46" s="237"/>
    </row>
    <row r="47" spans="1:28">
      <c r="B47" s="30" t="s">
        <v>226</v>
      </c>
      <c r="C47" s="235"/>
      <c r="D47" s="235"/>
      <c r="E47" s="235"/>
      <c r="F47" s="235"/>
      <c r="G47" s="235"/>
      <c r="H47" s="235"/>
      <c r="I47" s="235"/>
      <c r="J47" s="235"/>
      <c r="K47" s="235"/>
      <c r="L47" s="235"/>
    </row>
    <row r="48" spans="1:28">
      <c r="B48" s="235" t="s">
        <v>577</v>
      </c>
      <c r="J48" s="235"/>
    </row>
    <row r="49" spans="2:2">
      <c r="B49" s="235" t="s">
        <v>578</v>
      </c>
    </row>
    <row r="50" spans="2:2">
      <c r="B50" s="245" t="str">
        <f>"3) Negative of Line "&amp;A28&amp;""&amp;", charge to common equity reversed for ratemaking."</f>
        <v>3) Negative of Line 15, charge to common equity reversed for ratemaking.</v>
      </c>
    </row>
    <row r="51" spans="2:2">
      <c r="B51" s="235"/>
    </row>
    <row r="52" spans="2:2">
      <c r="B52" s="234"/>
    </row>
    <row r="53" spans="2:2">
      <c r="B53" s="235"/>
    </row>
    <row r="54" spans="2:2">
      <c r="B54" s="234"/>
    </row>
  </sheetData>
  <pageMargins left="0.7" right="0.7" top="0.75" bottom="0.75" header="0.3" footer="0.3"/>
  <pageSetup scale="55" orientation="landscape" r:id="rId1"/>
  <headerFooter>
    <oddHeader>&amp;CSchedule 5 ROR-1
Return and Capitalization&amp;RTO2025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heetViews>
  <sheetFormatPr defaultColWidth="8.5703125" defaultRowHeight="12.75"/>
  <cols>
    <col min="1" max="1" width="4.5703125" customWidth="1"/>
    <col min="2" max="2" width="6.42578125" customWidth="1"/>
    <col min="3" max="3" width="15.5703125" customWidth="1"/>
    <col min="4" max="4" width="16.42578125" customWidth="1"/>
    <col min="5" max="15" width="14.5703125" customWidth="1"/>
    <col min="16" max="16" width="15.42578125" bestFit="1" customWidth="1"/>
  </cols>
  <sheetData>
    <row r="1" spans="1:17">
      <c r="A1" s="1" t="s">
        <v>579</v>
      </c>
      <c r="B1" s="1"/>
    </row>
    <row r="2" spans="1:17">
      <c r="A2" s="2" t="s">
        <v>580</v>
      </c>
      <c r="B2" s="534">
        <v>2023</v>
      </c>
      <c r="D2" s="39" t="s">
        <v>193</v>
      </c>
      <c r="E2" s="242" t="s">
        <v>581</v>
      </c>
      <c r="F2" s="195"/>
    </row>
    <row r="3" spans="1:17">
      <c r="C3" s="48" t="s">
        <v>329</v>
      </c>
      <c r="D3" s="48" t="s">
        <v>330</v>
      </c>
      <c r="E3" s="48" t="s">
        <v>331</v>
      </c>
      <c r="F3" s="48" t="s">
        <v>332</v>
      </c>
      <c r="G3" s="48" t="s">
        <v>333</v>
      </c>
      <c r="H3" s="48" t="s">
        <v>334</v>
      </c>
      <c r="I3" s="48" t="s">
        <v>335</v>
      </c>
      <c r="J3" s="48" t="s">
        <v>336</v>
      </c>
      <c r="K3" s="48" t="s">
        <v>337</v>
      </c>
      <c r="L3" s="48" t="s">
        <v>582</v>
      </c>
      <c r="M3" s="48" t="s">
        <v>583</v>
      </c>
      <c r="N3" s="48" t="s">
        <v>584</v>
      </c>
      <c r="O3" s="48" t="s">
        <v>585</v>
      </c>
      <c r="P3" s="48" t="s">
        <v>586</v>
      </c>
    </row>
    <row r="4" spans="1:17">
      <c r="A4" s="3" t="s">
        <v>99</v>
      </c>
      <c r="B4" s="3" t="s">
        <v>245</v>
      </c>
      <c r="C4" s="25" t="s">
        <v>466</v>
      </c>
      <c r="D4" s="246" t="s">
        <v>372</v>
      </c>
      <c r="E4" s="241" t="s">
        <v>374</v>
      </c>
      <c r="F4" s="241" t="s">
        <v>375</v>
      </c>
      <c r="G4" s="241" t="s">
        <v>376</v>
      </c>
      <c r="H4" s="241" t="s">
        <v>377</v>
      </c>
      <c r="I4" s="241" t="s">
        <v>378</v>
      </c>
      <c r="J4" s="241" t="s">
        <v>587</v>
      </c>
      <c r="K4" s="241" t="s">
        <v>380</v>
      </c>
      <c r="L4" s="241" t="s">
        <v>381</v>
      </c>
      <c r="M4" s="241" t="s">
        <v>382</v>
      </c>
      <c r="N4" s="241" t="s">
        <v>383</v>
      </c>
      <c r="O4" s="241" t="s">
        <v>384</v>
      </c>
      <c r="P4" s="241" t="s">
        <v>372</v>
      </c>
    </row>
    <row r="5" spans="1:17">
      <c r="A5" s="3"/>
      <c r="B5" s="3"/>
      <c r="C5" s="241" t="s">
        <v>588</v>
      </c>
      <c r="D5" s="246"/>
      <c r="E5" s="241"/>
      <c r="F5" s="241"/>
      <c r="G5" s="241"/>
      <c r="H5" s="241"/>
      <c r="I5" s="241"/>
      <c r="J5" s="241"/>
      <c r="K5" s="241"/>
      <c r="L5" s="241"/>
      <c r="M5" s="241"/>
      <c r="N5" s="241"/>
      <c r="O5" s="241"/>
      <c r="P5" s="241"/>
    </row>
    <row r="6" spans="1:17">
      <c r="A6" s="32"/>
      <c r="B6" s="32"/>
      <c r="C6" s="25"/>
      <c r="D6" s="246"/>
      <c r="E6" s="241"/>
      <c r="F6" s="241"/>
      <c r="G6" s="241"/>
      <c r="H6" s="241"/>
      <c r="I6" s="241"/>
      <c r="J6" s="241"/>
      <c r="K6" s="241"/>
      <c r="L6" s="241"/>
      <c r="M6" s="241"/>
      <c r="N6" s="241"/>
      <c r="O6" s="241"/>
      <c r="P6" s="241"/>
    </row>
    <row r="7" spans="1:17">
      <c r="B7" s="1" t="s">
        <v>589</v>
      </c>
      <c r="D7" s="246"/>
      <c r="E7" s="241"/>
      <c r="F7" s="241"/>
      <c r="G7" s="241"/>
      <c r="H7" s="241"/>
      <c r="I7" s="241"/>
      <c r="J7" s="241"/>
      <c r="K7" s="241"/>
      <c r="L7" s="241"/>
      <c r="M7" s="241"/>
      <c r="N7" s="241"/>
      <c r="O7" s="241"/>
      <c r="P7" s="241"/>
    </row>
    <row r="8" spans="1:17">
      <c r="A8" s="2">
        <v>1</v>
      </c>
      <c r="B8" s="2"/>
      <c r="C8" s="237">
        <f>SUM(D8:P8)/13</f>
        <v>25771130769.18</v>
      </c>
      <c r="D8" s="533">
        <v>24651900000</v>
      </c>
      <c r="E8" s="533">
        <v>24651899999.939999</v>
      </c>
      <c r="F8" s="533">
        <v>24651899999.939999</v>
      </c>
      <c r="G8" s="533">
        <v>25851899999.939999</v>
      </c>
      <c r="H8" s="533">
        <v>25101899999.939999</v>
      </c>
      <c r="I8" s="533">
        <v>26801899999.939999</v>
      </c>
      <c r="J8" s="533">
        <v>26501899999.939999</v>
      </c>
      <c r="K8" s="533">
        <v>26501899999.939999</v>
      </c>
      <c r="L8" s="533">
        <v>26101899999.939999</v>
      </c>
      <c r="M8" s="533">
        <v>26651899999.939999</v>
      </c>
      <c r="N8" s="533">
        <v>26051899999.939999</v>
      </c>
      <c r="O8" s="533">
        <v>26051899999.939999</v>
      </c>
      <c r="P8" s="533">
        <v>25451900000</v>
      </c>
      <c r="Q8" s="235"/>
    </row>
    <row r="9" spans="1:17">
      <c r="A9" s="2"/>
      <c r="B9" s="1" t="s">
        <v>590</v>
      </c>
      <c r="C9" s="6"/>
      <c r="D9" s="237"/>
      <c r="E9" s="237"/>
      <c r="F9" s="237"/>
      <c r="G9" s="237"/>
      <c r="H9" s="237"/>
      <c r="I9" s="237"/>
      <c r="J9" s="237"/>
      <c r="K9" s="237"/>
      <c r="L9" s="237"/>
      <c r="M9" s="237"/>
      <c r="N9" s="237"/>
      <c r="O9" s="237"/>
      <c r="P9" s="237"/>
    </row>
    <row r="10" spans="1:17">
      <c r="A10" s="2">
        <f>A8+1</f>
        <v>2</v>
      </c>
      <c r="B10" s="2"/>
      <c r="C10" s="237">
        <f t="shared" ref="C10:C14" si="0">SUM(D10:P10)/13</f>
        <v>0</v>
      </c>
      <c r="D10" s="533">
        <v>0</v>
      </c>
      <c r="E10" s="533">
        <v>0</v>
      </c>
      <c r="F10" s="533">
        <v>0</v>
      </c>
      <c r="G10" s="533">
        <v>0</v>
      </c>
      <c r="H10" s="533">
        <v>0</v>
      </c>
      <c r="I10" s="533">
        <v>0</v>
      </c>
      <c r="J10" s="533">
        <v>0</v>
      </c>
      <c r="K10" s="533">
        <v>0</v>
      </c>
      <c r="L10" s="533">
        <v>0</v>
      </c>
      <c r="M10" s="533">
        <v>0</v>
      </c>
      <c r="N10" s="533">
        <v>0</v>
      </c>
      <c r="O10" s="533">
        <v>0</v>
      </c>
      <c r="P10" s="533">
        <v>0</v>
      </c>
      <c r="Q10" s="235"/>
    </row>
    <row r="11" spans="1:17">
      <c r="A11" s="2"/>
      <c r="B11" s="1" t="s">
        <v>591</v>
      </c>
      <c r="D11" s="237"/>
      <c r="E11" s="237"/>
      <c r="F11" s="237"/>
      <c r="G11" s="237"/>
      <c r="H11" s="237"/>
      <c r="I11" s="237"/>
      <c r="J11" s="237"/>
      <c r="K11" s="237"/>
      <c r="L11" s="237"/>
      <c r="M11" s="237"/>
      <c r="N11" s="237"/>
      <c r="O11" s="237"/>
      <c r="P11" s="237"/>
    </row>
    <row r="12" spans="1:17">
      <c r="A12" s="2" t="s">
        <v>542</v>
      </c>
      <c r="B12" s="1"/>
      <c r="C12" s="237">
        <f>SUM(D12:P12)/13</f>
        <v>0</v>
      </c>
      <c r="D12" s="255">
        <v>0</v>
      </c>
      <c r="E12" s="255">
        <v>0</v>
      </c>
      <c r="F12" s="255">
        <v>0</v>
      </c>
      <c r="G12" s="255">
        <v>0</v>
      </c>
      <c r="H12" s="255">
        <v>0</v>
      </c>
      <c r="I12" s="255">
        <v>0</v>
      </c>
      <c r="J12" s="255">
        <v>0</v>
      </c>
      <c r="K12" s="255">
        <v>0</v>
      </c>
      <c r="L12" s="255">
        <v>0</v>
      </c>
      <c r="M12" s="255">
        <v>0</v>
      </c>
      <c r="N12" s="255">
        <v>0</v>
      </c>
      <c r="O12" s="255">
        <v>0</v>
      </c>
      <c r="P12" s="255">
        <v>0</v>
      </c>
      <c r="Q12" s="235"/>
    </row>
    <row r="13" spans="1:17">
      <c r="A13" s="2"/>
      <c r="B13" s="1" t="s">
        <v>592</v>
      </c>
      <c r="D13" s="237"/>
      <c r="E13" s="237"/>
      <c r="F13" s="237"/>
      <c r="G13" s="237"/>
      <c r="H13" s="237"/>
      <c r="I13" s="237"/>
      <c r="J13" s="237"/>
      <c r="K13" s="237"/>
      <c r="L13" s="237"/>
      <c r="M13" s="237"/>
      <c r="N13" s="237"/>
      <c r="O13" s="237"/>
      <c r="P13" s="237"/>
    </row>
    <row r="14" spans="1:17">
      <c r="A14" s="2">
        <f>A10+1</f>
        <v>3</v>
      </c>
      <c r="B14" s="2"/>
      <c r="C14" s="237">
        <f t="shared" si="0"/>
        <v>583065258.00153852</v>
      </c>
      <c r="D14" s="533">
        <v>906185085</v>
      </c>
      <c r="E14" s="533">
        <v>906178044.40999997</v>
      </c>
      <c r="F14" s="533">
        <v>906170974.07000005</v>
      </c>
      <c r="G14" s="533">
        <v>906163873.91999996</v>
      </c>
      <c r="H14" s="533">
        <v>906156743.83000004</v>
      </c>
      <c r="I14" s="533">
        <v>306149583.68000001</v>
      </c>
      <c r="J14" s="533">
        <v>306142393.32999998</v>
      </c>
      <c r="K14" s="533">
        <v>306135172.66000003</v>
      </c>
      <c r="L14" s="533">
        <v>306127921.55000001</v>
      </c>
      <c r="M14" s="533">
        <v>306120639.86000001</v>
      </c>
      <c r="N14" s="533">
        <v>306113327.47000003</v>
      </c>
      <c r="O14" s="533">
        <v>306105984.24000001</v>
      </c>
      <c r="P14" s="533">
        <v>906098610</v>
      </c>
      <c r="Q14" s="235"/>
    </row>
    <row r="15" spans="1:17">
      <c r="B15" s="1" t="s">
        <v>593</v>
      </c>
    </row>
    <row r="16" spans="1:17">
      <c r="A16" s="2">
        <v>4</v>
      </c>
      <c r="B16" s="2"/>
      <c r="C16" s="237">
        <f t="shared" ref="C16:C22" si="1">SUM(D16:P16)/13</f>
        <v>2029666923.0769231</v>
      </c>
      <c r="D16" s="533">
        <v>1945050000</v>
      </c>
      <c r="E16" s="533">
        <v>1945050000</v>
      </c>
      <c r="F16" s="533">
        <v>1945050000</v>
      </c>
      <c r="G16" s="533">
        <v>1945050000</v>
      </c>
      <c r="H16" s="533">
        <v>1945050000</v>
      </c>
      <c r="I16" s="533">
        <v>1945050000</v>
      </c>
      <c r="J16" s="533">
        <v>1945050000</v>
      </c>
      <c r="K16" s="533">
        <v>1945050000</v>
      </c>
      <c r="L16" s="533">
        <v>1945050000</v>
      </c>
      <c r="M16" s="533">
        <v>1945050000</v>
      </c>
      <c r="N16" s="533">
        <v>1945050000</v>
      </c>
      <c r="O16" s="533">
        <v>2495060000</v>
      </c>
      <c r="P16" s="533">
        <v>2495060000</v>
      </c>
      <c r="Q16" s="235"/>
    </row>
    <row r="17" spans="1:17">
      <c r="A17" s="2"/>
      <c r="B17" s="1" t="s">
        <v>594</v>
      </c>
      <c r="D17" s="237"/>
      <c r="E17" s="237"/>
      <c r="F17" s="237"/>
      <c r="G17" s="237"/>
      <c r="H17" s="237"/>
      <c r="I17" s="237"/>
      <c r="J17" s="237"/>
      <c r="K17" s="237"/>
      <c r="L17" s="237"/>
      <c r="M17" s="237"/>
      <c r="N17" s="237"/>
      <c r="O17" s="237"/>
      <c r="P17" s="237"/>
    </row>
    <row r="18" spans="1:17">
      <c r="A18" s="2">
        <f>A16+1</f>
        <v>5</v>
      </c>
      <c r="B18" s="2"/>
      <c r="C18" s="237">
        <f t="shared" si="1"/>
        <v>-18407581.010897405</v>
      </c>
      <c r="D18" s="255">
        <v>-18512571.274999969</v>
      </c>
      <c r="E18" s="255">
        <v>-18293430.269444413</v>
      </c>
      <c r="F18" s="255">
        <v>-18074289.263888858</v>
      </c>
      <c r="G18" s="255">
        <v>-17855148.258333303</v>
      </c>
      <c r="H18" s="255">
        <v>-17636007.252777744</v>
      </c>
      <c r="I18" s="255">
        <v>-17416866.247222193</v>
      </c>
      <c r="J18" s="255">
        <v>-17197725.241666634</v>
      </c>
      <c r="K18" s="255">
        <v>-16978584.236111078</v>
      </c>
      <c r="L18" s="255">
        <v>-16759443.230555523</v>
      </c>
      <c r="M18" s="255">
        <v>-16540302.224999966</v>
      </c>
      <c r="N18" s="255">
        <v>-16321161.219444411</v>
      </c>
      <c r="O18" s="255">
        <v>-23977020.213888858</v>
      </c>
      <c r="P18" s="255">
        <v>-23736004.208333299</v>
      </c>
    </row>
    <row r="19" spans="1:17">
      <c r="A19" s="2"/>
      <c r="B19" s="1" t="s">
        <v>595</v>
      </c>
      <c r="D19" s="237"/>
      <c r="E19" s="237"/>
      <c r="F19" s="237"/>
      <c r="G19" s="237"/>
      <c r="H19" s="237"/>
      <c r="I19" s="237"/>
      <c r="J19" s="237"/>
      <c r="K19" s="237"/>
      <c r="L19" s="237"/>
      <c r="M19" s="237"/>
      <c r="N19" s="237"/>
      <c r="O19" s="237"/>
      <c r="P19" s="237"/>
    </row>
    <row r="20" spans="1:17">
      <c r="A20" s="2">
        <f>A18+1</f>
        <v>6</v>
      </c>
      <c r="B20" s="2"/>
      <c r="C20" s="237">
        <f t="shared" si="1"/>
        <v>-24468652.689093512</v>
      </c>
      <c r="D20" s="533">
        <v>-25378314.974960759</v>
      </c>
      <c r="E20" s="255">
        <v>-25226704.593982887</v>
      </c>
      <c r="F20" s="255">
        <v>-25075094.213005014</v>
      </c>
      <c r="G20" s="255">
        <v>-24923483.832027137</v>
      </c>
      <c r="H20" s="255">
        <v>-24771873.451049261</v>
      </c>
      <c r="I20" s="255">
        <v>-24620263.070071384</v>
      </c>
      <c r="J20" s="255">
        <v>-24468652.689093515</v>
      </c>
      <c r="K20" s="255">
        <v>-24317042.308115639</v>
      </c>
      <c r="L20" s="255">
        <v>-24165431.927137766</v>
      </c>
      <c r="M20" s="255">
        <v>-24013821.546159893</v>
      </c>
      <c r="N20" s="255">
        <v>-23862211.165182021</v>
      </c>
      <c r="O20" s="255">
        <v>-23710600.784204144</v>
      </c>
      <c r="P20" s="255">
        <v>-23558990.403226271</v>
      </c>
    </row>
    <row r="21" spans="1:17">
      <c r="B21" s="1" t="s">
        <v>596</v>
      </c>
    </row>
    <row r="22" spans="1:17">
      <c r="A22" s="2">
        <v>7</v>
      </c>
      <c r="B22" s="2"/>
      <c r="C22" s="237">
        <f t="shared" si="1"/>
        <v>20968285175.438847</v>
      </c>
      <c r="D22" s="533">
        <v>20770758274</v>
      </c>
      <c r="E22" s="255">
        <v>20905028656.912502</v>
      </c>
      <c r="F22" s="255">
        <v>20706381233.412498</v>
      </c>
      <c r="G22" s="255">
        <v>20786903306.4725</v>
      </c>
      <c r="H22" s="255">
        <v>20915204995.752499</v>
      </c>
      <c r="I22" s="255">
        <v>21031817731.142498</v>
      </c>
      <c r="J22" s="255">
        <v>20857481781.147499</v>
      </c>
      <c r="K22" s="255">
        <v>21000953691.084999</v>
      </c>
      <c r="L22" s="255">
        <v>20881484915.7425</v>
      </c>
      <c r="M22" s="255">
        <v>20750007373.852501</v>
      </c>
      <c r="N22" s="255">
        <v>20944134911.092503</v>
      </c>
      <c r="O22" s="255">
        <v>21661008960.092503</v>
      </c>
      <c r="P22" s="255">
        <v>21376541450</v>
      </c>
      <c r="Q22" s="235"/>
    </row>
    <row r="23" spans="1:17">
      <c r="A23" s="2"/>
      <c r="B23" s="1" t="s">
        <v>597</v>
      </c>
      <c r="D23" s="237"/>
      <c r="E23" s="237"/>
      <c r="F23" s="237"/>
      <c r="G23" s="237"/>
      <c r="H23" s="237"/>
      <c r="I23" s="237"/>
      <c r="J23" s="237"/>
      <c r="K23" s="237"/>
      <c r="L23" s="237"/>
      <c r="M23" s="237"/>
      <c r="N23" s="237"/>
      <c r="O23" s="237"/>
      <c r="P23" s="237"/>
    </row>
    <row r="24" spans="1:17">
      <c r="A24" s="2">
        <v>8</v>
      </c>
      <c r="B24" s="2"/>
      <c r="C24" s="237">
        <f t="shared" ref="C24:C26" si="2">SUM(D24:P24)/13</f>
        <v>2631008.1899999995</v>
      </c>
      <c r="D24" s="533">
        <v>2625511</v>
      </c>
      <c r="E24" s="533">
        <v>2625511.46</v>
      </c>
      <c r="F24" s="533">
        <v>2626839.67</v>
      </c>
      <c r="G24" s="533">
        <v>2630717.98</v>
      </c>
      <c r="H24" s="533">
        <v>2630717.98</v>
      </c>
      <c r="I24" s="533">
        <v>2632019.98</v>
      </c>
      <c r="J24" s="533">
        <v>2633322.31</v>
      </c>
      <c r="K24" s="533">
        <v>2633322.31</v>
      </c>
      <c r="L24" s="533">
        <v>2633322.31</v>
      </c>
      <c r="M24" s="533">
        <v>2633322.31</v>
      </c>
      <c r="N24" s="533">
        <v>2632905.58</v>
      </c>
      <c r="O24" s="533">
        <v>2632905.58</v>
      </c>
      <c r="P24" s="533">
        <v>2632688</v>
      </c>
      <c r="Q24" s="235"/>
    </row>
    <row r="25" spans="1:17">
      <c r="A25" s="2"/>
      <c r="B25" s="1" t="s">
        <v>598</v>
      </c>
      <c r="D25" s="237"/>
      <c r="E25" s="237"/>
      <c r="F25" s="237"/>
      <c r="G25" s="237"/>
      <c r="H25" s="237"/>
      <c r="I25" s="237"/>
      <c r="J25" s="237"/>
      <c r="K25" s="237"/>
      <c r="L25" s="237"/>
      <c r="M25" s="237"/>
      <c r="N25" s="237"/>
      <c r="O25" s="237"/>
      <c r="P25" s="237"/>
    </row>
    <row r="26" spans="1:17">
      <c r="A26" s="2">
        <f>A24+1</f>
        <v>9</v>
      </c>
      <c r="B26" s="2"/>
      <c r="C26" s="237">
        <f t="shared" si="2"/>
        <v>8090860.4769230764</v>
      </c>
      <c r="D26" s="533">
        <v>8270177</v>
      </c>
      <c r="E26" s="533">
        <v>8159922.5800000001</v>
      </c>
      <c r="F26" s="533">
        <v>8049667.9199999999</v>
      </c>
      <c r="G26" s="533">
        <v>8031972.9400000004</v>
      </c>
      <c r="H26" s="533">
        <v>7921718.2800000003</v>
      </c>
      <c r="I26" s="533">
        <v>7811463.6200000001</v>
      </c>
      <c r="J26" s="533">
        <v>7793768.6200000001</v>
      </c>
      <c r="K26" s="533">
        <v>7683513.96</v>
      </c>
      <c r="L26" s="533">
        <v>7573259.2999999998</v>
      </c>
      <c r="M26" s="533">
        <v>7555564.3200000003</v>
      </c>
      <c r="N26" s="533">
        <v>7445309.6600000001</v>
      </c>
      <c r="O26" s="533">
        <v>7335055</v>
      </c>
      <c r="P26" s="533">
        <v>11549793</v>
      </c>
      <c r="Q26" s="235"/>
    </row>
    <row r="27" spans="1:17">
      <c r="A27" s="2"/>
      <c r="B27" s="2"/>
      <c r="C27" s="237"/>
      <c r="D27" s="237"/>
      <c r="E27" s="237"/>
      <c r="F27" s="237"/>
      <c r="G27" s="237"/>
      <c r="H27" s="237"/>
      <c r="I27" s="237"/>
      <c r="J27" s="237"/>
      <c r="K27" s="237"/>
      <c r="L27" s="237"/>
      <c r="M27" s="237"/>
      <c r="N27" s="237"/>
      <c r="O27" s="237"/>
      <c r="P27" s="237"/>
    </row>
    <row r="28" spans="1:17">
      <c r="A28" s="2"/>
      <c r="B28" s="30" t="s">
        <v>426</v>
      </c>
      <c r="C28" s="237"/>
      <c r="D28" s="237"/>
      <c r="E28" s="237"/>
      <c r="F28" s="237"/>
      <c r="G28" s="237"/>
      <c r="H28" s="237"/>
      <c r="I28" s="237"/>
      <c r="J28" s="237"/>
      <c r="K28" s="237"/>
      <c r="L28" s="237"/>
      <c r="M28" s="237"/>
      <c r="N28" s="237"/>
      <c r="O28" s="237"/>
      <c r="P28" s="237"/>
    </row>
    <row r="29" spans="1:17">
      <c r="A29" s="2"/>
      <c r="B29" s="235" t="s">
        <v>599</v>
      </c>
      <c r="C29" s="237"/>
      <c r="D29" s="237"/>
      <c r="E29" s="237"/>
      <c r="F29" s="237"/>
      <c r="G29" s="237"/>
      <c r="H29" s="237"/>
      <c r="I29" s="237"/>
      <c r="J29" s="237"/>
      <c r="K29" s="237"/>
      <c r="L29" s="237"/>
      <c r="M29" s="237"/>
      <c r="N29" s="237"/>
      <c r="O29" s="237"/>
      <c r="P29" s="237"/>
    </row>
    <row r="30" spans="1:17">
      <c r="A30" s="2"/>
      <c r="B30" s="234" t="s">
        <v>600</v>
      </c>
      <c r="C30" s="237"/>
      <c r="D30" s="237"/>
      <c r="E30" s="237"/>
      <c r="F30" s="237"/>
      <c r="G30" s="237"/>
      <c r="H30" s="237"/>
      <c r="I30" s="237"/>
      <c r="J30" s="237"/>
      <c r="K30" s="237"/>
      <c r="L30" s="237"/>
      <c r="M30" s="237"/>
      <c r="N30" s="237"/>
      <c r="O30" s="237"/>
      <c r="P30" s="237"/>
    </row>
    <row r="31" spans="1:17">
      <c r="B31" s="235" t="s">
        <v>601</v>
      </c>
    </row>
    <row r="32" spans="1:17">
      <c r="B32" s="234"/>
      <c r="K32" s="6"/>
    </row>
    <row r="33" spans="2:13">
      <c r="B33" s="30" t="s">
        <v>226</v>
      </c>
    </row>
    <row r="34" spans="2:13">
      <c r="B34" s="235" t="s">
        <v>602</v>
      </c>
    </row>
    <row r="35" spans="2:13">
      <c r="B35" s="235" t="s">
        <v>603</v>
      </c>
    </row>
    <row r="36" spans="2:13">
      <c r="B36" s="235" t="s">
        <v>604</v>
      </c>
    </row>
    <row r="37" spans="2:13">
      <c r="B37" s="235" t="s">
        <v>605</v>
      </c>
    </row>
    <row r="38" spans="2:13">
      <c r="B38" s="235" t="s">
        <v>606</v>
      </c>
    </row>
    <row r="39" spans="2:13">
      <c r="B39" s="235" t="s">
        <v>607</v>
      </c>
    </row>
    <row r="40" spans="2:13">
      <c r="B40" s="234" t="s">
        <v>608</v>
      </c>
    </row>
    <row r="41" spans="2:13">
      <c r="H41" s="2" t="s">
        <v>609</v>
      </c>
    </row>
    <row r="42" spans="2:13">
      <c r="C42" s="2"/>
      <c r="E42" s="2" t="s">
        <v>610</v>
      </c>
      <c r="F42" s="2" t="s">
        <v>611</v>
      </c>
      <c r="G42" s="2" t="s">
        <v>611</v>
      </c>
      <c r="H42" s="2" t="s">
        <v>612</v>
      </c>
      <c r="I42" s="2" t="s">
        <v>613</v>
      </c>
    </row>
    <row r="43" spans="2:13">
      <c r="C43" s="3" t="s">
        <v>614</v>
      </c>
      <c r="E43" s="3" t="s">
        <v>79</v>
      </c>
      <c r="F43" s="3" t="s">
        <v>615</v>
      </c>
      <c r="G43" s="3" t="s">
        <v>616</v>
      </c>
      <c r="H43" s="48" t="s">
        <v>617</v>
      </c>
      <c r="I43" s="3" t="s">
        <v>609</v>
      </c>
      <c r="J43" s="3" t="s">
        <v>100</v>
      </c>
    </row>
    <row r="44" spans="2:13">
      <c r="C44" s="761" t="s">
        <v>2846</v>
      </c>
      <c r="D44" s="268"/>
      <c r="E44" s="59">
        <v>220010000</v>
      </c>
      <c r="F44" s="662">
        <v>41303</v>
      </c>
      <c r="G44" s="59">
        <v>7134904</v>
      </c>
      <c r="H44" s="562">
        <v>30</v>
      </c>
      <c r="I44" s="265">
        <v>237830.13333333333</v>
      </c>
      <c r="J44" s="54"/>
      <c r="K44" s="54"/>
      <c r="L44" s="54"/>
      <c r="M44" s="54"/>
    </row>
    <row r="45" spans="2:13">
      <c r="C45" s="761" t="s">
        <v>2847</v>
      </c>
      <c r="D45" s="268"/>
      <c r="E45" s="59">
        <v>275010000</v>
      </c>
      <c r="F45" s="662">
        <v>41704</v>
      </c>
      <c r="G45" s="59">
        <v>6272358</v>
      </c>
      <c r="H45" s="562">
        <v>10</v>
      </c>
      <c r="I45" s="265">
        <v>627235.79999999993</v>
      </c>
      <c r="J45" s="242"/>
      <c r="K45" s="54"/>
      <c r="L45" s="54"/>
      <c r="M45" s="54"/>
    </row>
    <row r="46" spans="2:13">
      <c r="C46" s="762" t="s">
        <v>2848</v>
      </c>
      <c r="D46" s="268"/>
      <c r="E46" s="59">
        <v>325010000</v>
      </c>
      <c r="F46" s="662">
        <v>42240</v>
      </c>
      <c r="G46" s="59">
        <v>6419578</v>
      </c>
      <c r="H46" s="562">
        <v>10</v>
      </c>
      <c r="I46" s="265">
        <v>641957.80000000005</v>
      </c>
      <c r="J46" s="54"/>
      <c r="K46" s="54"/>
      <c r="L46" s="54"/>
      <c r="M46" s="54"/>
    </row>
    <row r="47" spans="2:13">
      <c r="C47" s="763" t="s">
        <v>2849</v>
      </c>
      <c r="D47" s="663"/>
      <c r="E47" s="59">
        <v>300010000</v>
      </c>
      <c r="F47" s="662">
        <v>42437</v>
      </c>
      <c r="G47" s="59">
        <v>6959810</v>
      </c>
      <c r="H47" s="562">
        <v>10</v>
      </c>
      <c r="I47" s="265">
        <v>695981.00000000012</v>
      </c>
      <c r="J47" s="54"/>
      <c r="K47" s="54"/>
      <c r="L47" s="54"/>
      <c r="M47" s="54"/>
    </row>
    <row r="48" spans="2:13">
      <c r="C48" s="763" t="s">
        <v>2850</v>
      </c>
      <c r="D48" s="663"/>
      <c r="E48" s="59">
        <v>475010000</v>
      </c>
      <c r="F48" s="662">
        <v>42912</v>
      </c>
      <c r="G48" s="59">
        <v>12800620</v>
      </c>
      <c r="H48" s="562">
        <v>30</v>
      </c>
      <c r="I48" s="265">
        <v>426687.33333333326</v>
      </c>
      <c r="J48" s="242"/>
      <c r="K48" s="54"/>
      <c r="L48" s="54"/>
      <c r="M48" s="54"/>
    </row>
    <row r="49" spans="2:14">
      <c r="C49" s="764" t="s">
        <v>2928</v>
      </c>
      <c r="D49" s="663"/>
      <c r="E49" s="59">
        <v>550010000</v>
      </c>
      <c r="F49" s="662">
        <v>45252</v>
      </c>
      <c r="G49" s="255">
        <v>7875000</v>
      </c>
      <c r="H49" s="562">
        <v>30</v>
      </c>
      <c r="I49" s="61">
        <v>21875</v>
      </c>
      <c r="J49" s="267" t="s">
        <v>2929</v>
      </c>
      <c r="K49" s="54"/>
      <c r="L49" s="54"/>
      <c r="M49" s="54"/>
    </row>
    <row r="50" spans="2:14">
      <c r="C50" s="245"/>
      <c r="D50" s="245"/>
      <c r="I50" s="6">
        <f>SUM(I44:I49)</f>
        <v>2651567.0666666664</v>
      </c>
      <c r="J50" s="235" t="s">
        <v>618</v>
      </c>
    </row>
    <row r="51" spans="2:14">
      <c r="B51" s="235" t="s">
        <v>619</v>
      </c>
    </row>
    <row r="52" spans="2:14">
      <c r="B52" s="234" t="s">
        <v>620</v>
      </c>
      <c r="I52" s="41"/>
    </row>
    <row r="53" spans="2:14">
      <c r="G53" s="2" t="s">
        <v>609</v>
      </c>
    </row>
    <row r="54" spans="2:14">
      <c r="C54" s="2"/>
      <c r="E54" s="2" t="s">
        <v>621</v>
      </c>
      <c r="F54" s="2" t="s">
        <v>609</v>
      </c>
      <c r="G54" s="2" t="s">
        <v>612</v>
      </c>
      <c r="H54" s="2" t="s">
        <v>613</v>
      </c>
      <c r="I54" s="2"/>
    </row>
    <row r="55" spans="2:14">
      <c r="C55" s="3" t="s">
        <v>622</v>
      </c>
      <c r="E55" s="3" t="s">
        <v>615</v>
      </c>
      <c r="F55" s="3" t="s">
        <v>79</v>
      </c>
      <c r="G55" s="48" t="s">
        <v>617</v>
      </c>
      <c r="H55" s="3" t="s">
        <v>609</v>
      </c>
      <c r="I55" s="3" t="s">
        <v>100</v>
      </c>
    </row>
    <row r="56" spans="2:14">
      <c r="C56" s="762" t="s">
        <v>2851</v>
      </c>
      <c r="D56" s="759"/>
      <c r="E56" s="662">
        <v>41333</v>
      </c>
      <c r="F56" s="59">
        <v>2586350.9805555502</v>
      </c>
      <c r="G56" s="562">
        <v>30</v>
      </c>
      <c r="H56" s="59">
        <v>86211.699351851668</v>
      </c>
      <c r="I56" s="760"/>
      <c r="J56" s="54"/>
      <c r="K56" s="54"/>
      <c r="L56" s="54"/>
      <c r="M56" s="54"/>
      <c r="N56" s="54"/>
    </row>
    <row r="57" spans="2:14">
      <c r="C57" s="762" t="s">
        <v>2852</v>
      </c>
      <c r="D57" s="759"/>
      <c r="E57" s="662">
        <v>41333</v>
      </c>
      <c r="F57" s="59">
        <v>2886865.9722222402</v>
      </c>
      <c r="G57" s="562">
        <v>30</v>
      </c>
      <c r="H57" s="59">
        <v>96228.865740741327</v>
      </c>
      <c r="I57" s="760"/>
      <c r="J57" s="54"/>
      <c r="K57" s="54"/>
      <c r="L57" s="54"/>
      <c r="M57" s="54"/>
      <c r="N57" s="54"/>
    </row>
    <row r="58" spans="2:14">
      <c r="C58" s="762" t="s">
        <v>2853</v>
      </c>
      <c r="D58" s="759"/>
      <c r="E58" s="662">
        <v>42460</v>
      </c>
      <c r="F58" s="59">
        <v>2147802.5000000112</v>
      </c>
      <c r="G58" s="562">
        <v>10</v>
      </c>
      <c r="H58" s="59">
        <v>214780.25000000111</v>
      </c>
      <c r="I58" s="760"/>
      <c r="J58" s="760"/>
      <c r="K58" s="760"/>
      <c r="L58" s="54"/>
      <c r="M58" s="54"/>
      <c r="N58" s="54"/>
    </row>
    <row r="59" spans="2:14">
      <c r="C59" s="762" t="s">
        <v>2854</v>
      </c>
      <c r="D59" s="759"/>
      <c r="E59" s="662">
        <v>42935</v>
      </c>
      <c r="F59" s="59">
        <v>12749183.344444489</v>
      </c>
      <c r="G59" s="562">
        <v>30</v>
      </c>
      <c r="H59" s="59">
        <v>424972.77814814972</v>
      </c>
      <c r="I59" s="760"/>
      <c r="J59" s="760"/>
      <c r="K59" s="760"/>
      <c r="L59" s="54"/>
      <c r="M59" s="54"/>
      <c r="N59" s="54"/>
    </row>
    <row r="60" spans="2:14">
      <c r="C60" s="268" t="s">
        <v>2930</v>
      </c>
      <c r="D60" s="986"/>
      <c r="E60" s="664">
        <v>44074</v>
      </c>
      <c r="F60" s="59">
        <v>8522773.9499999993</v>
      </c>
      <c r="G60" s="562">
        <v>10</v>
      </c>
      <c r="H60" s="59">
        <v>852277.39499999979</v>
      </c>
      <c r="I60" s="760"/>
      <c r="J60" s="760"/>
      <c r="K60" s="760"/>
      <c r="L60" s="54"/>
      <c r="M60" s="54"/>
      <c r="N60" s="54"/>
    </row>
    <row r="61" spans="2:14">
      <c r="C61" s="268" t="s">
        <v>2855</v>
      </c>
      <c r="D61" s="268"/>
      <c r="E61" s="664">
        <v>44104</v>
      </c>
      <c r="F61" s="255">
        <v>4345607.5048123803</v>
      </c>
      <c r="G61" s="562">
        <v>30</v>
      </c>
      <c r="H61" s="255">
        <v>144853.58349374597</v>
      </c>
      <c r="I61" s="760" t="s">
        <v>2856</v>
      </c>
      <c r="J61" s="760"/>
      <c r="K61" s="760"/>
      <c r="L61" s="54"/>
      <c r="M61" s="54"/>
      <c r="N61" s="54"/>
    </row>
    <row r="62" spans="2:14">
      <c r="C62" s="268"/>
      <c r="D62" s="268"/>
      <c r="E62" s="664"/>
      <c r="F62" s="255"/>
      <c r="G62" s="562"/>
      <c r="H62" s="255"/>
      <c r="I62" s="242" t="s">
        <v>2857</v>
      </c>
      <c r="J62" s="242"/>
      <c r="K62" s="54"/>
      <c r="L62" s="54"/>
      <c r="M62" s="54"/>
      <c r="N62" s="54"/>
    </row>
    <row r="63" spans="2:14">
      <c r="C63" s="268"/>
      <c r="D63" s="268"/>
      <c r="E63" s="664"/>
      <c r="F63" s="255"/>
      <c r="G63" s="562"/>
      <c r="H63" s="255"/>
      <c r="I63" s="242"/>
      <c r="J63" s="242"/>
      <c r="K63" s="54"/>
      <c r="L63" s="54"/>
      <c r="M63" s="54"/>
      <c r="N63" s="54"/>
    </row>
    <row r="64" spans="2:14">
      <c r="C64" s="268"/>
      <c r="D64" s="268"/>
      <c r="E64" s="664"/>
      <c r="F64" s="255"/>
      <c r="G64" s="562"/>
      <c r="H64" s="255"/>
      <c r="I64" s="242"/>
      <c r="J64" s="242"/>
      <c r="K64" s="54"/>
      <c r="L64" s="54"/>
      <c r="M64" s="54"/>
      <c r="N64" s="54"/>
    </row>
    <row r="65" spans="2:9">
      <c r="C65" s="245"/>
      <c r="D65" s="245"/>
      <c r="H65" s="6">
        <f>SUM(H56:H63)</f>
        <v>1819324.5717344894</v>
      </c>
      <c r="I65" s="235" t="s">
        <v>623</v>
      </c>
    </row>
    <row r="67" spans="2:9">
      <c r="B67" s="235" t="s">
        <v>624</v>
      </c>
    </row>
    <row r="68" spans="2:9">
      <c r="B68" s="235" t="s">
        <v>625</v>
      </c>
    </row>
    <row r="69" spans="2:9">
      <c r="B69" s="235" t="s">
        <v>626</v>
      </c>
    </row>
    <row r="78" spans="2:9">
      <c r="F78" s="6"/>
    </row>
    <row r="79" spans="2:9">
      <c r="F79" s="6"/>
    </row>
  </sheetData>
  <pageMargins left="0.7" right="0.7" top="0.75" bottom="0.75" header="0.3" footer="0.3"/>
  <pageSetup scale="54" fitToHeight="0" orientation="landscape" cellComments="asDisplayed" r:id="rId1"/>
  <headerFooter>
    <oddHeader>&amp;CSchedule 5 ROR-2
Return and Capitalization
&amp;RTO2025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http://schemas.microsoft.com/office/2006/documentManagement/types"/>
    <ds:schemaRef ds:uri="12959806-aaa0-46d7-a2d9-16d3a52829b5"/>
    <ds:schemaRef ds:uri="http://purl.org/dc/term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s>
</ds:datastoreItem>
</file>

<file path=customXml/itemProps3.xml><?xml version="1.0" encoding="utf-8"?>
<ds:datastoreItem xmlns:ds="http://schemas.openxmlformats.org/officeDocument/2006/customXml" ds:itemID="{43A653C6-9BD8-47F1-AE37-2BD3451C97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2024-11-20T22:57:32Z</cp:lastPrinted>
  <dcterms:created xsi:type="dcterms:W3CDTF">2009-02-27T16:01:11Z</dcterms:created>
  <dcterms:modified xsi:type="dcterms:W3CDTF">2024-11-21T22:09:33Z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y fmtid="{D5CDD505-2E9C-101B-9397-08002B2CF9AE}" pid="5" name="MSIP_Label_bc3dd1c7-2c40-4a31-84b2-bec599b321a0_Enabled">
    <vt:lpwstr>true</vt:lpwstr>
  </property>
  <property fmtid="{D5CDD505-2E9C-101B-9397-08002B2CF9AE}" pid="6" name="MSIP_Label_bc3dd1c7-2c40-4a31-84b2-bec599b321a0_SetDate">
    <vt:lpwstr>2023-10-05T22:50:04Z</vt:lpwstr>
  </property>
  <property fmtid="{D5CDD505-2E9C-101B-9397-08002B2CF9AE}" pid="7" name="MSIP_Label_bc3dd1c7-2c40-4a31-84b2-bec599b321a0_Method">
    <vt:lpwstr>Standard</vt:lpwstr>
  </property>
  <property fmtid="{D5CDD505-2E9C-101B-9397-08002B2CF9AE}" pid="8" name="MSIP_Label_bc3dd1c7-2c40-4a31-84b2-bec599b321a0_Name">
    <vt:lpwstr>bc3dd1c7-2c40-4a31-84b2-bec599b321a0</vt:lpwstr>
  </property>
  <property fmtid="{D5CDD505-2E9C-101B-9397-08002B2CF9AE}" pid="9" name="MSIP_Label_bc3dd1c7-2c40-4a31-84b2-bec599b321a0_SiteId">
    <vt:lpwstr>5b2a8fee-4c95-4bdc-8aae-196f8aacb1b6</vt:lpwstr>
  </property>
  <property fmtid="{D5CDD505-2E9C-101B-9397-08002B2CF9AE}" pid="10" name="MSIP_Label_bc3dd1c7-2c40-4a31-84b2-bec599b321a0_ActionId">
    <vt:lpwstr>5ed5966b-c439-43c4-bfa5-f08a326152b8</vt:lpwstr>
  </property>
  <property fmtid="{D5CDD505-2E9C-101B-9397-08002B2CF9AE}" pid="11" name="MSIP_Label_bc3dd1c7-2c40-4a31-84b2-bec599b321a0_ContentBits">
    <vt:lpwstr>0</vt:lpwstr>
  </property>
  <property fmtid="{D5CDD505-2E9C-101B-9397-08002B2CF9AE}" pid="12" name="{A44787D4-0540-4523-9961-78E4036D8C6D}">
    <vt:lpwstr>{61700C96-F4DC-47A1-A2FA-DC177B945D2A}</vt:lpwstr>
  </property>
</Properties>
</file>