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24226"/>
  <mc:AlternateContent xmlns:mc="http://schemas.openxmlformats.org/markup-compatibility/2006">
    <mc:Choice Requires="x15">
      <x15ac:absPath xmlns:x15ac="http://schemas.microsoft.com/office/spreadsheetml/2010/11/ac" url="Z:\2024 FERC Rate Case TO2024\12-Dec 1 Annual Informational Update\Workpapers\"/>
    </mc:Choice>
  </mc:AlternateContent>
  <xr:revisionPtr revIDLastSave="0" documentId="13_ncr:1_{A6251DA4-A4D5-4E4D-9976-EC87A68F4BDA}" xr6:coauthVersionLast="47" xr6:coauthVersionMax="47" xr10:uidLastSave="{00000000-0000-0000-0000-000000000000}"/>
  <bookViews>
    <workbookView xWindow="-120" yWindow="-120" windowWidth="25440" windowHeight="15390" tabRatio="746" xr2:uid="{00000000-000D-0000-FFFF-FFFF00000000}"/>
  </bookViews>
  <sheets>
    <sheet name="One Time Adj Explanation" sheetId="100" r:id="rId1"/>
    <sheet name="WP-Total Adj with Int" sheetId="86" r:id="rId2"/>
    <sheet name="WP-2017 True Up TRR Adj" sheetId="254" r:id="rId3"/>
    <sheet name="WP-2017 TO13 Sch4-TUTRR" sheetId="255" r:id="rId4"/>
    <sheet name="WP-2017 TO13 Sch20-AandG" sheetId="256" r:id="rId5"/>
    <sheet name="WP-2018 True Up TRR Adj" sheetId="257" r:id="rId6"/>
    <sheet name="WP-2018 TO2020 Sch4-TUTRR" sheetId="258" r:id="rId7"/>
    <sheet name="WP-2018 TO2020 Sch20-AandG" sheetId="259" r:id="rId8"/>
    <sheet name="WP-2019 True Up TRR Adj" sheetId="213" r:id="rId9"/>
    <sheet name="WP-2019 TO2018 Sch4-TUTRR" sheetId="260" r:id="rId10"/>
    <sheet name="WP-2019 TO2018 Sch20-AandG" sheetId="261" r:id="rId11"/>
    <sheet name="WP-2019 TO2021 Sch4-TUTRR" sheetId="262" r:id="rId12"/>
    <sheet name="WP-2019 TO2021 Sch20-AandG" sheetId="263" r:id="rId13"/>
    <sheet name="WP-2020 True Up TRR Adj" sheetId="194" r:id="rId14"/>
    <sheet name="WP-2020 TO2022 Sch4-TUTRR" sheetId="271" r:id="rId15"/>
    <sheet name="WP-2020 TO2022 Sch5-ROR-2" sheetId="272" r:id="rId16"/>
    <sheet name="WP-2020 TO2022 Sch20-AandG" sheetId="265" r:id="rId17"/>
    <sheet name="WP-2020 TO2022 Sch28-FFU" sheetId="273" r:id="rId18"/>
    <sheet name="WP-2021 True Up TRR Adj" sheetId="267" r:id="rId19"/>
    <sheet name="WP-2021 TO2023 Sch4-TUTRR" sheetId="268" r:id="rId20"/>
    <sheet name="WP-2021 TO2023 Sch20-AandG" sheetId="269" r:id="rId21"/>
    <sheet name="WP-2021 TO2023 Sch28-FFU" sheetId="270" r:id="rId22"/>
  </sheets>
  <definedNames>
    <definedName name="_Alt2007" localSheetId="7">#REF!</definedName>
    <definedName name="_Alt2007" localSheetId="6">#REF!</definedName>
    <definedName name="_Alt2007" localSheetId="8">#REF!</definedName>
    <definedName name="_Alt2007" localSheetId="13">#REF!</definedName>
    <definedName name="_Alt2007" localSheetId="18">#REF!</definedName>
    <definedName name="_Alt2007">#REF!</definedName>
    <definedName name="_Apr06" localSheetId="7">#REF!</definedName>
    <definedName name="_Apr06" localSheetId="6">#REF!</definedName>
    <definedName name="_Apr06" localSheetId="8">#REF!</definedName>
    <definedName name="_Apr06" localSheetId="13">#REF!</definedName>
    <definedName name="_Apr06" localSheetId="18">#REF!</definedName>
    <definedName name="_Apr06">#REF!</definedName>
    <definedName name="_F100040">#REF!</definedName>
    <definedName name="_Feb06" localSheetId="7">#REF!</definedName>
    <definedName name="_Feb06" localSheetId="6">#REF!</definedName>
    <definedName name="_Feb06" localSheetId="8">#REF!</definedName>
    <definedName name="_Feb06" localSheetId="13">#REF!</definedName>
    <definedName name="_Feb06" localSheetId="18">#REF!</definedName>
    <definedName name="_Feb06">#REF!</definedName>
    <definedName name="_Fill" localSheetId="7" hidden="1">#REF!</definedName>
    <definedName name="_Fill" localSheetId="6" hidden="1">#REF!</definedName>
    <definedName name="_Fill" localSheetId="8" hidden="1">#REF!</definedName>
    <definedName name="_Fill" localSheetId="13" hidden="1">#REF!</definedName>
    <definedName name="_Fill" localSheetId="18" hidden="1">#REF!</definedName>
    <definedName name="_Fill" hidden="1">#REF!</definedName>
    <definedName name="_May06" localSheetId="7">#REF!</definedName>
    <definedName name="_May06" localSheetId="6">#REF!</definedName>
    <definedName name="_May06" localSheetId="8">#REF!</definedName>
    <definedName name="_May06" localSheetId="13">#REF!</definedName>
    <definedName name="_May06" localSheetId="18">#REF!</definedName>
    <definedName name="_May06">#REF!</definedName>
    <definedName name="_Nov05" localSheetId="7">#REF!</definedName>
    <definedName name="_Nov05" localSheetId="6">#REF!</definedName>
    <definedName name="_Nov05">#REF!</definedName>
    <definedName name="_Order1" hidden="1">255</definedName>
    <definedName name="_Order2" hidden="1">255</definedName>
    <definedName name="_SO2" localSheetId="7">#REF!</definedName>
    <definedName name="_SO2" localSheetId="6">#REF!</definedName>
    <definedName name="_SO2" localSheetId="8">#REF!</definedName>
    <definedName name="_SO2" localSheetId="13">#REF!</definedName>
    <definedName name="_SO2" localSheetId="18">#REF!</definedName>
    <definedName name="_SO2">#REF!</definedName>
    <definedName name="_SO4" localSheetId="7">#REF!</definedName>
    <definedName name="_SO4" localSheetId="6">#REF!</definedName>
    <definedName name="_SO4" localSheetId="8">#REF!</definedName>
    <definedName name="_SO4" localSheetId="13">#REF!</definedName>
    <definedName name="_SO4" localSheetId="18">#REF!</definedName>
    <definedName name="_SO4">#REF!</definedName>
    <definedName name="Active" localSheetId="7">#REF!</definedName>
    <definedName name="Active" localSheetId="6">#REF!</definedName>
    <definedName name="Active" localSheetId="8">#REF!</definedName>
    <definedName name="Active" localSheetId="13">#REF!</definedName>
    <definedName name="Active" localSheetId="18">#REF!</definedName>
    <definedName name="Active">#REF!</definedName>
    <definedName name="AltForecast">#REF!</definedName>
    <definedName name="Assets">#REF!</definedName>
    <definedName name="Basis_Point" localSheetId="7">#REF!</definedName>
    <definedName name="Basis_Point" localSheetId="6">#REF!</definedName>
    <definedName name="Basis_Point" localSheetId="8">#REF!</definedName>
    <definedName name="Basis_Point" localSheetId="13">#REF!</definedName>
    <definedName name="Basis_Point" localSheetId="18">#REF!</definedName>
    <definedName name="Basis_Point">#REF!</definedName>
    <definedName name="Basis_Prices_Upload_Date">#REF!</definedName>
    <definedName name="Basis_Web_Query">#REF!</definedName>
    <definedName name="BHV" localSheetId="7">#REF!</definedName>
    <definedName name="BHV" localSheetId="6">#REF!</definedName>
    <definedName name="BHV" localSheetId="8">#REF!</definedName>
    <definedName name="BHV" localSheetId="13">#REF!</definedName>
    <definedName name="BHV" localSheetId="18">#REF!</definedName>
    <definedName name="BHV">#REF!</definedName>
    <definedName name="Bio" localSheetId="7">#REF!</definedName>
    <definedName name="Bio" localSheetId="6">#REF!</definedName>
    <definedName name="Bio" localSheetId="8">#REF!</definedName>
    <definedName name="Bio" localSheetId="13">#REF!</definedName>
    <definedName name="Bio" localSheetId="18">#REF!</definedName>
    <definedName name="Bio">#REF!</definedName>
    <definedName name="BLOCK" localSheetId="7">#REF!</definedName>
    <definedName name="BLOCK" localSheetId="6">#REF!</definedName>
    <definedName name="BLOCK" localSheetId="8">#REF!</definedName>
    <definedName name="BLOCK" localSheetId="13">#REF!</definedName>
    <definedName name="BLOCK" localSheetId="18">#REF!</definedName>
    <definedName name="BLOCK">#REF!</definedName>
    <definedName name="BLOCKPOSTING">#REF!</definedName>
    <definedName name="Calc_implied_vol">#REF!</definedName>
    <definedName name="Clearing_House_deals_MTM_PT___Current_Month" localSheetId="7">#REF!</definedName>
    <definedName name="Clearing_House_deals_MTM_PT___Current_Month" localSheetId="6">#REF!</definedName>
    <definedName name="Clearing_House_deals_MTM_PT___Current_Month" localSheetId="8">#REF!</definedName>
    <definedName name="Clearing_House_deals_MTM_PT___Current_Month" localSheetId="13">#REF!</definedName>
    <definedName name="Clearing_House_deals_MTM_PT___Current_Month" localSheetId="18">#REF!</definedName>
    <definedName name="Clearing_House_deals_MTM_PT___Current_Month">#REF!</definedName>
    <definedName name="Cogen" localSheetId="7">#REF!</definedName>
    <definedName name="Cogen" localSheetId="6">#REF!</definedName>
    <definedName name="Cogen" localSheetId="8">#REF!</definedName>
    <definedName name="Cogen" localSheetId="13">#REF!</definedName>
    <definedName name="Cogen" localSheetId="18">#REF!</definedName>
    <definedName name="Cogen">#REF!</definedName>
    <definedName name="Convert_price">#REF!</definedName>
    <definedName name="Copy_Brkr_Quotes">#REF!</definedName>
    <definedName name="Create_Nuc_Basis">#REF!</definedName>
    <definedName name="Create_Nuc_Futs">#REF!</definedName>
    <definedName name="Create_Nuc_IR">#REF!</definedName>
    <definedName name="Create_Nuc_Pwr">#REF!</definedName>
    <definedName name="Create_Nuc_Vol">#REF!</definedName>
    <definedName name="CRR_PT2" localSheetId="7">#REF!</definedName>
    <definedName name="CRR_PT2" localSheetId="6">#REF!</definedName>
    <definedName name="CRR_PT2" localSheetId="8">#REF!</definedName>
    <definedName name="CRR_PT2" localSheetId="13">#REF!</definedName>
    <definedName name="CRR_PT2" localSheetId="18">#REF!</definedName>
    <definedName name="CRR_PT2">#REF!</definedName>
    <definedName name="CRR_SD_1" localSheetId="7">#REF!</definedName>
    <definedName name="CRR_SD_1" localSheetId="6">#REF!</definedName>
    <definedName name="CRR_SD_1" localSheetId="8">#REF!</definedName>
    <definedName name="CRR_SD_1" localSheetId="13">#REF!</definedName>
    <definedName name="CRR_SD_1" localSheetId="18">#REF!</definedName>
    <definedName name="CRR_SD_1">#REF!</definedName>
    <definedName name="CRR_SD_2" localSheetId="7">#REF!</definedName>
    <definedName name="CRR_SD_2" localSheetId="6">#REF!</definedName>
    <definedName name="CRR_SD_2" localSheetId="8">#REF!</definedName>
    <definedName name="CRR_SD_2" localSheetId="13">#REF!</definedName>
    <definedName name="CRR_SD_2" localSheetId="18">#REF!</definedName>
    <definedName name="CRR_SD_2">#REF!</definedName>
    <definedName name="CRR_ST_PT2">#REF!</definedName>
    <definedName name="CurrentMonth">#REF!</definedName>
    <definedName name="CurrentMTMDate">#REF!</definedName>
    <definedName name="CurrentQtrEnd">#REF!</definedName>
    <definedName name="DATA21">#REF!</definedName>
    <definedName name="DaysForward">#REF!</definedName>
    <definedName name="DWR_End_Row" localSheetId="7">#REF!</definedName>
    <definedName name="DWR_End_Row" localSheetId="6">#REF!</definedName>
    <definedName name="DWR_End_Row" localSheetId="8">#REF!</definedName>
    <definedName name="DWR_End_Row" localSheetId="13">#REF!</definedName>
    <definedName name="DWR_End_Row" localSheetId="18">#REF!</definedName>
    <definedName name="DWR_End_Row">#REF!</definedName>
    <definedName name="DWR_Start_Row" localSheetId="7">#REF!</definedName>
    <definedName name="DWR_Start_Row" localSheetId="6">#REF!</definedName>
    <definedName name="DWR_Start_Row" localSheetId="8">#REF!</definedName>
    <definedName name="DWR_Start_Row" localSheetId="13">#REF!</definedName>
    <definedName name="DWR_Start_Row" localSheetId="18">#REF!</definedName>
    <definedName name="DWR_Start_Row">#REF!</definedName>
    <definedName name="Effective_date">#REF!</definedName>
    <definedName name="EIX_10k" localSheetId="7">#REF!</definedName>
    <definedName name="EIX_10k" localSheetId="6">#REF!</definedName>
    <definedName name="EIX_10k" localSheetId="8">#REF!</definedName>
    <definedName name="EIX_10k" localSheetId="13">#REF!</definedName>
    <definedName name="EIX_10k" localSheetId="18">#REF!</definedName>
    <definedName name="EIX_10k">#REF!</definedName>
    <definedName name="EIX_10K_DET_M" localSheetId="7">#REF!</definedName>
    <definedName name="EIX_10K_DET_M" localSheetId="6">#REF!</definedName>
    <definedName name="EIX_10K_DET_M" localSheetId="8">#REF!</definedName>
    <definedName name="EIX_10K_DET_M" localSheetId="13">#REF!</definedName>
    <definedName name="EIX_10K_DET_M" localSheetId="18">#REF!</definedName>
    <definedName name="EIX_10K_DET_M">#REF!</definedName>
    <definedName name="EIX_10K_DET_T" localSheetId="7">#REF!</definedName>
    <definedName name="EIX_10K_DET_T" localSheetId="6">#REF!</definedName>
    <definedName name="EIX_10K_DET_T" localSheetId="8">#REF!</definedName>
    <definedName name="EIX_10K_DET_T" localSheetId="13">#REF!</definedName>
    <definedName name="EIX_10K_DET_T" localSheetId="18">#REF!</definedName>
    <definedName name="EIX_10K_DET_T">#REF!</definedName>
    <definedName name="EIX_10K_DETAIL">#REF!</definedName>
    <definedName name="EIX_10K_M">#REF!</definedName>
    <definedName name="EIX_10k_t">#REF!</definedName>
    <definedName name="EIX_10K_WK_CURR">#REF!</definedName>
    <definedName name="EIX_10K_WK_JAN1" localSheetId="7">#REF!</definedName>
    <definedName name="EIX_10K_WK_JAN1" localSheetId="6">#REF!</definedName>
    <definedName name="EIX_10K_WK_JAN1" localSheetId="8">#REF!</definedName>
    <definedName name="EIX_10K_WK_JAN1" localSheetId="13">#REF!</definedName>
    <definedName name="EIX_10K_WK_JAN1" localSheetId="18">#REF!</definedName>
    <definedName name="EIX_10K_WK_JAN1">#REF!</definedName>
    <definedName name="EIX_10k_WK_LASTMO" localSheetId="7">#REF!</definedName>
    <definedName name="EIX_10k_WK_LASTMO" localSheetId="6">#REF!</definedName>
    <definedName name="EIX_10k_WK_LASTMO" localSheetId="8">#REF!</definedName>
    <definedName name="EIX_10k_WK_LASTMO" localSheetId="13">#REF!</definedName>
    <definedName name="EIX_10k_WK_LASTMO" localSheetId="18">#REF!</definedName>
    <definedName name="EIX_10k_WK_LASTMO">#REF!</definedName>
    <definedName name="EIX_WS" localSheetId="7">#REF!</definedName>
    <definedName name="EIX_WS" localSheetId="6">#REF!</definedName>
    <definedName name="EIX_WS" localSheetId="8">#REF!</definedName>
    <definedName name="EIX_WS" localSheetId="13">#REF!</definedName>
    <definedName name="EIX_WS" localSheetId="18">#REF!</definedName>
    <definedName name="EIX_WS">#REF!</definedName>
    <definedName name="eixytd" localSheetId="7">#REF!</definedName>
    <definedName name="eixytd" localSheetId="6">#REF!</definedName>
    <definedName name="eixytd" localSheetId="8">#REF!</definedName>
    <definedName name="eixytd" localSheetId="13">#REF!</definedName>
    <definedName name="eixytd" localSheetId="18">#REF!</definedName>
    <definedName name="eixytd">#REF!</definedName>
    <definedName name="ENTRYNODE" localSheetId="7">#REF!</definedName>
    <definedName name="ENTRYNODE" localSheetId="6">#REF!</definedName>
    <definedName name="ENTRYNODE" localSheetId="8">#REF!</definedName>
    <definedName name="ENTRYNODE" localSheetId="13">#REF!</definedName>
    <definedName name="ENTRYNODE" localSheetId="18">#REF!</definedName>
    <definedName name="ENTRYNODE">#REF!</definedName>
    <definedName name="EOptns_Term_Sch_Point" localSheetId="7">#REF!</definedName>
    <definedName name="EOptns_Term_Sch_Point" localSheetId="6">#REF!</definedName>
    <definedName name="EOptns_Term_Sch_Point" localSheetId="8">#REF!</definedName>
    <definedName name="EOptns_Term_Sch_Point" localSheetId="13">#REF!</definedName>
    <definedName name="EOptns_Term_Sch_Point" localSheetId="18">#REF!</definedName>
    <definedName name="EOptns_Term_Sch_Point">#REF!</definedName>
    <definedName name="Equity" localSheetId="7">#REF!</definedName>
    <definedName name="Equity" localSheetId="6">#REF!</definedName>
    <definedName name="Equity" localSheetId="8">#REF!</definedName>
    <definedName name="Equity" localSheetId="13">#REF!</definedName>
    <definedName name="Equity" localSheetId="18">#REF!</definedName>
    <definedName name="Equity">#REF!</definedName>
    <definedName name="Escalation_Rate" localSheetId="7">#REF!</definedName>
    <definedName name="Escalation_Rate" localSheetId="6">#REF!</definedName>
    <definedName name="Escalation_Rate" localSheetId="8">#REF!</definedName>
    <definedName name="Escalation_Rate" localSheetId="13">#REF!</definedName>
    <definedName name="Escalation_Rate" localSheetId="18">#REF!</definedName>
    <definedName name="Escalation_Rate">#REF!</definedName>
    <definedName name="FERC" localSheetId="7">#REF!</definedName>
    <definedName name="FERC" localSheetId="6">#REF!</definedName>
    <definedName name="FERC" localSheetId="8">#REF!</definedName>
    <definedName name="FERC" localSheetId="13">#REF!</definedName>
    <definedName name="FERC" localSheetId="18">#REF!</definedName>
    <definedName name="FERC">#REF!</definedName>
    <definedName name="FERC_Map">#REF!</definedName>
    <definedName name="Format_Quotes">#REF!</definedName>
    <definedName name="FSD" localSheetId="7">#REF!</definedName>
    <definedName name="FSD" localSheetId="6">#REF!</definedName>
    <definedName name="FSD" localSheetId="8">#REF!</definedName>
    <definedName name="FSD" localSheetId="13">#REF!</definedName>
    <definedName name="FSD" localSheetId="18">#REF!</definedName>
    <definedName name="FSD">#REF!</definedName>
    <definedName name="Fut_Point" localSheetId="7">#REF!</definedName>
    <definedName name="Fut_Point" localSheetId="6">#REF!</definedName>
    <definedName name="Fut_Point" localSheetId="8">#REF!</definedName>
    <definedName name="Fut_Point" localSheetId="13">#REF!</definedName>
    <definedName name="Fut_Point" localSheetId="18">#REF!</definedName>
    <definedName name="Fut_Point">#REF!</definedName>
    <definedName name="Futs_Web_Query">#REF!</definedName>
    <definedName name="Futures_Prices_Upload_Date">#REF!</definedName>
    <definedName name="Gas" localSheetId="7">#REF!</definedName>
    <definedName name="Gas" localSheetId="6">#REF!</definedName>
    <definedName name="Gas" localSheetId="8">#REF!</definedName>
    <definedName name="Gas" localSheetId="13">#REF!</definedName>
    <definedName name="Gas" localSheetId="18">#REF!</definedName>
    <definedName name="Gas">#REF!</definedName>
    <definedName name="Gas_Fin_Non_Options" localSheetId="7">#REF!</definedName>
    <definedName name="Gas_Fin_Non_Options" localSheetId="6">#REF!</definedName>
    <definedName name="Gas_Fin_Non_Options" localSheetId="8">#REF!</definedName>
    <definedName name="Gas_Fin_Non_Options" localSheetId="13">#REF!</definedName>
    <definedName name="Gas_Fin_Non_Options" localSheetId="18">#REF!</definedName>
    <definedName name="Gas_Fin_Non_Options">#REF!</definedName>
    <definedName name="Gas_NOpt_PT_1" localSheetId="7">#REF!</definedName>
    <definedName name="Gas_NOpt_PT_1" localSheetId="6">#REF!</definedName>
    <definedName name="Gas_NOpt_PT_1" localSheetId="8">#REF!</definedName>
    <definedName name="Gas_NOpt_PT_1" localSheetId="13">#REF!</definedName>
    <definedName name="Gas_NOpt_PT_1" localSheetId="18">#REF!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#REF!</definedName>
    <definedName name="HISTORICDOLLAR" localSheetId="7">#REF!</definedName>
    <definedName name="HISTORICDOLLAR" localSheetId="6">#REF!</definedName>
    <definedName name="HISTORICDOLLAR" localSheetId="8">#REF!</definedName>
    <definedName name="HISTORICDOLLAR" localSheetId="13">#REF!</definedName>
    <definedName name="HISTORICDOLLAR" localSheetId="18">#REF!</definedName>
    <definedName name="HISTORICDOLLAR">#REF!</definedName>
    <definedName name="Hydro" localSheetId="7">#REF!</definedName>
    <definedName name="Hydro" localSheetId="6">#REF!</definedName>
    <definedName name="Hydro" localSheetId="8">#REF!</definedName>
    <definedName name="Hydro" localSheetId="13">#REF!</definedName>
    <definedName name="Hydro" localSheetId="18">#REF!</definedName>
    <definedName name="Hydro">#REF!</definedName>
    <definedName name="Interest_Rates_Upload_Date">#REF!</definedName>
    <definedName name="IR_Web_Query">#REF!</definedName>
    <definedName name="ITEMTYPE" localSheetId="7">#REF!</definedName>
    <definedName name="ITEMTYPE" localSheetId="6">#REF!</definedName>
    <definedName name="ITEMTYPE" localSheetId="8">#REF!</definedName>
    <definedName name="ITEMTYPE" localSheetId="13">#REF!</definedName>
    <definedName name="ITEMTYPE" localSheetId="18">#REF!</definedName>
    <definedName name="ITEMTYPE">#REF!</definedName>
    <definedName name="Level" localSheetId="7">#REF!</definedName>
    <definedName name="Level" localSheetId="6">#REF!</definedName>
    <definedName name="Level" localSheetId="8">#REF!</definedName>
    <definedName name="Level" localSheetId="13">#REF!</definedName>
    <definedName name="Level" localSheetId="18">#REF!</definedName>
    <definedName name="Level">#REF!</definedName>
    <definedName name="Liab" localSheetId="7">#REF!</definedName>
    <definedName name="Liab" localSheetId="6">#REF!</definedName>
    <definedName name="Liab" localSheetId="8">#REF!</definedName>
    <definedName name="Liab" localSheetId="13">#REF!</definedName>
    <definedName name="Liab" localSheetId="18">#REF!</definedName>
    <definedName name="Liab">#REF!</definedName>
    <definedName name="List_1st_nearby">#REF!</definedName>
    <definedName name="List_2nd_nearby">#REF!</definedName>
    <definedName name="List_3rd_nearby">#REF!</definedName>
    <definedName name="Load_Flag" localSheetId="7">#REF!</definedName>
    <definedName name="Load_Flag" localSheetId="6">#REF!</definedName>
    <definedName name="Load_Flag" localSheetId="8">#REF!</definedName>
    <definedName name="Load_Flag" localSheetId="13">#REF!</definedName>
    <definedName name="Load_Flag" localSheetId="18">#REF!</definedName>
    <definedName name="Load_Flag">#REF!</definedName>
    <definedName name="MonthList">#REF!</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#REF!</definedName>
    <definedName name="MTM_Summary_Compare" localSheetId="7">#REF!</definedName>
    <definedName name="MTM_Summary_Compare" localSheetId="6">#REF!</definedName>
    <definedName name="MTM_Summary_Compare" localSheetId="8">#REF!</definedName>
    <definedName name="MTM_Summary_Compare" localSheetId="13">#REF!</definedName>
    <definedName name="MTM_Summary_Compare" localSheetId="18">#REF!</definedName>
    <definedName name="MTM_Summary_Compare">#REF!</definedName>
    <definedName name="NEG" localSheetId="7">#REF!</definedName>
    <definedName name="NEG" localSheetId="6">#REF!</definedName>
    <definedName name="NEG" localSheetId="8">#REF!</definedName>
    <definedName name="NEG" localSheetId="13">#REF!</definedName>
    <definedName name="NEG" localSheetId="18">#REF!</definedName>
    <definedName name="NEG">#REF!</definedName>
    <definedName name="new" localSheetId="7" hidden="1">{#N/A,#N/A,TRUE,"Section6";#N/A,#N/A,TRUE,"OHcycles";#N/A,#N/A,TRUE,"OHtiming";#N/A,#N/A,TRUE,"OHcosts";#N/A,#N/A,TRUE,"GTdegradation";#N/A,#N/A,TRUE,"GTperformance";#N/A,#N/A,TRUE,"GraphEquip"}</definedName>
    <definedName name="new" localSheetId="6" hidden="1">{#N/A,#N/A,TRUE,"Section6";#N/A,#N/A,TRUE,"OHcycles";#N/A,#N/A,TRUE,"OHtiming";#N/A,#N/A,TRUE,"OHcosts";#N/A,#N/A,TRUE,"GTdegradation";#N/A,#N/A,TRUE,"GTperformance";#N/A,#N/A,TRUE,"GraphEquip"}</definedName>
    <definedName name="new" localSheetId="8" hidden="1">{#N/A,#N/A,TRUE,"Section6";#N/A,#N/A,TRUE,"OHcycles";#N/A,#N/A,TRUE,"OHtiming";#N/A,#N/A,TRUE,"OHcosts";#N/A,#N/A,TRUE,"GTdegradation";#N/A,#N/A,TRUE,"GTperformance";#N/A,#N/A,TRUE,"GraphEquip"}</definedName>
    <definedName name="new" localSheetId="13" hidden="1">{#N/A,#N/A,TRUE,"Section6";#N/A,#N/A,TRUE,"OHcycles";#N/A,#N/A,TRUE,"OHtiming";#N/A,#N/A,TRUE,"OHcosts";#N/A,#N/A,TRUE,"GTdegradation";#N/A,#N/A,TRUE,"GTperformance";#N/A,#N/A,TRUE,"GraphEquip"}</definedName>
    <definedName name="new" localSheetId="18" hidden="1">{#N/A,#N/A,TRUE,"Section6";#N/A,#N/A,TRUE,"OHcycles";#N/A,#N/A,TRUE,"OHtiming";#N/A,#N/A,TRUE,"OHcosts";#N/A,#N/A,TRUE,"GTdegradation";#N/A,#N/A,TRUE,"GTperformance";#N/A,#N/A,TRUE,"GraphEquip"}</definedName>
    <definedName name="new" hidden="1">{#N/A,#N/A,TRUE,"Section6";#N/A,#N/A,TRUE,"OHcycles";#N/A,#N/A,TRUE,"OHtiming";#N/A,#N/A,TRUE,"OHcosts";#N/A,#N/A,TRUE,"GTdegradation";#N/A,#N/A,TRUE,"GTperformance";#N/A,#N/A,TRUE,"GraphEquip"}</definedName>
    <definedName name="Next_Month" localSheetId="7">#REF!</definedName>
    <definedName name="Next_Month" localSheetId="6">#REF!</definedName>
    <definedName name="Next_Month" localSheetId="8">#REF!</definedName>
    <definedName name="Next_Month" localSheetId="13">#REF!</definedName>
    <definedName name="Next_Month" localSheetId="18">#REF!</definedName>
    <definedName name="Next_Month">#REF!</definedName>
    <definedName name="NoContamSystems">SUM(#REF!)</definedName>
    <definedName name="OOR" localSheetId="7">#REF!</definedName>
    <definedName name="OOR" localSheetId="6">#REF!</definedName>
    <definedName name="OOR" localSheetId="8">#REF!</definedName>
    <definedName name="OOR" localSheetId="13">#REF!</definedName>
    <definedName name="OOR" localSheetId="18">#REF!</definedName>
    <definedName name="OOR">#REF!</definedName>
    <definedName name="Op_Exp" localSheetId="7">#REF!</definedName>
    <definedName name="Op_Exp" localSheetId="6">#REF!</definedName>
    <definedName name="Op_Exp" localSheetId="8">#REF!</definedName>
    <definedName name="Op_Exp" localSheetId="13">#REF!</definedName>
    <definedName name="Op_Exp" localSheetId="18">#REF!</definedName>
    <definedName name="Op_Exp">#REF!</definedName>
    <definedName name="OracleUploadDate">#REF!</definedName>
    <definedName name="ord">#REF!</definedName>
    <definedName name="P_L" localSheetId="7">#REF!</definedName>
    <definedName name="P_L" localSheetId="6">#REF!</definedName>
    <definedName name="P_L" localSheetId="8">#REF!</definedName>
    <definedName name="P_L" localSheetId="13">#REF!</definedName>
    <definedName name="P_L" localSheetId="18">#REF!</definedName>
    <definedName name="P_L">#REF!</definedName>
    <definedName name="Past_Cash" localSheetId="7">#REF!</definedName>
    <definedName name="Past_Cash" localSheetId="6">#REF!</definedName>
    <definedName name="Past_Cash" localSheetId="8">#REF!</definedName>
    <definedName name="Past_Cash" localSheetId="13">#REF!</definedName>
    <definedName name="Past_Cash" localSheetId="18">#REF!</definedName>
    <definedName name="Past_Cash">#REF!</definedName>
    <definedName name="PivotTablePoint" localSheetId="7">#REF!</definedName>
    <definedName name="PivotTablePoint" localSheetId="6">#REF!</definedName>
    <definedName name="PivotTablePoint" localSheetId="8">#REF!</definedName>
    <definedName name="PivotTablePoint" localSheetId="13">#REF!</definedName>
    <definedName name="PivotTablePoint" localSheetId="18">#REF!</definedName>
    <definedName name="PivotTablePoint">#REF!</definedName>
    <definedName name="Posting_Keys" localSheetId="7">#REF!</definedName>
    <definedName name="Posting_Keys" localSheetId="6">#REF!</definedName>
    <definedName name="Posting_Keys" localSheetId="8">#REF!</definedName>
    <definedName name="Posting_Keys" localSheetId="13">#REF!</definedName>
    <definedName name="Posting_Keys" localSheetId="18">#REF!</definedName>
    <definedName name="Posting_Keys">#REF!</definedName>
    <definedName name="Power" localSheetId="7">#REF!</definedName>
    <definedName name="Power" localSheetId="6">#REF!</definedName>
    <definedName name="Power" localSheetId="8">#REF!</definedName>
    <definedName name="Power" localSheetId="13">#REF!</definedName>
    <definedName name="Power" localSheetId="18">#REF!</definedName>
    <definedName name="Power">#REF!</definedName>
    <definedName name="Power_Prices_Upload_Date">#REF!</definedName>
    <definedName name="Pricelist">#REF!</definedName>
    <definedName name="PriceListDec_01_2003">#REF!</definedName>
    <definedName name="PriceListOct_30_2003">#REF!</definedName>
    <definedName name="_xlnm.Print_Area" localSheetId="0">'One Time Adj Explanation'!$A$1:$F$43</definedName>
    <definedName name="_xlnm.Print_Area" localSheetId="4">'WP-2017 TO13 Sch20-AandG'!$A$1:$J$113</definedName>
    <definedName name="_xlnm.Print_Area" localSheetId="3">'WP-2017 TO13 Sch4-TUTRR'!$A$1:$L$109</definedName>
    <definedName name="_xlnm.Print_Area" localSheetId="7">'WP-2018 TO2020 Sch20-AandG'!$A$1:$J$104</definedName>
    <definedName name="_xlnm.Print_Area" localSheetId="6">'WP-2018 TO2020 Sch4-TUTRR'!$A$1:$L$109</definedName>
    <definedName name="_xlnm.Print_Area" localSheetId="10">'WP-2019 TO2018 Sch20-AandG'!$A$1:$J$105</definedName>
    <definedName name="_xlnm.Print_Area" localSheetId="9">'WP-2019 TO2018 Sch4-TUTRR'!$A$1:$O$109</definedName>
    <definedName name="_xlnm.Print_Area" localSheetId="12">'WP-2019 TO2021 Sch20-AandG'!$A$1:$J$109</definedName>
    <definedName name="_xlnm.Print_Area" localSheetId="11">'WP-2019 TO2021 Sch4-TUTRR'!$A$1:$N$107</definedName>
    <definedName name="_xlnm.Print_Area" localSheetId="8">'WP-2019 True Up TRR Adj'!$B$2:$J$16</definedName>
    <definedName name="_xlnm.Print_Area" localSheetId="16">'WP-2020 TO2022 Sch20-AandG'!$A$1:$J$109</definedName>
    <definedName name="_xlnm.Print_Area" localSheetId="17">'WP-2020 TO2022 Sch28-FFU'!$A$1:$J$46</definedName>
    <definedName name="_xlnm.Print_Area" localSheetId="14">'WP-2020 TO2022 Sch4-TUTRR'!$A$1:$K$107</definedName>
    <definedName name="_xlnm.Print_Area" localSheetId="15">'WP-2020 TO2022 Sch5-ROR-2'!$A$1:$P$69</definedName>
    <definedName name="_xlnm.Print_Area" localSheetId="13">'WP-2020 True Up TRR Adj'!$A$1:$G$14</definedName>
    <definedName name="_xlnm.Print_Area" localSheetId="20">'WP-2021 TO2023 Sch20-AandG'!$A$1:$K$112</definedName>
    <definedName name="_xlnm.Print_Area" localSheetId="21">'WP-2021 TO2023 Sch28-FFU'!$A$1:$J$46</definedName>
    <definedName name="_xlnm.Print_Area" localSheetId="19">'WP-2021 TO2023 Sch4-TUTRR'!$A$1:$M$108</definedName>
    <definedName name="_xlnm.Print_Area" localSheetId="18">'WP-2021 True Up TRR Adj'!$A$1:$G$13</definedName>
    <definedName name="_xlnm.Print_Area" localSheetId="1">'WP-Total Adj with Int'!$A$1:$W$73</definedName>
    <definedName name="print1" localSheetId="7">#REF!</definedName>
    <definedName name="print1" localSheetId="6">#REF!</definedName>
    <definedName name="print1" localSheetId="8">#REF!</definedName>
    <definedName name="print1" localSheetId="13">#REF!</definedName>
    <definedName name="print1" localSheetId="18">#REF!</definedName>
    <definedName name="print1">#REF!</definedName>
    <definedName name="print2" localSheetId="7">#REF!</definedName>
    <definedName name="print2" localSheetId="6">#REF!</definedName>
    <definedName name="print2" localSheetId="8">#REF!</definedName>
    <definedName name="print2" localSheetId="13">#REF!</definedName>
    <definedName name="print2" localSheetId="18">#REF!</definedName>
    <definedName name="print2">#REF!</definedName>
    <definedName name="PriorMTMdate">#REF!</definedName>
    <definedName name="ProcessDate" localSheetId="7">#REF!</definedName>
    <definedName name="ProcessDate" localSheetId="6">#REF!</definedName>
    <definedName name="ProcessDate" localSheetId="8">#REF!</definedName>
    <definedName name="ProcessDate" localSheetId="13">#REF!</definedName>
    <definedName name="ProcessDate" localSheetId="18">#REF!</definedName>
    <definedName name="ProcessDate">#REF!</definedName>
    <definedName name="ProcessDate2">#REF!</definedName>
    <definedName name="ProcessMonth" localSheetId="7">#REF!</definedName>
    <definedName name="ProcessMonth" localSheetId="6">#REF!</definedName>
    <definedName name="ProcessMonth" localSheetId="8">#REF!</definedName>
    <definedName name="ProcessMonth" localSheetId="13">#REF!</definedName>
    <definedName name="ProcessMonth" localSheetId="18">#REF!</definedName>
    <definedName name="ProcessMonth">#REF!</definedName>
    <definedName name="ProxyList">#REF!</definedName>
    <definedName name="QF_Asgn_List_Capacity" localSheetId="7">#REF!</definedName>
    <definedName name="QF_Asgn_List_Capacity" localSheetId="6">#REF!</definedName>
    <definedName name="QF_Asgn_List_Capacity" localSheetId="8">#REF!</definedName>
    <definedName name="QF_Asgn_List_Capacity" localSheetId="13">#REF!</definedName>
    <definedName name="QF_Asgn_List_Capacity" localSheetId="18">#REF!</definedName>
    <definedName name="QF_Asgn_List_Capacity">#REF!</definedName>
    <definedName name="QF_Asgn_List0212" localSheetId="7">#REF!</definedName>
    <definedName name="QF_Asgn_List0212" localSheetId="6">#REF!</definedName>
    <definedName name="QF_Asgn_List0212" localSheetId="8">#REF!</definedName>
    <definedName name="QF_Asgn_List0212" localSheetId="13">#REF!</definedName>
    <definedName name="QF_Asgn_List0212" localSheetId="18">#REF!</definedName>
    <definedName name="QF_Asgn_List0212">#REF!</definedName>
    <definedName name="QF_Asgn_List0301" localSheetId="7">#REF!</definedName>
    <definedName name="QF_Asgn_List0301" localSheetId="6">#REF!</definedName>
    <definedName name="QF_Asgn_List0301" localSheetId="8">#REF!</definedName>
    <definedName name="QF_Asgn_List0301" localSheetId="13">#REF!</definedName>
    <definedName name="QF_Asgn_List0301" localSheetId="18">#REF!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#REF!</definedName>
    <definedName name="SCE_10K_WK_JAN1" localSheetId="7">#REF!</definedName>
    <definedName name="SCE_10K_WK_JAN1" localSheetId="6">#REF!</definedName>
    <definedName name="SCE_10K_WK_JAN1" localSheetId="8">#REF!</definedName>
    <definedName name="SCE_10K_WK_JAN1" localSheetId="13">#REF!</definedName>
    <definedName name="SCE_10K_WK_JAN1" localSheetId="18">#REF!</definedName>
    <definedName name="SCE_10K_WK_JAN1">#REF!</definedName>
    <definedName name="SCE_10K_WK_LASTMO" localSheetId="7">#REF!</definedName>
    <definedName name="SCE_10K_WK_LASTMO" localSheetId="6">#REF!</definedName>
    <definedName name="SCE_10K_WK_LASTMO" localSheetId="8">#REF!</definedName>
    <definedName name="SCE_10K_WK_LASTMO" localSheetId="13">#REF!</definedName>
    <definedName name="SCE_10K_WK_LASTMO" localSheetId="18">#REF!</definedName>
    <definedName name="SCE_10K_WK_LASTMO">#REF!</definedName>
    <definedName name="SCE_WS" localSheetId="7">#REF!</definedName>
    <definedName name="SCE_WS" localSheetId="6">#REF!</definedName>
    <definedName name="SCE_WS" localSheetId="8">#REF!</definedName>
    <definedName name="SCE_WS" localSheetId="13">#REF!</definedName>
    <definedName name="SCE_WS" localSheetId="18">#REF!</definedName>
    <definedName name="SCE_WS">#REF!</definedName>
    <definedName name="SCE_WS_LASTMO">#REF!</definedName>
    <definedName name="SCE10K">#REF!</definedName>
    <definedName name="SCE10KWksht">#REF!</definedName>
    <definedName name="Season2_data">#REF!</definedName>
    <definedName name="Season4_data">#REF!</definedName>
    <definedName name="Setup_Shape">#REF!</definedName>
    <definedName name="Solar" localSheetId="7">#REF!</definedName>
    <definedName name="Solar" localSheetId="6">#REF!</definedName>
    <definedName name="Solar" localSheetId="8">#REF!</definedName>
    <definedName name="Solar" localSheetId="13">#REF!</definedName>
    <definedName name="Solar" localSheetId="18">#REF!</definedName>
    <definedName name="Solar">#REF!</definedName>
    <definedName name="SUBMITEM" localSheetId="7">#REF!</definedName>
    <definedName name="SUBMITEM" localSheetId="6">#REF!</definedName>
    <definedName name="SUBMITEM" localSheetId="8">#REF!</definedName>
    <definedName name="SUBMITEM" localSheetId="13">#REF!</definedName>
    <definedName name="SUBMITEM" localSheetId="18">#REF!</definedName>
    <definedName name="SUBMITEM">#REF!</definedName>
    <definedName name="SUBMITEMS" localSheetId="7">#REF!</definedName>
    <definedName name="SUBMITEMS" localSheetId="6">#REF!</definedName>
    <definedName name="SUBMITEMS" localSheetId="8">#REF!</definedName>
    <definedName name="SUBMITEMS" localSheetId="13">#REF!</definedName>
    <definedName name="SUBMITEMS" localSheetId="18">#REF!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#REF!</definedName>
    <definedName name="TransCapMTM" localSheetId="7">#REF!</definedName>
    <definedName name="TransCapMTM" localSheetId="6">#REF!</definedName>
    <definedName name="TransCapMTM" localSheetId="8">#REF!</definedName>
    <definedName name="TransCapMTM" localSheetId="13">#REF!</definedName>
    <definedName name="TransCapMTM" localSheetId="18">#REF!</definedName>
    <definedName name="TransCapMTM">#REF!</definedName>
    <definedName name="Upload_Basis">#REF!</definedName>
    <definedName name="Upload_Basis_Access">#REF!</definedName>
    <definedName name="Upload_Futs">#REF!</definedName>
    <definedName name="Upload_Futs_Access">#REF!</definedName>
    <definedName name="Upload_IR">#REF!</definedName>
    <definedName name="Upload_IR_Access" localSheetId="7">#REF!</definedName>
    <definedName name="Upload_IR_Access" localSheetId="6">#REF!</definedName>
    <definedName name="Upload_IR_Access" localSheetId="8">#REF!</definedName>
    <definedName name="Upload_IR_Access" localSheetId="13">#REF!</definedName>
    <definedName name="Upload_IR_Access" localSheetId="18">#REF!</definedName>
    <definedName name="Upload_IR_Access">#REF!</definedName>
    <definedName name="Upload_Pwr">#REF!</definedName>
    <definedName name="Upload_Pwr_Access">#REF!</definedName>
    <definedName name="UploadAccess">#REF!</definedName>
    <definedName name="Uploads_IR_Access" localSheetId="7">#REF!</definedName>
    <definedName name="Uploads_IR_Access" localSheetId="6">#REF!</definedName>
    <definedName name="Uploads_IR_Access" localSheetId="8">#REF!</definedName>
    <definedName name="Uploads_IR_Access" localSheetId="13">#REF!</definedName>
    <definedName name="Uploads_IR_Access" localSheetId="18">#REF!</definedName>
    <definedName name="Uploads_IR_Access">#REF!</definedName>
    <definedName name="UploadVol">#REF!</definedName>
    <definedName name="Volatility_Upload_Date">#REF!</definedName>
    <definedName name="Week" localSheetId="7">{0;1;2;3;4;5}</definedName>
    <definedName name="Week" localSheetId="6">{0;1;2;3;4;5}</definedName>
    <definedName name="Week" localSheetId="8">{0;1;2;3;4;5}</definedName>
    <definedName name="Week" localSheetId="13">{0;1;2;3;4;5}</definedName>
    <definedName name="Week" localSheetId="18">{0;1;2;3;4;5}</definedName>
    <definedName name="Week">{0;1;2;3;4;5}</definedName>
    <definedName name="Weekday" localSheetId="7">{1,2,3,4,5,6,7}</definedName>
    <definedName name="Weekday" localSheetId="6">{1,2,3,4,5,6,7}</definedName>
    <definedName name="Weekday" localSheetId="8">{1,2,3,4,5,6,7}</definedName>
    <definedName name="Weekday" localSheetId="13">{1,2,3,4,5,6,7}</definedName>
    <definedName name="Weekday" localSheetId="18">{1,2,3,4,5,6,7}</definedName>
    <definedName name="Weekday">{1,2,3,4,5,6,7}</definedName>
    <definedName name="Wind" localSheetId="7">#REF!</definedName>
    <definedName name="Wind" localSheetId="6">#REF!</definedName>
    <definedName name="Wind" localSheetId="8">#REF!</definedName>
    <definedName name="Wind" localSheetId="13">#REF!</definedName>
    <definedName name="Wind" localSheetId="18">#REF!</definedName>
    <definedName name="Wind">#REF!</definedName>
    <definedName name="WITdata">#REF!</definedName>
    <definedName name="wrn.Cover." localSheetId="7" hidden="1">{#N/A,#N/A,TRUE,"Cover";#N/A,#N/A,TRUE,"Contents"}</definedName>
    <definedName name="wrn.Cover." localSheetId="6" hidden="1">{#N/A,#N/A,TRUE,"Cover";#N/A,#N/A,TRUE,"Contents"}</definedName>
    <definedName name="wrn.Cover." localSheetId="8" hidden="1">{#N/A,#N/A,TRUE,"Cover";#N/A,#N/A,TRUE,"Contents"}</definedName>
    <definedName name="wrn.Cover." localSheetId="13" hidden="1">{#N/A,#N/A,TRUE,"Cover";#N/A,#N/A,TRUE,"Contents"}</definedName>
    <definedName name="wrn.Cover." localSheetId="18" hidden="1">{#N/A,#N/A,TRUE,"Cover";#N/A,#N/A,TRUE,"Contents"}</definedName>
    <definedName name="wrn.Cover." hidden="1">{#N/A,#N/A,TRUE,"Cover";#N/A,#N/A,TRUE,"Contents"}</definedName>
    <definedName name="wrn.CoverContents." localSheetId="7" hidden="1">{#N/A,#N/A,FALSE,"Cover";#N/A,#N/A,FALSE,"Contents"}</definedName>
    <definedName name="wrn.CoverContents." localSheetId="6" hidden="1">{#N/A,#N/A,FALSE,"Cover";#N/A,#N/A,FALSE,"Contents"}</definedName>
    <definedName name="wrn.CoverContents." localSheetId="8" hidden="1">{#N/A,#N/A,FALSE,"Cover";#N/A,#N/A,FALSE,"Contents"}</definedName>
    <definedName name="wrn.CoverContents." localSheetId="13" hidden="1">{#N/A,#N/A,FALSE,"Cover";#N/A,#N/A,FALSE,"Contents"}</definedName>
    <definedName name="wrn.CoverContents." localSheetId="18" hidden="1">{#N/A,#N/A,FALSE,"Cover";#N/A,#N/A,FALSE,"Contents"}</definedName>
    <definedName name="wrn.CoverContents." hidden="1">{#N/A,#N/A,FALSE,"Cover";#N/A,#N/A,FALSE,"Contents"}</definedName>
    <definedName name="wrn.Distributed._.Decon._.Notebook." localSheetId="7"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6"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8"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3"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localSheetId="18"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localSheetId="7" hidden="1">{#N/A,#N/A,TRUE,"EPEsum";#N/A,#N/A,TRUE,"Approve1";#N/A,#N/A,TRUE,"Approve2";#N/A,#N/A,TRUE,"Approve3";#N/A,#N/A,TRUE,"EPE1";#N/A,#N/A,TRUE,"EPE2";#N/A,#N/A,TRUE,"CashCompare";#N/A,#N/A,TRUE,"XIRR";#N/A,#N/A,TRUE,"EPEloan";#N/A,#N/A,TRUE,"GraphEPE";#N/A,#N/A,TRUE,"OrgChart";#N/A,#N/A,TRUE,"SA08B"}</definedName>
    <definedName name="wrn.El._.Paso._.Offshore." localSheetId="6" hidden="1">{#N/A,#N/A,TRUE,"EPEsum";#N/A,#N/A,TRUE,"Approve1";#N/A,#N/A,TRUE,"Approve2";#N/A,#N/A,TRUE,"Approve3";#N/A,#N/A,TRUE,"EPE1";#N/A,#N/A,TRUE,"EPE2";#N/A,#N/A,TRUE,"CashCompare";#N/A,#N/A,TRUE,"XIRR";#N/A,#N/A,TRUE,"EPEloan";#N/A,#N/A,TRUE,"GraphEPE";#N/A,#N/A,TRUE,"OrgChart";#N/A,#N/A,TRUE,"SA08B"}</definedName>
    <definedName name="wrn.El._.Paso._.Offshore." localSheetId="8" hidden="1">{#N/A,#N/A,TRUE,"EPEsum";#N/A,#N/A,TRUE,"Approve1";#N/A,#N/A,TRUE,"Approve2";#N/A,#N/A,TRUE,"Approve3";#N/A,#N/A,TRUE,"EPE1";#N/A,#N/A,TRUE,"EPE2";#N/A,#N/A,TRUE,"CashCompare";#N/A,#N/A,TRUE,"XIRR";#N/A,#N/A,TRUE,"EPEloan";#N/A,#N/A,TRUE,"GraphEPE";#N/A,#N/A,TRUE,"OrgChart";#N/A,#N/A,TRUE,"SA08B"}</definedName>
    <definedName name="wrn.El._.Paso._.Offshore." localSheetId="13" hidden="1">{#N/A,#N/A,TRUE,"EPEsum";#N/A,#N/A,TRUE,"Approve1";#N/A,#N/A,TRUE,"Approve2";#N/A,#N/A,TRUE,"Approve3";#N/A,#N/A,TRUE,"EPE1";#N/A,#N/A,TRUE,"EPE2";#N/A,#N/A,TRUE,"CashCompare";#N/A,#N/A,TRUE,"XIRR";#N/A,#N/A,TRUE,"EPEloan";#N/A,#N/A,TRUE,"GraphEPE";#N/A,#N/A,TRUE,"OrgChart";#N/A,#N/A,TRUE,"SA08B"}</definedName>
    <definedName name="wrn.El._.Paso._.Offshore." localSheetId="18" hidden="1">{#N/A,#N/A,TRUE,"EPEsum";#N/A,#N/A,TRUE,"Approve1";#N/A,#N/A,TRUE,"Approve2";#N/A,#N/A,TRUE,"Approve3";#N/A,#N/A,TRUE,"EPE1";#N/A,#N/A,TRUE,"EPE2";#N/A,#N/A,TRUE,"CashCompare";#N/A,#N/A,TRUE,"XIRR";#N/A,#N/A,TRUE,"EPEloan";#N/A,#N/A,TRUE,"GraphEPE";#N/A,#N/A,TRUE,"OrgChart";#N/A,#N/A,TRUE,"SA08B"}</definedName>
    <definedName name="wrn.El._.Paso._.Offshore." hidden="1">{#N/A,#N/A,TRUE,"EPEsum";#N/A,#N/A,TRUE,"Approve1";#N/A,#N/A,TRUE,"Approve2";#N/A,#N/A,TRUE,"Approve3";#N/A,#N/A,TRUE,"EPE1";#N/A,#N/A,TRUE,"EPE2";#N/A,#N/A,TRUE,"CashCompare";#N/A,#N/A,TRUE,"XIRR";#N/A,#N/A,TRUE,"EPEloan";#N/A,#N/A,TRUE,"GraphEPE";#N/A,#N/A,TRUE,"OrgChart";#N/A,#N/A,TRUE,"SA08B"}</definedName>
    <definedName name="wrn.PrintHistory." localSheetId="7"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6"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8"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3"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localSheetId="18"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localSheetId="7" hidden="1">{#N/A,#N/A,FALSE,"Cover";#N/A,#N/A,FALSE,"ProjectSelector";#N/A,#N/A,FALSE,"ProjectTable";#N/A,#N/A,FALSE,"SanGorgonio";#N/A,#N/A,FALSE,"Tehachapi";#N/A,#N/A,FALSE,"Results";#N/A,#N/A,FALSE,"ReplaceForecast"}</definedName>
    <definedName name="wrn.PrintOther." localSheetId="6" hidden="1">{#N/A,#N/A,FALSE,"Cover";#N/A,#N/A,FALSE,"ProjectSelector";#N/A,#N/A,FALSE,"ProjectTable";#N/A,#N/A,FALSE,"SanGorgonio";#N/A,#N/A,FALSE,"Tehachapi";#N/A,#N/A,FALSE,"Results";#N/A,#N/A,FALSE,"ReplaceForecast"}</definedName>
    <definedName name="wrn.PrintOther." localSheetId="8" hidden="1">{#N/A,#N/A,FALSE,"Cover";#N/A,#N/A,FALSE,"ProjectSelector";#N/A,#N/A,FALSE,"ProjectTable";#N/A,#N/A,FALSE,"SanGorgonio";#N/A,#N/A,FALSE,"Tehachapi";#N/A,#N/A,FALSE,"Results";#N/A,#N/A,FALSE,"ReplaceForecast"}</definedName>
    <definedName name="wrn.PrintOther." localSheetId="13" hidden="1">{#N/A,#N/A,FALSE,"Cover";#N/A,#N/A,FALSE,"ProjectSelector";#N/A,#N/A,FALSE,"ProjectTable";#N/A,#N/A,FALSE,"SanGorgonio";#N/A,#N/A,FALSE,"Tehachapi";#N/A,#N/A,FALSE,"Results";#N/A,#N/A,FALSE,"ReplaceForecast"}</definedName>
    <definedName name="wrn.PrintOther." localSheetId="18" hidden="1">{#N/A,#N/A,FALSE,"Cover";#N/A,#N/A,FALSE,"ProjectSelector";#N/A,#N/A,FALSE,"ProjectTable";#N/A,#N/A,FALSE,"SanGorgonio";#N/A,#N/A,FALSE,"Tehachapi";#N/A,#N/A,FALSE,"Results";#N/A,#N/A,FALSE,"ReplaceForecast"}</definedName>
    <definedName name="wrn.PrintOther." hidden="1">{#N/A,#N/A,FALSE,"Cover";#N/A,#N/A,FALSE,"ProjectSelector";#N/A,#N/A,FALSE,"ProjectTable";#N/A,#N/A,FALSE,"SanGorgonio";#N/A,#N/A,FALSE,"Tehachapi";#N/A,#N/A,FALSE,"Results";#N/A,#N/A,FALSE,"ReplaceForecast"}</definedName>
    <definedName name="wrn.Resource._.Dictionary._.Notebook." localSheetId="7"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6"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8"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3"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localSheetId="18"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localSheetId="7" hidden="1">{#N/A,#N/A,TRUE,"Section1";"SavingsTop",#N/A,TRUE,"SumSavings";#N/A,#N/A,TRUE,"GraphSum";"SavingsAll",#N/A,TRUE,"SumSavings";#N/A,#N/A,TRUE,"Inputs";#N/A,#N/A,TRUE,"Scenarios";#N/A,#N/A,TRUE,"LineLoss";#N/A,#N/A,TRUE,"Summary";#N/A,#N/A,TRUE,"TermSummary";#N/A,#N/A,TRUE,"NetRates";#N/A,#N/A,TRUE,"PPAtypes"}</definedName>
    <definedName name="wrn.Section1." localSheetId="6" hidden="1">{#N/A,#N/A,TRUE,"Section1";"SavingsTop",#N/A,TRUE,"SumSavings";#N/A,#N/A,TRUE,"GraphSum";"SavingsAll",#N/A,TRUE,"SumSavings";#N/A,#N/A,TRUE,"Inputs";#N/A,#N/A,TRUE,"Scenarios";#N/A,#N/A,TRUE,"LineLoss";#N/A,#N/A,TRUE,"Summary";#N/A,#N/A,TRUE,"TermSummary";#N/A,#N/A,TRUE,"NetRates";#N/A,#N/A,TRUE,"PPAtypes"}</definedName>
    <definedName name="wrn.Section1." localSheetId="8" hidden="1">{#N/A,#N/A,TRUE,"Section1";"SavingsTop",#N/A,TRUE,"SumSavings";#N/A,#N/A,TRUE,"GraphSum";"SavingsAll",#N/A,TRUE,"SumSavings";#N/A,#N/A,TRUE,"Inputs";#N/A,#N/A,TRUE,"Scenarios";#N/A,#N/A,TRUE,"LineLoss";#N/A,#N/A,TRUE,"Summary";#N/A,#N/A,TRUE,"TermSummary";#N/A,#N/A,TRUE,"NetRates";#N/A,#N/A,TRUE,"PPAtypes"}</definedName>
    <definedName name="wrn.Section1." localSheetId="13" hidden="1">{#N/A,#N/A,TRUE,"Section1";"SavingsTop",#N/A,TRUE,"SumSavings";#N/A,#N/A,TRUE,"GraphSum";"SavingsAll",#N/A,TRUE,"SumSavings";#N/A,#N/A,TRUE,"Inputs";#N/A,#N/A,TRUE,"Scenarios";#N/A,#N/A,TRUE,"LineLoss";#N/A,#N/A,TRUE,"Summary";#N/A,#N/A,TRUE,"TermSummary";#N/A,#N/A,TRUE,"NetRates";#N/A,#N/A,TRUE,"PPAtypes"}</definedName>
    <definedName name="wrn.Section1." localSheetId="18" hidden="1">{#N/A,#N/A,TRUE,"Section1";"SavingsTop",#N/A,TRUE,"SumSavings";#N/A,#N/A,TRUE,"GraphSum";"SavingsAll",#N/A,TRUE,"SumSavings";#N/A,#N/A,TRUE,"Inputs";#N/A,#N/A,TRUE,"Scenarios";#N/A,#N/A,TRUE,"LineLoss";#N/A,#N/A,TRUE,"Summary";#N/A,#N/A,TRUE,"TermSummary";#N/A,#N/A,TRUE,"NetRates";#N/A,#N/A,TRUE,"PPAtypes"}</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localSheetId="7" hidden="1">{#N/A,#N/A,TRUE,"Section1";#N/A,#N/A,TRUE,"SumF";#N/A,#N/A,TRUE,"FigExchange";#N/A,#N/A,TRUE,"Escalation";#N/A,#N/A,TRUE,"GraphEscalate";#N/A,#N/A,TRUE,"Scenarios"}</definedName>
    <definedName name="wrn.Section1Summaries." localSheetId="6" hidden="1">{#N/A,#N/A,TRUE,"Section1";#N/A,#N/A,TRUE,"SumF";#N/A,#N/A,TRUE,"FigExchange";#N/A,#N/A,TRUE,"Escalation";#N/A,#N/A,TRUE,"GraphEscalate";#N/A,#N/A,TRUE,"Scenarios"}</definedName>
    <definedName name="wrn.Section1Summaries." localSheetId="8" hidden="1">{#N/A,#N/A,TRUE,"Section1";#N/A,#N/A,TRUE,"SumF";#N/A,#N/A,TRUE,"FigExchange";#N/A,#N/A,TRUE,"Escalation";#N/A,#N/A,TRUE,"GraphEscalate";#N/A,#N/A,TRUE,"Scenarios"}</definedName>
    <definedName name="wrn.Section1Summaries." localSheetId="13" hidden="1">{#N/A,#N/A,TRUE,"Section1";#N/A,#N/A,TRUE,"SumF";#N/A,#N/A,TRUE,"FigExchange";#N/A,#N/A,TRUE,"Escalation";#N/A,#N/A,TRUE,"GraphEscalate";#N/A,#N/A,TRUE,"Scenarios"}</definedName>
    <definedName name="wrn.Section1Summaries." localSheetId="18" hidden="1">{#N/A,#N/A,TRUE,"Section1";#N/A,#N/A,TRUE,"SumF";#N/A,#N/A,TRUE,"FigExchange";#N/A,#N/A,TRUE,"Escalation";#N/A,#N/A,TRUE,"GraphEscalate";#N/A,#N/A,TRUE,"Scenarios"}</definedName>
    <definedName name="wrn.Section1Summaries." hidden="1">{#N/A,#N/A,TRUE,"Section1";#N/A,#N/A,TRUE,"SumF";#N/A,#N/A,TRUE,"FigExchange";#N/A,#N/A,TRUE,"Escalation";#N/A,#N/A,TRUE,"GraphEscalate";#N/A,#N/A,TRUE,"Scenarios"}</definedName>
    <definedName name="wrn.Section2." localSheetId="7" hidden="1">{#N/A,#N/A,TRUE,"Section2";#N/A,#N/A,TRUE,"OverPymt";#N/A,#N/A,TRUE,"Energy";#N/A,#N/A,TRUE,"EnergyDiff1";#N/A,#N/A,TRUE,"EnergyDiff2";#N/A,#N/A,TRUE,"CapPerformance";#N/A,#N/A,TRUE,"BonusPerformance";#N/A,#N/A,TRUE,"BonusFormula";#N/A,#N/A,TRUE,"GraphPymt"}</definedName>
    <definedName name="wrn.Section2." localSheetId="6" hidden="1">{#N/A,#N/A,TRUE,"Section2";#N/A,#N/A,TRUE,"OverPymt";#N/A,#N/A,TRUE,"Energy";#N/A,#N/A,TRUE,"EnergyDiff1";#N/A,#N/A,TRUE,"EnergyDiff2";#N/A,#N/A,TRUE,"CapPerformance";#N/A,#N/A,TRUE,"BonusPerformance";#N/A,#N/A,TRUE,"BonusFormula";#N/A,#N/A,TRUE,"GraphPymt"}</definedName>
    <definedName name="wrn.Section2." localSheetId="8" hidden="1">{#N/A,#N/A,TRUE,"Section2";#N/A,#N/A,TRUE,"OverPymt";#N/A,#N/A,TRUE,"Energy";#N/A,#N/A,TRUE,"EnergyDiff1";#N/A,#N/A,TRUE,"EnergyDiff2";#N/A,#N/A,TRUE,"CapPerformance";#N/A,#N/A,TRUE,"BonusPerformance";#N/A,#N/A,TRUE,"BonusFormula";#N/A,#N/A,TRUE,"GraphPymt"}</definedName>
    <definedName name="wrn.Section2." localSheetId="13" hidden="1">{#N/A,#N/A,TRUE,"Section2";#N/A,#N/A,TRUE,"OverPymt";#N/A,#N/A,TRUE,"Energy";#N/A,#N/A,TRUE,"EnergyDiff1";#N/A,#N/A,TRUE,"EnergyDiff2";#N/A,#N/A,TRUE,"CapPerformance";#N/A,#N/A,TRUE,"BonusPerformance";#N/A,#N/A,TRUE,"BonusFormula";#N/A,#N/A,TRUE,"GraphPymt"}</definedName>
    <definedName name="wrn.Section2." localSheetId="18" hidden="1">{#N/A,#N/A,TRUE,"Section2";#N/A,#N/A,TRUE,"OverPymt";#N/A,#N/A,TRUE,"Energy";#N/A,#N/A,TRUE,"EnergyDiff1";#N/A,#N/A,TRUE,"EnergyDiff2";#N/A,#N/A,TRUE,"CapPerformance";#N/A,#N/A,TRUE,"BonusPerformance";#N/A,#N/A,TRUE,"BonusFormula";#N/A,#N/A,TRUE,"GraphPymt"}</definedName>
    <definedName name="wrn.Section2." hidden="1">{#N/A,#N/A,TRUE,"Section2";#N/A,#N/A,TRUE,"OverPymt";#N/A,#N/A,TRUE,"Energy";#N/A,#N/A,TRUE,"EnergyDiff1";#N/A,#N/A,TRUE,"EnergyDiff2";#N/A,#N/A,TRUE,"CapPerformance";#N/A,#N/A,TRUE,"BonusPerformance";#N/A,#N/A,TRUE,"BonusFormula";#N/A,#N/A,TRUE,"GraphPymt"}</definedName>
    <definedName name="wrn.Section2TotalProjectCost." localSheetId="7" hidden="1">{#N/A,#N/A,TRUE,"Section2";#N/A,#N/A,TRUE,"TPCestimate";#N/A,#N/A,TRUE,"SumTPC";#N/A,#N/A,TRUE,"ConstrLoan";#N/A,#N/A,TRUE,"FigBalance";#N/A,#N/A,TRUE,"DEV27air";#N/A,#N/A,TRUE,"Graph27air";#N/A,#N/A,TRUE,"PreOp"}</definedName>
    <definedName name="wrn.Section2TotalProjectCost." localSheetId="6" hidden="1">{#N/A,#N/A,TRUE,"Section2";#N/A,#N/A,TRUE,"TPCestimate";#N/A,#N/A,TRUE,"SumTPC";#N/A,#N/A,TRUE,"ConstrLoan";#N/A,#N/A,TRUE,"FigBalance";#N/A,#N/A,TRUE,"DEV27air";#N/A,#N/A,TRUE,"Graph27air";#N/A,#N/A,TRUE,"PreOp"}</definedName>
    <definedName name="wrn.Section2TotalProjectCost." localSheetId="8" hidden="1">{#N/A,#N/A,TRUE,"Section2";#N/A,#N/A,TRUE,"TPCestimate";#N/A,#N/A,TRUE,"SumTPC";#N/A,#N/A,TRUE,"ConstrLoan";#N/A,#N/A,TRUE,"FigBalance";#N/A,#N/A,TRUE,"DEV27air";#N/A,#N/A,TRUE,"Graph27air";#N/A,#N/A,TRUE,"PreOp"}</definedName>
    <definedName name="wrn.Section2TotalProjectCost." localSheetId="13" hidden="1">{#N/A,#N/A,TRUE,"Section2";#N/A,#N/A,TRUE,"TPCestimate";#N/A,#N/A,TRUE,"SumTPC";#N/A,#N/A,TRUE,"ConstrLoan";#N/A,#N/A,TRUE,"FigBalance";#N/A,#N/A,TRUE,"DEV27air";#N/A,#N/A,TRUE,"Graph27air";#N/A,#N/A,TRUE,"PreOp"}</definedName>
    <definedName name="wrn.Section2TotalProjectCost." localSheetId="18" hidden="1">{#N/A,#N/A,TRUE,"Section2";#N/A,#N/A,TRUE,"TPCestimate";#N/A,#N/A,TRUE,"SumTPC";#N/A,#N/A,TRUE,"ConstrLoan";#N/A,#N/A,TRUE,"FigBalance";#N/A,#N/A,TRUE,"DEV27air";#N/A,#N/A,TRUE,"Graph27air";#N/A,#N/A,TRUE,"PreOp"}</definedName>
    <definedName name="wrn.Section2TotalProjectCost." hidden="1">{#N/A,#N/A,TRUE,"Section2";#N/A,#N/A,TRUE,"TPCestimate";#N/A,#N/A,TRUE,"SumTPC";#N/A,#N/A,TRUE,"ConstrLoan";#N/A,#N/A,TRUE,"FigBalance";#N/A,#N/A,TRUE,"DEV27air";#N/A,#N/A,TRUE,"Graph27air";#N/A,#N/A,TRUE,"PreOp"}</definedName>
    <definedName name="wrn.Section3." localSheetId="7" hidden="1">{#N/A,#N/A,TRUE,"Section3";#N/A,#N/A,TRUE,"BaseYear";#N/A,#N/A,TRUE,"GenHistory";#N/A,#N/A,TRUE,"GenGraph";#N/A,#N/A,TRUE,"MonthCompare";#N/A,#N/A,TRUE,"HourHistory";#N/A,#N/A,TRUE,"PayHistory";#N/A,#N/A,TRUE,"PayGraphs";#N/A,#N/A,TRUE,"ReplaceForecast";#N/A,#N/A,TRUE,"PPAforecast";#N/A,#N/A,TRUE,"OLSier"}</definedName>
    <definedName name="wrn.Section3." localSheetId="6" hidden="1">{#N/A,#N/A,TRUE,"Section3";#N/A,#N/A,TRUE,"BaseYear";#N/A,#N/A,TRUE,"GenHistory";#N/A,#N/A,TRUE,"GenGraph";#N/A,#N/A,TRUE,"MonthCompare";#N/A,#N/A,TRUE,"HourHistory";#N/A,#N/A,TRUE,"PayHistory";#N/A,#N/A,TRUE,"PayGraphs";#N/A,#N/A,TRUE,"ReplaceForecast";#N/A,#N/A,TRUE,"PPAforecast";#N/A,#N/A,TRUE,"OLSier"}</definedName>
    <definedName name="wrn.Section3." localSheetId="8" hidden="1">{#N/A,#N/A,TRUE,"Section3";#N/A,#N/A,TRUE,"BaseYear";#N/A,#N/A,TRUE,"GenHistory";#N/A,#N/A,TRUE,"GenGraph";#N/A,#N/A,TRUE,"MonthCompare";#N/A,#N/A,TRUE,"HourHistory";#N/A,#N/A,TRUE,"PayHistory";#N/A,#N/A,TRUE,"PayGraphs";#N/A,#N/A,TRUE,"ReplaceForecast";#N/A,#N/A,TRUE,"PPAforecast";#N/A,#N/A,TRUE,"OLSier"}</definedName>
    <definedName name="wrn.Section3." localSheetId="13" hidden="1">{#N/A,#N/A,TRUE,"Section3";#N/A,#N/A,TRUE,"BaseYear";#N/A,#N/A,TRUE,"GenHistory";#N/A,#N/A,TRUE,"GenGraph";#N/A,#N/A,TRUE,"MonthCompare";#N/A,#N/A,TRUE,"HourHistory";#N/A,#N/A,TRUE,"PayHistory";#N/A,#N/A,TRUE,"PayGraphs";#N/A,#N/A,TRUE,"ReplaceForecast";#N/A,#N/A,TRUE,"PPAforecast";#N/A,#N/A,TRUE,"OLSier"}</definedName>
    <definedName name="wrn.Section3." localSheetId="18" hidden="1">{#N/A,#N/A,TRUE,"Section3";#N/A,#N/A,TRUE,"BaseYear";#N/A,#N/A,TRUE,"GenHistory";#N/A,#N/A,TRUE,"GenGraph";#N/A,#N/A,TRUE,"MonthCompare";#N/A,#N/A,TRUE,"HourHistory";#N/A,#N/A,TRUE,"PayHistory";#N/A,#N/A,TRUE,"PayGraphs";#N/A,#N/A,TRUE,"ReplaceForecast";#N/A,#N/A,TRUE,"PPAforecast";#N/A,#N/A,TRUE,"OLSier"}</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localSheetId="7" hidden="1">{#N/A,#N/A,TRUE,"Section3";#N/A,#N/A,TRUE,"Tax";#N/A,#N/A,TRUE,"Dividend";#N/A,#N/A,TRUE,"Depreciation";#N/A,#N/A,TRUE,"Balance";#N/A,#N/A,TRUE,"SaleGain";#N/A,#N/A,TRUE,"RevExp";#N/A,#N/A,TRUE,"PIG";#N/A,#N/A,TRUE,"GraphPlant"}</definedName>
    <definedName name="wrn.Section3PowerPlantCompany." localSheetId="6" hidden="1">{#N/A,#N/A,TRUE,"Section3";#N/A,#N/A,TRUE,"Tax";#N/A,#N/A,TRUE,"Dividend";#N/A,#N/A,TRUE,"Depreciation";#N/A,#N/A,TRUE,"Balance";#N/A,#N/A,TRUE,"SaleGain";#N/A,#N/A,TRUE,"RevExp";#N/A,#N/A,TRUE,"PIG";#N/A,#N/A,TRUE,"GraphPlant"}</definedName>
    <definedName name="wrn.Section3PowerPlantCompany." localSheetId="8" hidden="1">{#N/A,#N/A,TRUE,"Section3";#N/A,#N/A,TRUE,"Tax";#N/A,#N/A,TRUE,"Dividend";#N/A,#N/A,TRUE,"Depreciation";#N/A,#N/A,TRUE,"Balance";#N/A,#N/A,TRUE,"SaleGain";#N/A,#N/A,TRUE,"RevExp";#N/A,#N/A,TRUE,"PIG";#N/A,#N/A,TRUE,"GraphPlant"}</definedName>
    <definedName name="wrn.Section3PowerPlantCompany." localSheetId="13" hidden="1">{#N/A,#N/A,TRUE,"Section3";#N/A,#N/A,TRUE,"Tax";#N/A,#N/A,TRUE,"Dividend";#N/A,#N/A,TRUE,"Depreciation";#N/A,#N/A,TRUE,"Balance";#N/A,#N/A,TRUE,"SaleGain";#N/A,#N/A,TRUE,"RevExp";#N/A,#N/A,TRUE,"PIG";#N/A,#N/A,TRUE,"GraphPlant"}</definedName>
    <definedName name="wrn.Section3PowerPlantCompany." localSheetId="18" hidden="1">{#N/A,#N/A,TRUE,"Section3";#N/A,#N/A,TRUE,"Tax";#N/A,#N/A,TRUE,"Dividend";#N/A,#N/A,TRUE,"Depreciation";#N/A,#N/A,TRUE,"Balance";#N/A,#N/A,TRUE,"SaleGain";#N/A,#N/A,TRUE,"RevExp";#N/A,#N/A,TRUE,"PIG";#N/A,#N/A,TRUE,"GraphPlant"}</definedName>
    <definedName name="wrn.Section3PowerPlantCompany." hidden="1">{#N/A,#N/A,TRUE,"Section3";#N/A,#N/A,TRUE,"Tax";#N/A,#N/A,TRUE,"Dividend";#N/A,#N/A,TRUE,"Depreciation";#N/A,#N/A,TRUE,"Balance";#N/A,#N/A,TRUE,"SaleGain";#N/A,#N/A,TRUE,"RevExp";#N/A,#N/A,TRUE,"PIG";#N/A,#N/A,TRUE,"GraphPlant"}</definedName>
    <definedName name="wrn.Section4." localSheetId="7" hidden="1">{#N/A,#N/A,TRUE,"Section4";#N/A,#N/A,TRUE,"Tariffwksht";#N/A,#N/A,TRUE,"TariffINFO";#N/A,#N/A,TRUE,"Generation";#N/A,#N/A,TRUE,"PPAsum";#N/A,#N/A,TRUE,"PPApayments";#N/A,#N/A,TRUE,"RevExp";#N/A,#N/A,TRUE,"GraphRevenue";#N/A,#N/A,TRUE,"GraphRevExp"}</definedName>
    <definedName name="wrn.Section4." localSheetId="6" hidden="1">{#N/A,#N/A,TRUE,"Section4";#N/A,#N/A,TRUE,"Tariffwksht";#N/A,#N/A,TRUE,"TariffINFO";#N/A,#N/A,TRUE,"Generation";#N/A,#N/A,TRUE,"PPAsum";#N/A,#N/A,TRUE,"PPApayments";#N/A,#N/A,TRUE,"RevExp";#N/A,#N/A,TRUE,"GraphRevenue";#N/A,#N/A,TRUE,"GraphRevExp"}</definedName>
    <definedName name="wrn.Section4." localSheetId="8" hidden="1">{#N/A,#N/A,TRUE,"Section4";#N/A,#N/A,TRUE,"Tariffwksht";#N/A,#N/A,TRUE,"TariffINFO";#N/A,#N/A,TRUE,"Generation";#N/A,#N/A,TRUE,"PPAsum";#N/A,#N/A,TRUE,"PPApayments";#N/A,#N/A,TRUE,"RevExp";#N/A,#N/A,TRUE,"GraphRevenue";#N/A,#N/A,TRUE,"GraphRevExp"}</definedName>
    <definedName name="wrn.Section4." localSheetId="13" hidden="1">{#N/A,#N/A,TRUE,"Section4";#N/A,#N/A,TRUE,"Tariffwksht";#N/A,#N/A,TRUE,"TariffINFO";#N/A,#N/A,TRUE,"Generation";#N/A,#N/A,TRUE,"PPAsum";#N/A,#N/A,TRUE,"PPApayments";#N/A,#N/A,TRUE,"RevExp";#N/A,#N/A,TRUE,"GraphRevenue";#N/A,#N/A,TRUE,"GraphRevExp"}</definedName>
    <definedName name="wrn.Section4." localSheetId="18" hidden="1">{#N/A,#N/A,TRUE,"Section4";#N/A,#N/A,TRUE,"Tariffwksht";#N/A,#N/A,TRUE,"TariffINFO";#N/A,#N/A,TRUE,"Generation";#N/A,#N/A,TRUE,"PPAsum";#N/A,#N/A,TRUE,"PPApayments";#N/A,#N/A,TRUE,"RevExp";#N/A,#N/A,TRUE,"GraphRevenue";#N/A,#N/A,TRUE,"GraphRevExp"}</definedName>
    <definedName name="wrn.Section4." hidden="1">{#N/A,#N/A,TRUE,"Section4";#N/A,#N/A,TRUE,"Tariffwksht";#N/A,#N/A,TRUE,"TariffINFO";#N/A,#N/A,TRUE,"Generation";#N/A,#N/A,TRUE,"PPAsum";#N/A,#N/A,TRUE,"PPApayments";#N/A,#N/A,TRUE,"RevExp";#N/A,#N/A,TRUE,"GraphRevenue";#N/A,#N/A,TRUE,"GraphRevExp"}</definedName>
    <definedName name="wrn.Section4Revenue." localSheetId="7" hidden="1">{#N/A,#N/A,TRUE,"Section4";#N/A,#N/A,TRUE,"PPAtable";#N/A,#N/A,TRUE,"RFPtable";#N/A,#N/A,TRUE,"RevCap";#N/A,#N/A,TRUE,"RevOther";#N/A,#N/A,TRUE,"RevGas";#N/A,#N/A,TRUE,"GraphRev"}</definedName>
    <definedName name="wrn.Section4Revenue." localSheetId="6" hidden="1">{#N/A,#N/A,TRUE,"Section4";#N/A,#N/A,TRUE,"PPAtable";#N/A,#N/A,TRUE,"RFPtable";#N/A,#N/A,TRUE,"RevCap";#N/A,#N/A,TRUE,"RevOther";#N/A,#N/A,TRUE,"RevGas";#N/A,#N/A,TRUE,"GraphRev"}</definedName>
    <definedName name="wrn.Section4Revenue." localSheetId="8" hidden="1">{#N/A,#N/A,TRUE,"Section4";#N/A,#N/A,TRUE,"PPAtable";#N/A,#N/A,TRUE,"RFPtable";#N/A,#N/A,TRUE,"RevCap";#N/A,#N/A,TRUE,"RevOther";#N/A,#N/A,TRUE,"RevGas";#N/A,#N/A,TRUE,"GraphRev"}</definedName>
    <definedName name="wrn.Section4Revenue." localSheetId="13" hidden="1">{#N/A,#N/A,TRUE,"Section4";#N/A,#N/A,TRUE,"PPAtable";#N/A,#N/A,TRUE,"RFPtable";#N/A,#N/A,TRUE,"RevCap";#N/A,#N/A,TRUE,"RevOther";#N/A,#N/A,TRUE,"RevGas";#N/A,#N/A,TRUE,"GraphRev"}</definedName>
    <definedName name="wrn.Section4Revenue." localSheetId="18" hidden="1">{#N/A,#N/A,TRUE,"Section4";#N/A,#N/A,TRUE,"PPAtable";#N/A,#N/A,TRUE,"RFPtable";#N/A,#N/A,TRUE,"RevCap";#N/A,#N/A,TRUE,"RevOther";#N/A,#N/A,TRUE,"RevGas";#N/A,#N/A,TRUE,"GraphRev"}</definedName>
    <definedName name="wrn.Section4Revenue." hidden="1">{#N/A,#N/A,TRUE,"Section4";#N/A,#N/A,TRUE,"PPAtable";#N/A,#N/A,TRUE,"RFPtable";#N/A,#N/A,TRUE,"RevCap";#N/A,#N/A,TRUE,"RevOther";#N/A,#N/A,TRUE,"RevGas";#N/A,#N/A,TRUE,"GraphRev"}</definedName>
    <definedName name="wrn.Section5." localSheetId="7" hidden="1">{#N/A,#N/A,TRUE,"Section5";#N/A,#N/A,TRUE,"Coal";#N/A,#N/A,TRUE,"Fuel";#N/A,#N/A,TRUE,"OMwksht";#N/A,#N/A,TRUE,"VOM";#N/A,#N/A,TRUE,"FOM";#N/A,#N/A,TRUE,"Debt";#N/A,#N/A,TRUE,"LoanSchedules";#N/A,#N/A,TRUE,"GraphExp";#N/A,#N/A,TRUE,"Conversions"}</definedName>
    <definedName name="wrn.Section5." localSheetId="6" hidden="1">{#N/A,#N/A,TRUE,"Section5";#N/A,#N/A,TRUE,"Coal";#N/A,#N/A,TRUE,"Fuel";#N/A,#N/A,TRUE,"OMwksht";#N/A,#N/A,TRUE,"VOM";#N/A,#N/A,TRUE,"FOM";#N/A,#N/A,TRUE,"Debt";#N/A,#N/A,TRUE,"LoanSchedules";#N/A,#N/A,TRUE,"GraphExp";#N/A,#N/A,TRUE,"Conversions"}</definedName>
    <definedName name="wrn.Section5." localSheetId="8" hidden="1">{#N/A,#N/A,TRUE,"Section5";#N/A,#N/A,TRUE,"Coal";#N/A,#N/A,TRUE,"Fuel";#N/A,#N/A,TRUE,"OMwksht";#N/A,#N/A,TRUE,"VOM";#N/A,#N/A,TRUE,"FOM";#N/A,#N/A,TRUE,"Debt";#N/A,#N/A,TRUE,"LoanSchedules";#N/A,#N/A,TRUE,"GraphExp";#N/A,#N/A,TRUE,"Conversions"}</definedName>
    <definedName name="wrn.Section5." localSheetId="13" hidden="1">{#N/A,#N/A,TRUE,"Section5";#N/A,#N/A,TRUE,"Coal";#N/A,#N/A,TRUE,"Fuel";#N/A,#N/A,TRUE,"OMwksht";#N/A,#N/A,TRUE,"VOM";#N/A,#N/A,TRUE,"FOM";#N/A,#N/A,TRUE,"Debt";#N/A,#N/A,TRUE,"LoanSchedules";#N/A,#N/A,TRUE,"GraphExp";#N/A,#N/A,TRUE,"Conversions"}</definedName>
    <definedName name="wrn.Section5." localSheetId="18" hidden="1">{#N/A,#N/A,TRUE,"Section5";#N/A,#N/A,TRUE,"Coal";#N/A,#N/A,TRUE,"Fuel";#N/A,#N/A,TRUE,"OMwksht";#N/A,#N/A,TRUE,"VOM";#N/A,#N/A,TRUE,"FOM";#N/A,#N/A,TRUE,"Debt";#N/A,#N/A,TRUE,"LoanSchedules";#N/A,#N/A,TRUE,"GraphExp";#N/A,#N/A,TRUE,"Conversions"}</definedName>
    <definedName name="wrn.Section5." hidden="1">{#N/A,#N/A,TRUE,"Section5";#N/A,#N/A,TRUE,"Coal";#N/A,#N/A,TRUE,"Fuel";#N/A,#N/A,TRUE,"OMwksht";#N/A,#N/A,TRUE,"VOM";#N/A,#N/A,TRUE,"FOM";#N/A,#N/A,TRUE,"Debt";#N/A,#N/A,TRUE,"LoanSchedules";#N/A,#N/A,TRUE,"GraphExp";#N/A,#N/A,TRUE,"Conversions"}</definedName>
    <definedName name="wrn.Section5Expenses." localSheetId="7" hidden="1">{#N/A,#N/A,TRUE,"Section5";#N/A,#N/A,TRUE,"Gas";#N/A,#N/A,TRUE,"Oil";#N/A,#N/A,TRUE,"SumOM";#N/A,#N/A,TRUE,"VOM";#N/A,#N/A,TRUE,"FOM";#N/A,#N/A,TRUE,"StartUps";#N/A,#N/A,TRUE,"Labor";#N/A,#N/A,TRUE,"PlantOrg";#N/A,#N/A,TRUE,"Conversions";#N/A,#N/A,TRUE,"GraphExp"}</definedName>
    <definedName name="wrn.Section5Expenses." localSheetId="6" hidden="1">{#N/A,#N/A,TRUE,"Section5";#N/A,#N/A,TRUE,"Gas";#N/A,#N/A,TRUE,"Oil";#N/A,#N/A,TRUE,"SumOM";#N/A,#N/A,TRUE,"VOM";#N/A,#N/A,TRUE,"FOM";#N/A,#N/A,TRUE,"StartUps";#N/A,#N/A,TRUE,"Labor";#N/A,#N/A,TRUE,"PlantOrg";#N/A,#N/A,TRUE,"Conversions";#N/A,#N/A,TRUE,"GraphExp"}</definedName>
    <definedName name="wrn.Section5Expenses." localSheetId="8" hidden="1">{#N/A,#N/A,TRUE,"Section5";#N/A,#N/A,TRUE,"Gas";#N/A,#N/A,TRUE,"Oil";#N/A,#N/A,TRUE,"SumOM";#N/A,#N/A,TRUE,"VOM";#N/A,#N/A,TRUE,"FOM";#N/A,#N/A,TRUE,"StartUps";#N/A,#N/A,TRUE,"Labor";#N/A,#N/A,TRUE,"PlantOrg";#N/A,#N/A,TRUE,"Conversions";#N/A,#N/A,TRUE,"GraphExp"}</definedName>
    <definedName name="wrn.Section5Expenses." localSheetId="13" hidden="1">{#N/A,#N/A,TRUE,"Section5";#N/A,#N/A,TRUE,"Gas";#N/A,#N/A,TRUE,"Oil";#N/A,#N/A,TRUE,"SumOM";#N/A,#N/A,TRUE,"VOM";#N/A,#N/A,TRUE,"FOM";#N/A,#N/A,TRUE,"StartUps";#N/A,#N/A,TRUE,"Labor";#N/A,#N/A,TRUE,"PlantOrg";#N/A,#N/A,TRUE,"Conversions";#N/A,#N/A,TRUE,"GraphExp"}</definedName>
    <definedName name="wrn.Section5Expenses." localSheetId="18" hidden="1">{#N/A,#N/A,TRUE,"Section5";#N/A,#N/A,TRUE,"Gas";#N/A,#N/A,TRUE,"Oil";#N/A,#N/A,TRUE,"SumOM";#N/A,#N/A,TRUE,"VOM";#N/A,#N/A,TRUE,"FOM";#N/A,#N/A,TRUE,"StartUps";#N/A,#N/A,TRUE,"Labor";#N/A,#N/A,TRUE,"PlantOrg";#N/A,#N/A,TRUE,"Conversions";#N/A,#N/A,TRUE,"GraphExp"}</definedName>
    <definedName name="wrn.Section5Expenses." hidden="1">{#N/A,#N/A,TRUE,"Section5";#N/A,#N/A,TRUE,"Gas";#N/A,#N/A,TRUE,"Oil";#N/A,#N/A,TRUE,"SumOM";#N/A,#N/A,TRUE,"VOM";#N/A,#N/A,TRUE,"FOM";#N/A,#N/A,TRUE,"StartUps";#N/A,#N/A,TRUE,"Labor";#N/A,#N/A,TRUE,"PlantOrg";#N/A,#N/A,TRUE,"Conversions";#N/A,#N/A,TRUE,"GraphExp"}</definedName>
    <definedName name="wrn.Section6Equipment." localSheetId="7" hidden="1">{#N/A,#N/A,TRUE,"Section6";#N/A,#N/A,TRUE,"OHcycles";#N/A,#N/A,TRUE,"OHtiming";#N/A,#N/A,TRUE,"OHcosts";#N/A,#N/A,TRUE,"GTdegradation";#N/A,#N/A,TRUE,"GTperformance";#N/A,#N/A,TRUE,"GraphEquip"}</definedName>
    <definedName name="wrn.Section6Equipment." localSheetId="6" hidden="1">{#N/A,#N/A,TRUE,"Section6";#N/A,#N/A,TRUE,"OHcycles";#N/A,#N/A,TRUE,"OHtiming";#N/A,#N/A,TRUE,"OHcosts";#N/A,#N/A,TRUE,"GTdegradation";#N/A,#N/A,TRUE,"GTperformance";#N/A,#N/A,TRUE,"GraphEquip"}</definedName>
    <definedName name="wrn.Section6Equipment." localSheetId="8" hidden="1">{#N/A,#N/A,TRUE,"Section6";#N/A,#N/A,TRUE,"OHcycles";#N/A,#N/A,TRUE,"OHtiming";#N/A,#N/A,TRUE,"OHcosts";#N/A,#N/A,TRUE,"GTdegradation";#N/A,#N/A,TRUE,"GTperformance";#N/A,#N/A,TRUE,"GraphEquip"}</definedName>
    <definedName name="wrn.Section6Equipment." localSheetId="13" hidden="1">{#N/A,#N/A,TRUE,"Section6";#N/A,#N/A,TRUE,"OHcycles";#N/A,#N/A,TRUE,"OHtiming";#N/A,#N/A,TRUE,"OHcosts";#N/A,#N/A,TRUE,"GTdegradation";#N/A,#N/A,TRUE,"GTperformance";#N/A,#N/A,TRUE,"GraphEquip"}</definedName>
    <definedName name="wrn.Section6Equipment." localSheetId="18" hidden="1">{#N/A,#N/A,TRUE,"Section6";#N/A,#N/A,TRUE,"OHcycles";#N/A,#N/A,TRUE,"OHtiming";#N/A,#N/A,TRUE,"OHcosts";#N/A,#N/A,TRUE,"GTdegradation";#N/A,#N/A,TRUE,"GTperformance";#N/A,#N/A,TRUE,"GraphEquip"}</definedName>
    <definedName name="wrn.Section6Equipment." hidden="1">{#N/A,#N/A,TRUE,"Section6";#N/A,#N/A,TRUE,"OHcycles";#N/A,#N/A,TRUE,"OHtiming";#N/A,#N/A,TRUE,"OHcosts";#N/A,#N/A,TRUE,"GTdegradation";#N/A,#N/A,TRUE,"GTperformance";#N/A,#N/A,TRUE,"GraphEquip"}</definedName>
    <definedName name="wrn.Section7DebtService." localSheetId="7" hidden="1">{#N/A,#N/A,TRUE,"Section7";#N/A,#N/A,TRUE,"DebtService";#N/A,#N/A,TRUE,"LoanSchedules";#N/A,#N/A,TRUE,"GraphDebt"}</definedName>
    <definedName name="wrn.Section7DebtService." localSheetId="6" hidden="1">{#N/A,#N/A,TRUE,"Section7";#N/A,#N/A,TRUE,"DebtService";#N/A,#N/A,TRUE,"LoanSchedules";#N/A,#N/A,TRUE,"GraphDebt"}</definedName>
    <definedName name="wrn.Section7DebtService." localSheetId="8" hidden="1">{#N/A,#N/A,TRUE,"Section7";#N/A,#N/A,TRUE,"DebtService";#N/A,#N/A,TRUE,"LoanSchedules";#N/A,#N/A,TRUE,"GraphDebt"}</definedName>
    <definedName name="wrn.Section7DebtService." localSheetId="13" hidden="1">{#N/A,#N/A,TRUE,"Section7";#N/A,#N/A,TRUE,"DebtService";#N/A,#N/A,TRUE,"LoanSchedules";#N/A,#N/A,TRUE,"GraphDebt"}</definedName>
    <definedName name="wrn.Section7DebtService." localSheetId="18" hidden="1">{#N/A,#N/A,TRUE,"Section7";#N/A,#N/A,TRUE,"DebtService";#N/A,#N/A,TRUE,"LoanSchedules";#N/A,#N/A,TRUE,"GraphDebt"}</definedName>
    <definedName name="wrn.Section7DebtService." hidden="1">{#N/A,#N/A,TRUE,"Section7";#N/A,#N/A,TRUE,"DebtService";#N/A,#N/A,TRUE,"LoanSchedules";#N/A,#N/A,TRUE,"GraphDebt"}</definedName>
    <definedName name="wrn.SponsorSection." localSheetId="7" hidden="1">{#N/A,#N/A,TRUE,"Cover";#N/A,#N/A,TRUE,"Contents";#N/A,#N/A,TRUE,"Organization";#N/A,#N/A,TRUE,"SumSponsor";#N/A,#N/A,TRUE,"Plant1";#N/A,#N/A,TRUE,"Plant2";#N/A,#N/A,TRUE,"Sponsors";#N/A,#N/A,TRUE,"ElPaso1";#N/A,#N/A,TRUE,"GraphSponsor"}</definedName>
    <definedName name="wrn.SponsorSection." localSheetId="6" hidden="1">{#N/A,#N/A,TRUE,"Cover";#N/A,#N/A,TRUE,"Contents";#N/A,#N/A,TRUE,"Organization";#N/A,#N/A,TRUE,"SumSponsor";#N/A,#N/A,TRUE,"Plant1";#N/A,#N/A,TRUE,"Plant2";#N/A,#N/A,TRUE,"Sponsors";#N/A,#N/A,TRUE,"ElPaso1";#N/A,#N/A,TRUE,"GraphSponsor"}</definedName>
    <definedName name="wrn.SponsorSection." localSheetId="8" hidden="1">{#N/A,#N/A,TRUE,"Cover";#N/A,#N/A,TRUE,"Contents";#N/A,#N/A,TRUE,"Organization";#N/A,#N/A,TRUE,"SumSponsor";#N/A,#N/A,TRUE,"Plant1";#N/A,#N/A,TRUE,"Plant2";#N/A,#N/A,TRUE,"Sponsors";#N/A,#N/A,TRUE,"ElPaso1";#N/A,#N/A,TRUE,"GraphSponsor"}</definedName>
    <definedName name="wrn.SponsorSection." localSheetId="13" hidden="1">{#N/A,#N/A,TRUE,"Cover";#N/A,#N/A,TRUE,"Contents";#N/A,#N/A,TRUE,"Organization";#N/A,#N/A,TRUE,"SumSponsor";#N/A,#N/A,TRUE,"Plant1";#N/A,#N/A,TRUE,"Plant2";#N/A,#N/A,TRUE,"Sponsors";#N/A,#N/A,TRUE,"ElPaso1";#N/A,#N/A,TRUE,"GraphSponsor"}</definedName>
    <definedName name="wrn.SponsorSection." localSheetId="18" hidden="1">{#N/A,#N/A,TRUE,"Cover";#N/A,#N/A,TRUE,"Contents";#N/A,#N/A,TRUE,"Organization";#N/A,#N/A,TRUE,"SumSponsor";#N/A,#N/A,TRUE,"Plant1";#N/A,#N/A,TRUE,"Plant2";#N/A,#N/A,TRUE,"Sponsors";#N/A,#N/A,TRUE,"ElPaso1";#N/A,#N/A,TRUE,"GraphSponsor"}</definedName>
    <definedName name="wrn.SponsorSection." hidden="1">{#N/A,#N/A,TRUE,"Cover";#N/A,#N/A,TRUE,"Contents";#N/A,#N/A,TRUE,"Organization";#N/A,#N/A,TRUE,"SumSponsor";#N/A,#N/A,TRUE,"Plant1";#N/A,#N/A,TRUE,"Plant2";#N/A,#N/A,TRUE,"Sponsors";#N/A,#N/A,TRUE,"ElPaso1";#N/A,#N/A,TRUE,"GraphSponsor"}</definedName>
    <definedName name="wrn.Summary." localSheetId="7" hidden="1">{"Table A",#N/A,FALSE,"Summary";"Table D",#N/A,FALSE,"Summary";"Table E",#N/A,FALSE,"Summary"}</definedName>
    <definedName name="wrn.Summary." localSheetId="6" hidden="1">{"Table A",#N/A,FALSE,"Summary";"Table D",#N/A,FALSE,"Summary";"Table E",#N/A,FALSE,"Summary"}</definedName>
    <definedName name="wrn.Summary." localSheetId="8" hidden="1">{"Table A",#N/A,FALSE,"Summary";"Table D",#N/A,FALSE,"Summary";"Table E",#N/A,FALSE,"Summary"}</definedName>
    <definedName name="wrn.Summary." localSheetId="13" hidden="1">{"Table A",#N/A,FALSE,"Summary";"Table D",#N/A,FALSE,"Summary";"Table E",#N/A,FALSE,"Summary"}</definedName>
    <definedName name="wrn.Summary." localSheetId="18" hidden="1">{"Table A",#N/A,FALSE,"Summary";"Table D",#N/A,FALSE,"Summary";"Table E",#N/A,FALSE,"Summary"}</definedName>
    <definedName name="wrn.Summary." hidden="1">{"Table A",#N/A,FALSE,"Summary";"Table D",#N/A,FALSE,"Summary";"Table E",#N/A,FALSE,"Summary"}</definedName>
    <definedName name="wrn.Total._.Summary." localSheetId="7" hidden="1">{"Total Summary",#N/A,FALSE,"Summary"}</definedName>
    <definedName name="wrn.Total._.Summary." localSheetId="6" hidden="1">{"Total Summary",#N/A,FALSE,"Summary"}</definedName>
    <definedName name="wrn.Total._.Summary." localSheetId="8" hidden="1">{"Total Summary",#N/A,FALSE,"Summary"}</definedName>
    <definedName name="wrn.Total._.Summary." localSheetId="13" hidden="1">{"Total Summary",#N/A,FALSE,"Summary"}</definedName>
    <definedName name="wrn.Total._.Summary." localSheetId="18" hidden="1">{"Total Summary",#N/A,FALSE,"Summary"}</definedName>
    <definedName name="wrn.Total._.Summary." hidden="1">{"Total Summary",#N/A,FALSE,"Summary"}</definedName>
    <definedName name="YearList">#REF!</definedName>
    <definedName name="YearProxy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4" i="100" l="1"/>
  <c r="F32" i="100"/>
  <c r="F25" i="100"/>
  <c r="F27" i="100"/>
  <c r="F23" i="100"/>
  <c r="F39" i="100"/>
  <c r="W73" i="86" l="1"/>
  <c r="E29" i="100"/>
  <c r="F13" i="100" l="1"/>
  <c r="E39" i="100" l="1"/>
  <c r="E27" i="100"/>
  <c r="E25" i="100"/>
  <c r="E23" i="100"/>
  <c r="E42" i="273"/>
  <c r="E22" i="273" s="1"/>
  <c r="E41" i="273"/>
  <c r="D22" i="273" s="1"/>
  <c r="H65" i="272"/>
  <c r="I50" i="272"/>
  <c r="C26" i="272"/>
  <c r="A26" i="272"/>
  <c r="C24" i="272"/>
  <c r="C22" i="272"/>
  <c r="C20" i="272"/>
  <c r="A20" i="272"/>
  <c r="C18" i="272"/>
  <c r="A18" i="272"/>
  <c r="C16" i="272"/>
  <c r="C14" i="272"/>
  <c r="C12" i="272"/>
  <c r="C10" i="272"/>
  <c r="A10" i="272"/>
  <c r="A14" i="272" s="1"/>
  <c r="C8" i="272"/>
  <c r="D7" i="194"/>
  <c r="F103" i="271"/>
  <c r="F98" i="271"/>
  <c r="E87" i="271"/>
  <c r="E103" i="271" s="1"/>
  <c r="J42" i="271" s="1"/>
  <c r="J86" i="271"/>
  <c r="M78" i="271"/>
  <c r="J62" i="271"/>
  <c r="H42" i="271"/>
  <c r="H33" i="271"/>
  <c r="A7" i="271"/>
  <c r="A8" i="271" s="1"/>
  <c r="A9" i="271" s="1"/>
  <c r="A12" i="271" s="1"/>
  <c r="J15" i="271" l="1"/>
  <c r="J21" i="271"/>
  <c r="J29" i="271" s="1"/>
  <c r="A13" i="271"/>
  <c r="A14" i="271" s="1"/>
  <c r="A15" i="271" s="1"/>
  <c r="A18" i="271" s="1"/>
  <c r="H15" i="271"/>
  <c r="E98" i="271"/>
  <c r="J33" i="271" s="1"/>
  <c r="E32" i="100"/>
  <c r="D7" i="267"/>
  <c r="E34" i="100"/>
  <c r="F17" i="100"/>
  <c r="F19" i="100" s="1"/>
  <c r="E17" i="100"/>
  <c r="E19" i="100" s="1"/>
  <c r="L36" i="86"/>
  <c r="F11" i="100"/>
  <c r="E11" i="100"/>
  <c r="E13" i="100" s="1"/>
  <c r="H26" i="86"/>
  <c r="H27" i="86" s="1"/>
  <c r="H28" i="86" s="1"/>
  <c r="H29" i="86" s="1"/>
  <c r="H30" i="86" s="1"/>
  <c r="H31" i="86" s="1"/>
  <c r="H32" i="86" s="1"/>
  <c r="H33" i="86" s="1"/>
  <c r="H34" i="86" s="1"/>
  <c r="H35" i="86" s="1"/>
  <c r="H25" i="86"/>
  <c r="H24" i="86"/>
  <c r="F6" i="100"/>
  <c r="F8" i="100" s="1"/>
  <c r="E6" i="100"/>
  <c r="A19" i="271" l="1"/>
  <c r="A20" i="271" s="1"/>
  <c r="A21" i="271" s="1"/>
  <c r="J38" i="271"/>
  <c r="J56" i="271" s="1"/>
  <c r="J34" i="271"/>
  <c r="J55" i="271" s="1"/>
  <c r="J41" i="271"/>
  <c r="E36" i="100"/>
  <c r="E42" i="270"/>
  <c r="E22" i="270" s="1"/>
  <c r="E41" i="270"/>
  <c r="D22" i="270" s="1"/>
  <c r="C103" i="269"/>
  <c r="F71" i="269"/>
  <c r="E71" i="269"/>
  <c r="H43" i="269" s="1"/>
  <c r="D43" i="269" s="1"/>
  <c r="G12" i="269" s="1"/>
  <c r="I12" i="269" s="1"/>
  <c r="F64" i="269"/>
  <c r="E64" i="269"/>
  <c r="H57" i="269"/>
  <c r="G57" i="269"/>
  <c r="G58" i="269" s="1"/>
  <c r="G37" i="269" s="1"/>
  <c r="D37" i="269" s="1"/>
  <c r="G6" i="269" s="1"/>
  <c r="D50" i="269"/>
  <c r="D49" i="269"/>
  <c r="G18" i="269" s="1"/>
  <c r="D48" i="269"/>
  <c r="D47" i="269"/>
  <c r="D46" i="269"/>
  <c r="D45" i="269"/>
  <c r="G14" i="269" s="1"/>
  <c r="F44" i="269"/>
  <c r="D44" i="269" s="1"/>
  <c r="G13" i="269" s="1"/>
  <c r="D42" i="269"/>
  <c r="G11" i="269" s="1"/>
  <c r="D41" i="269"/>
  <c r="D40" i="269"/>
  <c r="D39" i="269"/>
  <c r="D38" i="269"/>
  <c r="G7" i="269" s="1"/>
  <c r="F24" i="269"/>
  <c r="E20" i="269"/>
  <c r="I19" i="269"/>
  <c r="G19" i="269"/>
  <c r="I17" i="269"/>
  <c r="G17" i="269"/>
  <c r="I16" i="269"/>
  <c r="G16" i="269"/>
  <c r="I15" i="269"/>
  <c r="G15" i="269"/>
  <c r="I10" i="269"/>
  <c r="F29" i="269" s="1"/>
  <c r="G10" i="269"/>
  <c r="I9" i="269"/>
  <c r="G9" i="269"/>
  <c r="I8" i="269"/>
  <c r="G8" i="269"/>
  <c r="A8" i="269"/>
  <c r="A9" i="269" s="1"/>
  <c r="A10" i="269" s="1"/>
  <c r="A7" i="269"/>
  <c r="F104" i="268"/>
  <c r="F99" i="268"/>
  <c r="J87" i="268"/>
  <c r="E88" i="268" s="1"/>
  <c r="M78" i="268"/>
  <c r="J62" i="268"/>
  <c r="H42" i="268"/>
  <c r="H33" i="268"/>
  <c r="A7" i="268"/>
  <c r="A8" i="268" s="1"/>
  <c r="J59" i="271" l="1"/>
  <c r="J64" i="271" s="1"/>
  <c r="E68" i="271" s="1"/>
  <c r="E70" i="271" s="1"/>
  <c r="A23" i="271"/>
  <c r="H29" i="271"/>
  <c r="H21" i="271"/>
  <c r="I7" i="269"/>
  <c r="I18" i="269"/>
  <c r="I11" i="269"/>
  <c r="I6" i="269"/>
  <c r="J15" i="268"/>
  <c r="J29" i="268" s="1"/>
  <c r="J21" i="268"/>
  <c r="I13" i="269"/>
  <c r="I14" i="269"/>
  <c r="A11" i="269"/>
  <c r="A12" i="269" s="1"/>
  <c r="A13" i="269" s="1"/>
  <c r="A14" i="269" s="1"/>
  <c r="A15" i="269" s="1"/>
  <c r="A16" i="269" s="1"/>
  <c r="A17" i="269" s="1"/>
  <c r="A18" i="269" s="1"/>
  <c r="A19" i="269" s="1"/>
  <c r="G24" i="269"/>
  <c r="E104" i="268"/>
  <c r="J42" i="268" s="1"/>
  <c r="E99" i="268"/>
  <c r="J33" i="268" s="1"/>
  <c r="A9" i="268"/>
  <c r="A12" i="268" s="1"/>
  <c r="E72" i="271" l="1"/>
  <c r="E73" i="271"/>
  <c r="A24" i="271"/>
  <c r="A25" i="271" s="1"/>
  <c r="A26" i="271" s="1"/>
  <c r="A27" i="271" s="1"/>
  <c r="A29" i="271" s="1"/>
  <c r="I20" i="269"/>
  <c r="F23" i="269" s="1"/>
  <c r="F25" i="269" s="1"/>
  <c r="F27" i="269" s="1"/>
  <c r="F30" i="269" s="1"/>
  <c r="A20" i="269"/>
  <c r="C80" i="269"/>
  <c r="J41" i="268"/>
  <c r="J34" i="268"/>
  <c r="J55" i="268" s="1"/>
  <c r="J38" i="268"/>
  <c r="J56" i="268" s="1"/>
  <c r="A13" i="268"/>
  <c r="A14" i="268" s="1"/>
  <c r="A15" i="268" s="1"/>
  <c r="A18" i="268" s="1"/>
  <c r="J70" i="271" l="1"/>
  <c r="J72" i="271" s="1"/>
  <c r="D6" i="194"/>
  <c r="H41" i="271"/>
  <c r="A33" i="271"/>
  <c r="A34" i="271" s="1"/>
  <c r="H30" i="271"/>
  <c r="G23" i="269"/>
  <c r="A23" i="269"/>
  <c r="A19" i="268"/>
  <c r="A20" i="268" s="1"/>
  <c r="A21" i="268" s="1"/>
  <c r="H21" i="268"/>
  <c r="H15" i="268"/>
  <c r="J59" i="268"/>
  <c r="J64" i="268" s="1"/>
  <c r="E68" i="268" s="1"/>
  <c r="H34" i="271" l="1"/>
  <c r="A38" i="271"/>
  <c r="H55" i="271"/>
  <c r="A24" i="269"/>
  <c r="A25" i="269" s="1"/>
  <c r="E70" i="268"/>
  <c r="E72" i="268"/>
  <c r="E74" i="268"/>
  <c r="A23" i="268"/>
  <c r="H29" i="268"/>
  <c r="H56" i="271" l="1"/>
  <c r="A41" i="271"/>
  <c r="A42" i="271" s="1"/>
  <c r="A43" i="271" s="1"/>
  <c r="A44" i="271" s="1"/>
  <c r="A45" i="271" s="1"/>
  <c r="A48" i="271" s="1"/>
  <c r="J70" i="268"/>
  <c r="J72" i="268" s="1"/>
  <c r="D6" i="267"/>
  <c r="G25" i="269"/>
  <c r="A26" i="269"/>
  <c r="A27" i="269" s="1"/>
  <c r="A24" i="268"/>
  <c r="A25" i="268" s="1"/>
  <c r="A26" i="268" s="1"/>
  <c r="A27" i="268" s="1"/>
  <c r="A29" i="268" s="1"/>
  <c r="A49" i="271" l="1"/>
  <c r="A50" i="271" s="1"/>
  <c r="A51" i="271" s="1"/>
  <c r="A52" i="271" s="1"/>
  <c r="A53" i="271" s="1"/>
  <c r="A54" i="271" s="1"/>
  <c r="A55" i="271" s="1"/>
  <c r="A56" i="271" s="1"/>
  <c r="A57" i="271" s="1"/>
  <c r="A58" i="271" s="1"/>
  <c r="A59" i="271" s="1"/>
  <c r="G27" i="269"/>
  <c r="A28" i="269"/>
  <c r="H30" i="268"/>
  <c r="H41" i="268"/>
  <c r="A33" i="268"/>
  <c r="A34" i="268" s="1"/>
  <c r="H64" i="271" l="1"/>
  <c r="A61" i="271"/>
  <c r="A64" i="271" s="1"/>
  <c r="H59" i="271"/>
  <c r="A29" i="269"/>
  <c r="G29" i="269"/>
  <c r="H55" i="268"/>
  <c r="A38" i="268"/>
  <c r="H34" i="268"/>
  <c r="G68" i="271" l="1"/>
  <c r="A68" i="271"/>
  <c r="A30" i="269"/>
  <c r="A37" i="269" s="1"/>
  <c r="G30" i="269"/>
  <c r="H56" i="268"/>
  <c r="A41" i="268"/>
  <c r="A42" i="268" s="1"/>
  <c r="A43" i="268" s="1"/>
  <c r="A44" i="268" s="1"/>
  <c r="A45" i="268" s="1"/>
  <c r="A48" i="268" s="1"/>
  <c r="A69" i="271" l="1"/>
  <c r="A70" i="271" s="1"/>
  <c r="A71" i="271" s="1"/>
  <c r="A72" i="271" s="1"/>
  <c r="A73" i="271" s="1"/>
  <c r="G81" i="269"/>
  <c r="A38" i="269"/>
  <c r="A39" i="269" s="1"/>
  <c r="A40" i="269" s="1"/>
  <c r="A41" i="269" s="1"/>
  <c r="A42" i="269" s="1"/>
  <c r="A43" i="269" s="1"/>
  <c r="A49" i="268"/>
  <c r="A50" i="268" s="1"/>
  <c r="A51" i="268" s="1"/>
  <c r="A52" i="268" s="1"/>
  <c r="A53" i="268" s="1"/>
  <c r="A54" i="268" s="1"/>
  <c r="A55" i="268" s="1"/>
  <c r="A56" i="268" s="1"/>
  <c r="A57" i="268" s="1"/>
  <c r="A58" i="268" s="1"/>
  <c r="A59" i="268" s="1"/>
  <c r="G73" i="271" l="1"/>
  <c r="G70" i="271"/>
  <c r="G72" i="271"/>
  <c r="C82" i="269"/>
  <c r="A44" i="269"/>
  <c r="H59" i="268"/>
  <c r="A61" i="268"/>
  <c r="A64" i="268" s="1"/>
  <c r="H64" i="268"/>
  <c r="C73" i="269" l="1"/>
  <c r="A45" i="269"/>
  <c r="A46" i="269" s="1"/>
  <c r="A47" i="269" s="1"/>
  <c r="A48" i="269" s="1"/>
  <c r="A49" i="269" s="1"/>
  <c r="A50" i="269" s="1"/>
  <c r="G68" i="268"/>
  <c r="A68" i="268"/>
  <c r="A69" i="268" l="1"/>
  <c r="A70" i="268" s="1"/>
  <c r="A71" i="268" s="1"/>
  <c r="A72" i="268" s="1"/>
  <c r="A74" i="268" s="1"/>
  <c r="G74" i="268" l="1"/>
  <c r="G72" i="268"/>
  <c r="G70" i="268"/>
  <c r="D8" i="267" l="1"/>
  <c r="T60" i="86" s="1"/>
  <c r="T61" i="86" s="1"/>
  <c r="T62" i="86" s="1"/>
  <c r="T63" i="86" s="1"/>
  <c r="T64" i="86" s="1"/>
  <c r="T65" i="86" s="1"/>
  <c r="T66" i="86" s="1"/>
  <c r="T67" i="86" s="1"/>
  <c r="T68" i="86" s="1"/>
  <c r="T69" i="86" s="1"/>
  <c r="T70" i="86" s="1"/>
  <c r="T71" i="86" s="1"/>
  <c r="C100" i="265"/>
  <c r="F71" i="265"/>
  <c r="E71" i="265"/>
  <c r="H43" i="265" s="1"/>
  <c r="D43" i="265" s="1"/>
  <c r="G12" i="265" s="1"/>
  <c r="H12" i="265" s="1"/>
  <c r="F64" i="265"/>
  <c r="E64" i="265"/>
  <c r="G58" i="265"/>
  <c r="G37" i="265" s="1"/>
  <c r="D37" i="265" s="1"/>
  <c r="G6" i="265" s="1"/>
  <c r="H6" i="265" s="1"/>
  <c r="H57" i="265"/>
  <c r="G57" i="265"/>
  <c r="D50" i="265"/>
  <c r="D49" i="265"/>
  <c r="D48" i="265"/>
  <c r="D47" i="265"/>
  <c r="G16" i="265" s="1"/>
  <c r="H16" i="265" s="1"/>
  <c r="D46" i="265"/>
  <c r="D45" i="265"/>
  <c r="F44" i="265"/>
  <c r="D44" i="265"/>
  <c r="D42" i="265"/>
  <c r="G11" i="265" s="1"/>
  <c r="H11" i="265" s="1"/>
  <c r="D41" i="265"/>
  <c r="D40" i="265"/>
  <c r="G9" i="265" s="1"/>
  <c r="H9" i="265" s="1"/>
  <c r="D39" i="265"/>
  <c r="D38" i="265"/>
  <c r="G7" i="265" s="1"/>
  <c r="H7" i="265" s="1"/>
  <c r="F24" i="265"/>
  <c r="E20" i="265"/>
  <c r="H19" i="265"/>
  <c r="G19" i="265"/>
  <c r="G18" i="265"/>
  <c r="H18" i="265" s="1"/>
  <c r="G17" i="265"/>
  <c r="H17" i="265" s="1"/>
  <c r="H15" i="265"/>
  <c r="G15" i="265"/>
  <c r="G14" i="265"/>
  <c r="H14" i="265" s="1"/>
  <c r="G13" i="265"/>
  <c r="H13" i="265" s="1"/>
  <c r="G10" i="265"/>
  <c r="H10" i="265" s="1"/>
  <c r="F29" i="265" s="1"/>
  <c r="G8" i="265"/>
  <c r="H8" i="265" s="1"/>
  <c r="A8" i="265"/>
  <c r="A9" i="265" s="1"/>
  <c r="A10" i="265" s="1"/>
  <c r="A7" i="265"/>
  <c r="G24" i="265" l="1"/>
  <c r="A11" i="265"/>
  <c r="A12" i="265" s="1"/>
  <c r="A13" i="265" s="1"/>
  <c r="A14" i="265" s="1"/>
  <c r="A15" i="265" s="1"/>
  <c r="A16" i="265" s="1"/>
  <c r="A17" i="265" s="1"/>
  <c r="A18" i="265" s="1"/>
  <c r="A19" i="265" s="1"/>
  <c r="H20" i="265"/>
  <c r="F23" i="265" s="1"/>
  <c r="F25" i="265" s="1"/>
  <c r="F27" i="265" s="1"/>
  <c r="F30" i="265" s="1"/>
  <c r="C77" i="265" l="1"/>
  <c r="A20" i="265"/>
  <c r="G23" i="265" l="1"/>
  <c r="A23" i="265"/>
  <c r="G25" i="265" l="1"/>
  <c r="A24" i="265"/>
  <c r="A25" i="265" s="1"/>
  <c r="A26" i="265" l="1"/>
  <c r="A27" i="265" s="1"/>
  <c r="A28" i="265" l="1"/>
  <c r="G27" i="265"/>
  <c r="A29" i="265" l="1"/>
  <c r="G29" i="265"/>
  <c r="A30" i="265" l="1"/>
  <c r="A37" i="265" s="1"/>
  <c r="G30" i="265"/>
  <c r="G78" i="265" l="1"/>
  <c r="A38" i="265"/>
  <c r="A39" i="265" s="1"/>
  <c r="A40" i="265" s="1"/>
  <c r="A41" i="265" s="1"/>
  <c r="A42" i="265" s="1"/>
  <c r="A43" i="265" s="1"/>
  <c r="A44" i="265" l="1"/>
  <c r="C79" i="265"/>
  <c r="C73" i="265" l="1"/>
  <c r="A45" i="265"/>
  <c r="A46" i="265" s="1"/>
  <c r="A47" i="265" s="1"/>
  <c r="A48" i="265" s="1"/>
  <c r="A49" i="265" s="1"/>
  <c r="A50" i="265" s="1"/>
  <c r="L75" i="262" l="1"/>
  <c r="L74" i="262"/>
  <c r="L75" i="260"/>
  <c r="L74" i="260"/>
  <c r="E10" i="213"/>
  <c r="E7" i="213"/>
  <c r="C100" i="263"/>
  <c r="F71" i="263"/>
  <c r="E71" i="263"/>
  <c r="H43" i="263" s="1"/>
  <c r="D43" i="263" s="1"/>
  <c r="G12" i="263" s="1"/>
  <c r="H12" i="263" s="1"/>
  <c r="F64" i="263"/>
  <c r="E64" i="263"/>
  <c r="H57" i="263"/>
  <c r="G57" i="263"/>
  <c r="G58" i="263" s="1"/>
  <c r="G37" i="263" s="1"/>
  <c r="D37" i="263" s="1"/>
  <c r="G6" i="263" s="1"/>
  <c r="H6" i="263" s="1"/>
  <c r="H20" i="263" s="1"/>
  <c r="F23" i="263" s="1"/>
  <c r="F25" i="263" s="1"/>
  <c r="F27" i="263" s="1"/>
  <c r="F30" i="263" s="1"/>
  <c r="D50" i="263"/>
  <c r="D49" i="263"/>
  <c r="G18" i="263" s="1"/>
  <c r="H18" i="263" s="1"/>
  <c r="D48" i="263"/>
  <c r="D47" i="263"/>
  <c r="D46" i="263"/>
  <c r="D45" i="263"/>
  <c r="F44" i="263"/>
  <c r="D44" i="263" s="1"/>
  <c r="G13" i="263" s="1"/>
  <c r="H13" i="263" s="1"/>
  <c r="D42" i="263"/>
  <c r="D41" i="263"/>
  <c r="D40" i="263"/>
  <c r="D39" i="263"/>
  <c r="D38" i="263"/>
  <c r="G7" i="263" s="1"/>
  <c r="H7" i="263" s="1"/>
  <c r="F29" i="263"/>
  <c r="F24" i="263"/>
  <c r="E20" i="263"/>
  <c r="G19" i="263"/>
  <c r="H19" i="263" s="1"/>
  <c r="G17" i="263"/>
  <c r="H17" i="263" s="1"/>
  <c r="H16" i="263"/>
  <c r="G16" i="263"/>
  <c r="H15" i="263"/>
  <c r="G15" i="263"/>
  <c r="G14" i="263"/>
  <c r="H14" i="263" s="1"/>
  <c r="G11" i="263"/>
  <c r="H11" i="263" s="1"/>
  <c r="H10" i="263"/>
  <c r="G10" i="263"/>
  <c r="G9" i="263"/>
  <c r="H9" i="263" s="1"/>
  <c r="A9" i="263"/>
  <c r="A10" i="263" s="1"/>
  <c r="H8" i="263"/>
  <c r="G8" i="263"/>
  <c r="A8" i="263"/>
  <c r="A7" i="263"/>
  <c r="F103" i="262"/>
  <c r="F98" i="262"/>
  <c r="J86" i="262"/>
  <c r="E87" i="262" s="1"/>
  <c r="J62" i="262"/>
  <c r="H42" i="262"/>
  <c r="H33" i="262"/>
  <c r="J15" i="262"/>
  <c r="A7" i="262"/>
  <c r="A8" i="262" s="1"/>
  <c r="A9" i="262" s="1"/>
  <c r="A12" i="262" s="1"/>
  <c r="E103" i="262" l="1"/>
  <c r="J42" i="262" s="1"/>
  <c r="E98" i="262"/>
  <c r="J33" i="262" s="1"/>
  <c r="J21" i="262"/>
  <c r="J29" i="262" s="1"/>
  <c r="L76" i="262"/>
  <c r="L76" i="260"/>
  <c r="A11" i="263"/>
  <c r="A12" i="263" s="1"/>
  <c r="A13" i="263" s="1"/>
  <c r="A14" i="263" s="1"/>
  <c r="A15" i="263" s="1"/>
  <c r="A16" i="263" s="1"/>
  <c r="A17" i="263" s="1"/>
  <c r="A18" i="263" s="1"/>
  <c r="A19" i="263" s="1"/>
  <c r="G24" i="263"/>
  <c r="A13" i="262"/>
  <c r="A14" i="262" s="1"/>
  <c r="A15" i="262" s="1"/>
  <c r="A18" i="262" s="1"/>
  <c r="H15" i="262"/>
  <c r="A20" i="263" l="1"/>
  <c r="C77" i="263"/>
  <c r="A19" i="262"/>
  <c r="A20" i="262" s="1"/>
  <c r="A21" i="262" s="1"/>
  <c r="J38" i="262"/>
  <c r="J56" i="262" s="1"/>
  <c r="J34" i="262"/>
  <c r="J55" i="262" s="1"/>
  <c r="J59" i="262" s="1"/>
  <c r="J64" i="262" s="1"/>
  <c r="E68" i="262" s="1"/>
  <c r="J41" i="262"/>
  <c r="G23" i="263" l="1"/>
  <c r="A23" i="263"/>
  <c r="H21" i="262"/>
  <c r="A23" i="262"/>
  <c r="H29" i="262"/>
  <c r="E72" i="262"/>
  <c r="E70" i="262"/>
  <c r="E73" i="262" s="1"/>
  <c r="J70" i="262" l="1"/>
  <c r="J72" i="262" s="1"/>
  <c r="E9" i="213"/>
  <c r="A24" i="263"/>
  <c r="A25" i="263" s="1"/>
  <c r="A24" i="262"/>
  <c r="A25" i="262" s="1"/>
  <c r="A26" i="262" s="1"/>
  <c r="A27" i="262" s="1"/>
  <c r="A29" i="262" s="1"/>
  <c r="H30" i="262"/>
  <c r="A26" i="263" l="1"/>
  <c r="A27" i="263" s="1"/>
  <c r="G27" i="263"/>
  <c r="G25" i="263"/>
  <c r="A33" i="262"/>
  <c r="A34" i="262" s="1"/>
  <c r="H34" i="262"/>
  <c r="H41" i="262"/>
  <c r="A28" i="263" l="1"/>
  <c r="A38" i="262"/>
  <c r="H55" i="262"/>
  <c r="A29" i="263" l="1"/>
  <c r="G29" i="263"/>
  <c r="H56" i="262"/>
  <c r="A41" i="262"/>
  <c r="A42" i="262" s="1"/>
  <c r="A43" i="262" s="1"/>
  <c r="A44" i="262" s="1"/>
  <c r="A45" i="262" s="1"/>
  <c r="A48" i="262" s="1"/>
  <c r="A30" i="263" l="1"/>
  <c r="A37" i="263" s="1"/>
  <c r="G30" i="263"/>
  <c r="A49" i="262"/>
  <c r="A50" i="262" s="1"/>
  <c r="A51" i="262" s="1"/>
  <c r="A52" i="262" s="1"/>
  <c r="A53" i="262" s="1"/>
  <c r="A54" i="262" s="1"/>
  <c r="A55" i="262" s="1"/>
  <c r="A56" i="262" s="1"/>
  <c r="A57" i="262" s="1"/>
  <c r="A58" i="262" s="1"/>
  <c r="A59" i="262" s="1"/>
  <c r="A38" i="263" l="1"/>
  <c r="A39" i="263" s="1"/>
  <c r="A40" i="263" s="1"/>
  <c r="A41" i="263" s="1"/>
  <c r="A42" i="263" s="1"/>
  <c r="A43" i="263" s="1"/>
  <c r="G78" i="263"/>
  <c r="H64" i="262"/>
  <c r="A61" i="262"/>
  <c r="A64" i="262" s="1"/>
  <c r="H59" i="262"/>
  <c r="C79" i="263" l="1"/>
  <c r="A44" i="263"/>
  <c r="G68" i="262"/>
  <c r="A68" i="262"/>
  <c r="C73" i="263" l="1"/>
  <c r="A45" i="263"/>
  <c r="A46" i="263" s="1"/>
  <c r="A47" i="263" s="1"/>
  <c r="A48" i="263" s="1"/>
  <c r="A49" i="263" s="1"/>
  <c r="A50" i="263" s="1"/>
  <c r="A69" i="262"/>
  <c r="A70" i="262" s="1"/>
  <c r="A71" i="262" s="1"/>
  <c r="A72" i="262" s="1"/>
  <c r="A73" i="262" s="1"/>
  <c r="G70" i="262"/>
  <c r="G72" i="262"/>
  <c r="G73" i="262" l="1"/>
  <c r="C101" i="261"/>
  <c r="F72" i="261"/>
  <c r="E72" i="261"/>
  <c r="H43" i="261" s="1"/>
  <c r="D43" i="261" s="1"/>
  <c r="G12" i="261" s="1"/>
  <c r="H12" i="261" s="1"/>
  <c r="F65" i="261"/>
  <c r="E65" i="261"/>
  <c r="H58" i="261"/>
  <c r="G58" i="261"/>
  <c r="G59" i="261" s="1"/>
  <c r="G37" i="261" s="1"/>
  <c r="D37" i="261" s="1"/>
  <c r="G6" i="261" s="1"/>
  <c r="H6" i="261" s="1"/>
  <c r="H20" i="261" s="1"/>
  <c r="F23" i="261" s="1"/>
  <c r="F25" i="261" s="1"/>
  <c r="F27" i="261" s="1"/>
  <c r="F30" i="261" s="1"/>
  <c r="D50" i="261"/>
  <c r="D49" i="261"/>
  <c r="G18" i="261" s="1"/>
  <c r="H18" i="261" s="1"/>
  <c r="D48" i="261"/>
  <c r="G17" i="261" s="1"/>
  <c r="H17" i="261" s="1"/>
  <c r="D47" i="261"/>
  <c r="D46" i="261"/>
  <c r="D45" i="261"/>
  <c r="G14" i="261" s="1"/>
  <c r="H14" i="261" s="1"/>
  <c r="F44" i="261"/>
  <c r="D44" i="261" s="1"/>
  <c r="G13" i="261" s="1"/>
  <c r="H13" i="261" s="1"/>
  <c r="D42" i="261"/>
  <c r="G11" i="261" s="1"/>
  <c r="H11" i="261" s="1"/>
  <c r="D41" i="261"/>
  <c r="D40" i="261"/>
  <c r="G9" i="261" s="1"/>
  <c r="H9" i="261" s="1"/>
  <c r="D39" i="261"/>
  <c r="D38" i="261"/>
  <c r="G7" i="261" s="1"/>
  <c r="H7" i="261" s="1"/>
  <c r="F24" i="261"/>
  <c r="E20" i="261"/>
  <c r="G19" i="261"/>
  <c r="H19" i="261" s="1"/>
  <c r="G16" i="261"/>
  <c r="H16" i="261" s="1"/>
  <c r="G15" i="261"/>
  <c r="H15" i="261" s="1"/>
  <c r="G10" i="261"/>
  <c r="H10" i="261" s="1"/>
  <c r="F29" i="261" s="1"/>
  <c r="G8" i="261"/>
  <c r="H8" i="261" s="1"/>
  <c r="A7" i="261"/>
  <c r="A8" i="261" s="1"/>
  <c r="A9" i="261" s="1"/>
  <c r="A10" i="261" s="1"/>
  <c r="F103" i="260"/>
  <c r="F98" i="260"/>
  <c r="J86" i="260"/>
  <c r="E87" i="260" s="1"/>
  <c r="J62" i="260"/>
  <c r="H42" i="260"/>
  <c r="H33" i="260"/>
  <c r="J21" i="260"/>
  <c r="A7" i="260"/>
  <c r="A8" i="260" s="1"/>
  <c r="A9" i="260" s="1"/>
  <c r="A12" i="260" s="1"/>
  <c r="J15" i="260" l="1"/>
  <c r="J29" i="260" s="1"/>
  <c r="J41" i="260" s="1"/>
  <c r="G24" i="261"/>
  <c r="A11" i="261"/>
  <c r="A12" i="261" s="1"/>
  <c r="A13" i="261" s="1"/>
  <c r="A14" i="261" s="1"/>
  <c r="A15" i="261" s="1"/>
  <c r="A16" i="261" s="1"/>
  <c r="A17" i="261" s="1"/>
  <c r="A18" i="261" s="1"/>
  <c r="A19" i="261" s="1"/>
  <c r="A13" i="260"/>
  <c r="A14" i="260" s="1"/>
  <c r="A15" i="260" s="1"/>
  <c r="A18" i="260" s="1"/>
  <c r="H15" i="260"/>
  <c r="E103" i="260"/>
  <c r="J42" i="260" s="1"/>
  <c r="E98" i="260"/>
  <c r="J33" i="260" s="1"/>
  <c r="J38" i="260" l="1"/>
  <c r="J56" i="260" s="1"/>
  <c r="J34" i="260"/>
  <c r="J55" i="260" s="1"/>
  <c r="C78" i="261"/>
  <c r="A20" i="261"/>
  <c r="J59" i="260"/>
  <c r="J64" i="260" s="1"/>
  <c r="E68" i="260" s="1"/>
  <c r="A19" i="260"/>
  <c r="A20" i="260" s="1"/>
  <c r="A21" i="260" s="1"/>
  <c r="H21" i="260"/>
  <c r="A23" i="261" l="1"/>
  <c r="G23" i="261"/>
  <c r="A23" i="260"/>
  <c r="H29" i="260"/>
  <c r="E73" i="260"/>
  <c r="J70" i="260" l="1"/>
  <c r="J72" i="260" s="1"/>
  <c r="E6" i="213"/>
  <c r="G25" i="261"/>
  <c r="A24" i="261"/>
  <c r="A25" i="261" s="1"/>
  <c r="A24" i="260"/>
  <c r="A25" i="260" s="1"/>
  <c r="A26" i="260" s="1"/>
  <c r="A27" i="260" s="1"/>
  <c r="A29" i="260" s="1"/>
  <c r="A26" i="261" l="1"/>
  <c r="A27" i="261" s="1"/>
  <c r="H30" i="260"/>
  <c r="A33" i="260"/>
  <c r="A34" i="260" s="1"/>
  <c r="H41" i="260"/>
  <c r="A28" i="261" l="1"/>
  <c r="G27" i="261"/>
  <c r="H34" i="260"/>
  <c r="A38" i="260"/>
  <c r="H55" i="260"/>
  <c r="A29" i="261" l="1"/>
  <c r="G29" i="261"/>
  <c r="H56" i="260"/>
  <c r="A41" i="260"/>
  <c r="A42" i="260" s="1"/>
  <c r="A43" i="260" s="1"/>
  <c r="A44" i="260" s="1"/>
  <c r="A45" i="260" s="1"/>
  <c r="A48" i="260" s="1"/>
  <c r="A30" i="261" l="1"/>
  <c r="A37" i="261" s="1"/>
  <c r="G30" i="261"/>
  <c r="A49" i="260"/>
  <c r="A50" i="260" s="1"/>
  <c r="A51" i="260" s="1"/>
  <c r="A52" i="260" s="1"/>
  <c r="A53" i="260" s="1"/>
  <c r="A54" i="260" s="1"/>
  <c r="A55" i="260" s="1"/>
  <c r="A56" i="260" s="1"/>
  <c r="A57" i="260" s="1"/>
  <c r="A58" i="260" s="1"/>
  <c r="A59" i="260" s="1"/>
  <c r="A61" i="260" s="1"/>
  <c r="A64" i="260" s="1"/>
  <c r="G79" i="261" l="1"/>
  <c r="A38" i="261"/>
  <c r="A39" i="261" s="1"/>
  <c r="A40" i="261" s="1"/>
  <c r="A41" i="261" s="1"/>
  <c r="A42" i="261" s="1"/>
  <c r="A43" i="261" s="1"/>
  <c r="H59" i="260"/>
  <c r="G68" i="260"/>
  <c r="A68" i="260"/>
  <c r="C80" i="261" l="1"/>
  <c r="A44" i="261"/>
  <c r="A69" i="260"/>
  <c r="A70" i="260" s="1"/>
  <c r="G70" i="260"/>
  <c r="C74" i="261" l="1"/>
  <c r="A45" i="261"/>
  <c r="A46" i="261" s="1"/>
  <c r="A47" i="261" s="1"/>
  <c r="A48" i="261" s="1"/>
  <c r="A49" i="261" s="1"/>
  <c r="A50" i="261" s="1"/>
  <c r="A71" i="260"/>
  <c r="A72" i="260" s="1"/>
  <c r="A73" i="260" s="1"/>
  <c r="G73" i="260"/>
  <c r="G72" i="260" l="1"/>
  <c r="C100" i="259" l="1"/>
  <c r="F71" i="259"/>
  <c r="E71" i="259"/>
  <c r="F64" i="259"/>
  <c r="E64" i="259"/>
  <c r="G58" i="259"/>
  <c r="H57" i="259"/>
  <c r="G57" i="259"/>
  <c r="D50" i="259"/>
  <c r="D49" i="259"/>
  <c r="D48" i="259"/>
  <c r="G17" i="259" s="1"/>
  <c r="H17" i="259" s="1"/>
  <c r="D47" i="259"/>
  <c r="D46" i="259"/>
  <c r="D45" i="259"/>
  <c r="F44" i="259"/>
  <c r="D44" i="259" s="1"/>
  <c r="G13" i="259" s="1"/>
  <c r="H13" i="259" s="1"/>
  <c r="H43" i="259"/>
  <c r="D43" i="259"/>
  <c r="D42" i="259"/>
  <c r="D41" i="259"/>
  <c r="D40" i="259"/>
  <c r="G9" i="259" s="1"/>
  <c r="H9" i="259" s="1"/>
  <c r="D39" i="259"/>
  <c r="D38" i="259"/>
  <c r="G37" i="259"/>
  <c r="D37" i="259" s="1"/>
  <c r="G6" i="259" s="1"/>
  <c r="H6" i="259" s="1"/>
  <c r="H20" i="259" s="1"/>
  <c r="F23" i="259" s="1"/>
  <c r="F25" i="259" s="1"/>
  <c r="F27" i="259" s="1"/>
  <c r="F30" i="259" s="1"/>
  <c r="F24" i="259"/>
  <c r="E20" i="259"/>
  <c r="G19" i="259"/>
  <c r="H19" i="259" s="1"/>
  <c r="H18" i="259"/>
  <c r="G18" i="259"/>
  <c r="G16" i="259"/>
  <c r="H16" i="259" s="1"/>
  <c r="G15" i="259"/>
  <c r="H15" i="259" s="1"/>
  <c r="G14" i="259"/>
  <c r="H14" i="259" s="1"/>
  <c r="H12" i="259"/>
  <c r="G12" i="259"/>
  <c r="G11" i="259"/>
  <c r="H11" i="259" s="1"/>
  <c r="H10" i="259"/>
  <c r="F29" i="259" s="1"/>
  <c r="G10" i="259"/>
  <c r="G8" i="259"/>
  <c r="H8" i="259" s="1"/>
  <c r="A8" i="259"/>
  <c r="A9" i="259" s="1"/>
  <c r="A10" i="259" s="1"/>
  <c r="G7" i="259"/>
  <c r="H7" i="259" s="1"/>
  <c r="A7" i="259"/>
  <c r="D6" i="257"/>
  <c r="D8" i="257" s="1"/>
  <c r="D7" i="257"/>
  <c r="F103" i="258"/>
  <c r="F98" i="258"/>
  <c r="E87" i="258"/>
  <c r="J86" i="258"/>
  <c r="J62" i="258"/>
  <c r="H42" i="258"/>
  <c r="H33" i="258"/>
  <c r="J21" i="258"/>
  <c r="J15" i="258"/>
  <c r="A8" i="258"/>
  <c r="A9" i="258" s="1"/>
  <c r="A12" i="258" s="1"/>
  <c r="A7" i="258"/>
  <c r="G24" i="259" l="1"/>
  <c r="A11" i="259"/>
  <c r="A12" i="259" s="1"/>
  <c r="A13" i="259" s="1"/>
  <c r="A14" i="259" s="1"/>
  <c r="A15" i="259" s="1"/>
  <c r="A16" i="259" s="1"/>
  <c r="A17" i="259" s="1"/>
  <c r="A18" i="259" s="1"/>
  <c r="A19" i="259" s="1"/>
  <c r="E103" i="258"/>
  <c r="J42" i="258" s="1"/>
  <c r="A13" i="258"/>
  <c r="A14" i="258" s="1"/>
  <c r="A15" i="258" s="1"/>
  <c r="A18" i="258" s="1"/>
  <c r="J29" i="258"/>
  <c r="E98" i="258"/>
  <c r="J33" i="258" s="1"/>
  <c r="C77" i="259" l="1"/>
  <c r="A20" i="259"/>
  <c r="J38" i="258"/>
  <c r="J56" i="258" s="1"/>
  <c r="J34" i="258"/>
  <c r="J55" i="258" s="1"/>
  <c r="J59" i="258" s="1"/>
  <c r="J64" i="258" s="1"/>
  <c r="E68" i="258" s="1"/>
  <c r="J41" i="258"/>
  <c r="A19" i="258"/>
  <c r="A20" i="258" s="1"/>
  <c r="A21" i="258" s="1"/>
  <c r="A23" i="258" s="1"/>
  <c r="H15" i="258"/>
  <c r="A23" i="259" l="1"/>
  <c r="G23" i="259"/>
  <c r="A24" i="258"/>
  <c r="A25" i="258" s="1"/>
  <c r="A26" i="258" s="1"/>
  <c r="A27" i="258" s="1"/>
  <c r="A29" i="258" s="1"/>
  <c r="H21" i="258"/>
  <c r="E73" i="258"/>
  <c r="J70" i="258" s="1"/>
  <c r="J72" i="258" s="1"/>
  <c r="H29" i="258"/>
  <c r="A24" i="259" l="1"/>
  <c r="A25" i="259" s="1"/>
  <c r="H30" i="258"/>
  <c r="A33" i="258"/>
  <c r="A34" i="258" s="1"/>
  <c r="H34" i="258"/>
  <c r="H41" i="258"/>
  <c r="A26" i="259" l="1"/>
  <c r="A27" i="259" s="1"/>
  <c r="G25" i="259"/>
  <c r="A38" i="258"/>
  <c r="H55" i="258"/>
  <c r="A28" i="259" l="1"/>
  <c r="G27" i="259"/>
  <c r="H56" i="258"/>
  <c r="A41" i="258"/>
  <c r="A42" i="258" s="1"/>
  <c r="A43" i="258" s="1"/>
  <c r="A44" i="258" s="1"/>
  <c r="A45" i="258" s="1"/>
  <c r="A48" i="258" s="1"/>
  <c r="A29" i="259" l="1"/>
  <c r="G29" i="259"/>
  <c r="A49" i="258"/>
  <c r="A50" i="258" s="1"/>
  <c r="A51" i="258" s="1"/>
  <c r="A52" i="258" s="1"/>
  <c r="A53" i="258" s="1"/>
  <c r="A54" i="258" s="1"/>
  <c r="A55" i="258" s="1"/>
  <c r="A56" i="258" s="1"/>
  <c r="A57" i="258" s="1"/>
  <c r="A58" i="258" s="1"/>
  <c r="A59" i="258" s="1"/>
  <c r="A61" i="258" s="1"/>
  <c r="A64" i="258" s="1"/>
  <c r="A30" i="259" l="1"/>
  <c r="A37" i="259" s="1"/>
  <c r="G30" i="259"/>
  <c r="H59" i="258"/>
  <c r="G68" i="258"/>
  <c r="A68" i="258"/>
  <c r="G78" i="259" l="1"/>
  <c r="A38" i="259"/>
  <c r="A39" i="259" s="1"/>
  <c r="A40" i="259" s="1"/>
  <c r="A41" i="259" s="1"/>
  <c r="A42" i="259" s="1"/>
  <c r="A43" i="259" s="1"/>
  <c r="A69" i="258"/>
  <c r="A70" i="258" s="1"/>
  <c r="G70" i="258"/>
  <c r="C79" i="259" l="1"/>
  <c r="A44" i="259"/>
  <c r="A71" i="258"/>
  <c r="A72" i="258" s="1"/>
  <c r="A73" i="258" s="1"/>
  <c r="G73" i="258"/>
  <c r="C73" i="259" l="1"/>
  <c r="A45" i="259"/>
  <c r="A46" i="259" s="1"/>
  <c r="A47" i="259" s="1"/>
  <c r="A48" i="259" s="1"/>
  <c r="A49" i="259" s="1"/>
  <c r="A50" i="259" s="1"/>
  <c r="G72" i="258"/>
  <c r="D36" i="86" l="1"/>
  <c r="D35" i="86"/>
  <c r="D7" i="254"/>
  <c r="C109" i="256"/>
  <c r="F71" i="256"/>
  <c r="E71" i="256"/>
  <c r="H43" i="256" s="1"/>
  <c r="D43" i="256" s="1"/>
  <c r="G12" i="256" s="1"/>
  <c r="H12" i="256" s="1"/>
  <c r="F65" i="256"/>
  <c r="E65" i="256"/>
  <c r="H58" i="256"/>
  <c r="G58" i="256"/>
  <c r="G59" i="256" s="1"/>
  <c r="G37" i="256" s="1"/>
  <c r="D37" i="256" s="1"/>
  <c r="G6" i="256" s="1"/>
  <c r="H6" i="256" s="1"/>
  <c r="H20" i="256" s="1"/>
  <c r="F23" i="256" s="1"/>
  <c r="F25" i="256" s="1"/>
  <c r="D50" i="256"/>
  <c r="D49" i="256"/>
  <c r="G18" i="256" s="1"/>
  <c r="H18" i="256" s="1"/>
  <c r="D48" i="256"/>
  <c r="D47" i="256"/>
  <c r="D46" i="256"/>
  <c r="G15" i="256" s="1"/>
  <c r="H15" i="256" s="1"/>
  <c r="D45" i="256"/>
  <c r="F44" i="256"/>
  <c r="D44" i="256" s="1"/>
  <c r="G13" i="256" s="1"/>
  <c r="H13" i="256" s="1"/>
  <c r="D42" i="256"/>
  <c r="D41" i="256"/>
  <c r="D40" i="256"/>
  <c r="D39" i="256"/>
  <c r="D38" i="256"/>
  <c r="G7" i="256" s="1"/>
  <c r="H7" i="256" s="1"/>
  <c r="F29" i="256"/>
  <c r="F24" i="256"/>
  <c r="E20" i="256"/>
  <c r="G19" i="256"/>
  <c r="H19" i="256" s="1"/>
  <c r="G17" i="256"/>
  <c r="H17" i="256" s="1"/>
  <c r="H16" i="256"/>
  <c r="G16" i="256"/>
  <c r="G14" i="256"/>
  <c r="H14" i="256" s="1"/>
  <c r="G11" i="256"/>
  <c r="H11" i="256" s="1"/>
  <c r="H10" i="256"/>
  <c r="G10" i="256"/>
  <c r="G9" i="256"/>
  <c r="H9" i="256" s="1"/>
  <c r="A9" i="256"/>
  <c r="A10" i="256" s="1"/>
  <c r="H8" i="256"/>
  <c r="G8" i="256"/>
  <c r="A8" i="256"/>
  <c r="A7" i="256"/>
  <c r="F103" i="255"/>
  <c r="F98" i="255"/>
  <c r="E87" i="255"/>
  <c r="E103" i="255" s="1"/>
  <c r="J42" i="255" s="1"/>
  <c r="J86" i="255"/>
  <c r="H42" i="255"/>
  <c r="H41" i="255"/>
  <c r="H33" i="255"/>
  <c r="A33" i="255"/>
  <c r="H34" i="255" s="1"/>
  <c r="J15" i="255"/>
  <c r="A7" i="255"/>
  <c r="F27" i="256" l="1"/>
  <c r="F30" i="256" s="1"/>
  <c r="J21" i="255"/>
  <c r="J29" i="255" s="1"/>
  <c r="A11" i="256"/>
  <c r="A12" i="256" s="1"/>
  <c r="A13" i="256" s="1"/>
  <c r="A14" i="256" s="1"/>
  <c r="A15" i="256" s="1"/>
  <c r="A16" i="256" s="1"/>
  <c r="A17" i="256" s="1"/>
  <c r="A18" i="256" s="1"/>
  <c r="A19" i="256" s="1"/>
  <c r="G24" i="256"/>
  <c r="E98" i="255"/>
  <c r="J33" i="255" s="1"/>
  <c r="A8" i="255"/>
  <c r="A9" i="255" s="1"/>
  <c r="A12" i="255" s="1"/>
  <c r="A34" i="255"/>
  <c r="A20" i="256" l="1"/>
  <c r="C77" i="256"/>
  <c r="J34" i="255"/>
  <c r="J56" i="255" s="1"/>
  <c r="J41" i="255"/>
  <c r="J38" i="255"/>
  <c r="J57" i="255" s="1"/>
  <c r="H56" i="255"/>
  <c r="A38" i="255"/>
  <c r="A13" i="255"/>
  <c r="A14" i="255" s="1"/>
  <c r="A15" i="255" s="1"/>
  <c r="A18" i="255" s="1"/>
  <c r="J60" i="255" l="1"/>
  <c r="J64" i="255" s="1"/>
  <c r="E68" i="255" s="1"/>
  <c r="E73" i="255" s="1"/>
  <c r="G23" i="256"/>
  <c r="A23" i="256"/>
  <c r="H57" i="255"/>
  <c r="A41" i="255"/>
  <c r="A42" i="255" s="1"/>
  <c r="A43" i="255" s="1"/>
  <c r="A44" i="255" s="1"/>
  <c r="A45" i="255" s="1"/>
  <c r="A48" i="255" s="1"/>
  <c r="H15" i="255"/>
  <c r="A19" i="255"/>
  <c r="A20" i="255" s="1"/>
  <c r="A21" i="255" s="1"/>
  <c r="H21" i="255"/>
  <c r="J70" i="255" l="1"/>
  <c r="J72" i="255" s="1"/>
  <c r="K73" i="255" s="1"/>
  <c r="D6" i="254"/>
  <c r="A24" i="256"/>
  <c r="A25" i="256" s="1"/>
  <c r="G25" i="256"/>
  <c r="A23" i="255"/>
  <c r="H29" i="255"/>
  <c r="A49" i="255"/>
  <c r="A51" i="255" s="1"/>
  <c r="A52" i="255" s="1"/>
  <c r="A53" i="255" s="1"/>
  <c r="A54" i="255" s="1"/>
  <c r="A55" i="255" s="1"/>
  <c r="A56" i="255" s="1"/>
  <c r="A57" i="255" s="1"/>
  <c r="A58" i="255" s="1"/>
  <c r="A59" i="255" s="1"/>
  <c r="A60" i="255" s="1"/>
  <c r="A26" i="256" l="1"/>
  <c r="A27" i="256" s="1"/>
  <c r="A24" i="255"/>
  <c r="A25" i="255" s="1"/>
  <c r="H30" i="255"/>
  <c r="A62" i="255"/>
  <c r="A64" i="255" s="1"/>
  <c r="H64" i="255"/>
  <c r="H60" i="255"/>
  <c r="G27" i="256" l="1"/>
  <c r="A28" i="256"/>
  <c r="G68" i="255"/>
  <c r="A68" i="255"/>
  <c r="A29" i="256" l="1"/>
  <c r="G29" i="256"/>
  <c r="A69" i="255"/>
  <c r="A70" i="255" s="1"/>
  <c r="A30" i="256" l="1"/>
  <c r="A37" i="256" s="1"/>
  <c r="G30" i="256"/>
  <c r="A71" i="255"/>
  <c r="A72" i="255" s="1"/>
  <c r="G72" i="255"/>
  <c r="G70" i="255"/>
  <c r="G78" i="256" l="1"/>
  <c r="A38" i="256"/>
  <c r="A39" i="256" s="1"/>
  <c r="A40" i="256" s="1"/>
  <c r="A41" i="256" s="1"/>
  <c r="A42" i="256" s="1"/>
  <c r="A43" i="256" s="1"/>
  <c r="A73" i="255"/>
  <c r="G73" i="255"/>
  <c r="C79" i="256" l="1"/>
  <c r="A44" i="256"/>
  <c r="A45" i="256" l="1"/>
  <c r="A46" i="256" s="1"/>
  <c r="A47" i="256" s="1"/>
  <c r="A48" i="256" s="1"/>
  <c r="A49" i="256" s="1"/>
  <c r="A50" i="256" s="1"/>
  <c r="C73" i="256"/>
  <c r="D8" i="254" l="1"/>
  <c r="H72" i="86"/>
  <c r="U15" i="86"/>
  <c r="V15" i="86" s="1"/>
  <c r="W14" i="86"/>
  <c r="V14" i="86"/>
  <c r="U14" i="86"/>
  <c r="W13" i="86"/>
  <c r="V13" i="86"/>
  <c r="U13" i="86"/>
  <c r="W12" i="86"/>
  <c r="V12" i="86"/>
  <c r="N12" i="86"/>
  <c r="U12" i="86"/>
  <c r="Q12" i="86"/>
  <c r="M12" i="86"/>
  <c r="O12" i="86" s="1"/>
  <c r="M13" i="86" s="1"/>
  <c r="R12" i="86" l="1"/>
  <c r="S12" i="86" s="1"/>
  <c r="Q13" i="86" s="1"/>
  <c r="N13" i="86"/>
  <c r="O13" i="86" s="1"/>
  <c r="M14" i="86" s="1"/>
  <c r="W15" i="86"/>
  <c r="U16" i="86" s="1"/>
  <c r="R13" i="86" l="1"/>
  <c r="S13" i="86" s="1"/>
  <c r="Q14" i="86" s="1"/>
  <c r="N14" i="86"/>
  <c r="O14" i="86" s="1"/>
  <c r="M15" i="86" s="1"/>
  <c r="V16" i="86"/>
  <c r="W16" i="86" s="1"/>
  <c r="U17" i="86" s="1"/>
  <c r="R14" i="86" l="1"/>
  <c r="S14" i="86" s="1"/>
  <c r="Q15" i="86" s="1"/>
  <c r="R15" i="86" s="1"/>
  <c r="S15" i="86" s="1"/>
  <c r="Q16" i="86" s="1"/>
  <c r="N15" i="86"/>
  <c r="O15" i="86"/>
  <c r="M16" i="86" s="1"/>
  <c r="W17" i="86"/>
  <c r="U18" i="86" s="1"/>
  <c r="V17" i="86"/>
  <c r="R16" i="86" l="1"/>
  <c r="S16" i="86"/>
  <c r="Q17" i="86" s="1"/>
  <c r="R17" i="86" s="1"/>
  <c r="S17" i="86" s="1"/>
  <c r="Q18" i="86" s="1"/>
  <c r="R18" i="86" s="1"/>
  <c r="S18" i="86" s="1"/>
  <c r="Q19" i="86" s="1"/>
  <c r="R19" i="86" s="1"/>
  <c r="S19" i="86" s="1"/>
  <c r="Q20" i="86" s="1"/>
  <c r="N16" i="86"/>
  <c r="O16" i="86" s="1"/>
  <c r="M17" i="86" s="1"/>
  <c r="N17" i="86" s="1"/>
  <c r="O17" i="86" s="1"/>
  <c r="M18" i="86" s="1"/>
  <c r="V18" i="86"/>
  <c r="W18" i="86" s="1"/>
  <c r="U19" i="86" s="1"/>
  <c r="N18" i="86" l="1"/>
  <c r="O18" i="86"/>
  <c r="M19" i="86" s="1"/>
  <c r="V19" i="86"/>
  <c r="W19" i="86" s="1"/>
  <c r="U20" i="86" s="1"/>
  <c r="R20" i="86"/>
  <c r="S20" i="86" s="1"/>
  <c r="Q21" i="86" s="1"/>
  <c r="N19" i="86"/>
  <c r="O19" i="86" s="1"/>
  <c r="M20" i="86" s="1"/>
  <c r="V20" i="86" l="1"/>
  <c r="W20" i="86"/>
  <c r="U21" i="86" s="1"/>
  <c r="R21" i="86"/>
  <c r="S21" i="86" s="1"/>
  <c r="Q22" i="86" s="1"/>
  <c r="N20" i="86"/>
  <c r="O20" i="86"/>
  <c r="M21" i="86" s="1"/>
  <c r="V21" i="86" l="1"/>
  <c r="W21" i="86" s="1"/>
  <c r="U22" i="86" s="1"/>
  <c r="R22" i="86"/>
  <c r="S22" i="86" s="1"/>
  <c r="Q23" i="86" s="1"/>
  <c r="N21" i="86"/>
  <c r="O21" i="86"/>
  <c r="M22" i="86" s="1"/>
  <c r="W22" i="86" l="1"/>
  <c r="U23" i="86" s="1"/>
  <c r="V22" i="86"/>
  <c r="R23" i="86"/>
  <c r="S23" i="86"/>
  <c r="Q24" i="86" s="1"/>
  <c r="N22" i="86"/>
  <c r="O22" i="86" s="1"/>
  <c r="M23" i="86" s="1"/>
  <c r="V23" i="86" l="1"/>
  <c r="W23" i="86" s="1"/>
  <c r="U24" i="86" s="1"/>
  <c r="R24" i="86"/>
  <c r="S24" i="86"/>
  <c r="Q25" i="86" s="1"/>
  <c r="N23" i="86"/>
  <c r="O23" i="86" s="1"/>
  <c r="M24" i="86" s="1"/>
  <c r="V24" i="86" l="1"/>
  <c r="W24" i="86"/>
  <c r="U25" i="86" s="1"/>
  <c r="R25" i="86"/>
  <c r="S25" i="86" s="1"/>
  <c r="Q26" i="86" s="1"/>
  <c r="N24" i="86"/>
  <c r="O24" i="86" s="1"/>
  <c r="M25" i="86" s="1"/>
  <c r="V25" i="86" l="1"/>
  <c r="W25" i="86" s="1"/>
  <c r="U26" i="86" s="1"/>
  <c r="R26" i="86"/>
  <c r="S26" i="86" s="1"/>
  <c r="Q27" i="86" s="1"/>
  <c r="N25" i="86"/>
  <c r="O25" i="86" s="1"/>
  <c r="M26" i="86" s="1"/>
  <c r="V26" i="86" l="1"/>
  <c r="W26" i="86" s="1"/>
  <c r="U27" i="86" s="1"/>
  <c r="R27" i="86"/>
  <c r="S27" i="86"/>
  <c r="Q28" i="86" s="1"/>
  <c r="N26" i="86"/>
  <c r="O26" i="86" s="1"/>
  <c r="M27" i="86" s="1"/>
  <c r="V27" i="86" l="1"/>
  <c r="W27" i="86" s="1"/>
  <c r="U28" i="86" s="1"/>
  <c r="R28" i="86"/>
  <c r="S28" i="86"/>
  <c r="Q29" i="86" s="1"/>
  <c r="N27" i="86"/>
  <c r="O27" i="86"/>
  <c r="M28" i="86" s="1"/>
  <c r="V28" i="86" l="1"/>
  <c r="W28" i="86"/>
  <c r="U29" i="86" s="1"/>
  <c r="R29" i="86"/>
  <c r="S29" i="86"/>
  <c r="Q30" i="86" s="1"/>
  <c r="N28" i="86"/>
  <c r="O28" i="86" s="1"/>
  <c r="M29" i="86" s="1"/>
  <c r="V29" i="86" l="1"/>
  <c r="W29" i="86" s="1"/>
  <c r="U30" i="86" s="1"/>
  <c r="R30" i="86"/>
  <c r="S30" i="86" s="1"/>
  <c r="Q31" i="86" s="1"/>
  <c r="N29" i="86"/>
  <c r="O29" i="86" s="1"/>
  <c r="M30" i="86" s="1"/>
  <c r="V30" i="86" l="1"/>
  <c r="W30" i="86" s="1"/>
  <c r="U31" i="86" s="1"/>
  <c r="R31" i="86"/>
  <c r="S31" i="86"/>
  <c r="Q32" i="86" s="1"/>
  <c r="N30" i="86"/>
  <c r="O30" i="86"/>
  <c r="M31" i="86" s="1"/>
  <c r="V31" i="86" l="1"/>
  <c r="W31" i="86" s="1"/>
  <c r="U32" i="86" s="1"/>
  <c r="R32" i="86"/>
  <c r="S32" i="86" s="1"/>
  <c r="Q33" i="86" s="1"/>
  <c r="N31" i="86"/>
  <c r="O31" i="86"/>
  <c r="M32" i="86" s="1"/>
  <c r="V32" i="86" l="1"/>
  <c r="W32" i="86"/>
  <c r="U33" i="86" s="1"/>
  <c r="R33" i="86"/>
  <c r="S33" i="86" s="1"/>
  <c r="Q34" i="86" s="1"/>
  <c r="N32" i="86"/>
  <c r="O32" i="86"/>
  <c r="M33" i="86" s="1"/>
  <c r="V33" i="86" l="1"/>
  <c r="W33" i="86" s="1"/>
  <c r="U34" i="86" s="1"/>
  <c r="R34" i="86"/>
  <c r="S34" i="86" s="1"/>
  <c r="Q35" i="86" s="1"/>
  <c r="N33" i="86"/>
  <c r="O33" i="86" s="1"/>
  <c r="M34" i="86" s="1"/>
  <c r="V34" i="86" l="1"/>
  <c r="W34" i="86" s="1"/>
  <c r="U35" i="86" s="1"/>
  <c r="R35" i="86"/>
  <c r="S35" i="86" s="1"/>
  <c r="Q36" i="86" s="1"/>
  <c r="N34" i="86"/>
  <c r="O34" i="86"/>
  <c r="M35" i="86" s="1"/>
  <c r="V35" i="86" l="1"/>
  <c r="W35" i="86"/>
  <c r="U36" i="86" s="1"/>
  <c r="R36" i="86"/>
  <c r="S36" i="86"/>
  <c r="Q37" i="86" s="1"/>
  <c r="N35" i="86"/>
  <c r="O35" i="86" s="1"/>
  <c r="V36" i="86" l="1"/>
  <c r="W36" i="86" s="1"/>
  <c r="U37" i="86" s="1"/>
  <c r="R37" i="86"/>
  <c r="S37" i="86" s="1"/>
  <c r="Q38" i="86" s="1"/>
  <c r="V37" i="86" l="1"/>
  <c r="W37" i="86" s="1"/>
  <c r="U38" i="86" s="1"/>
  <c r="R38" i="86"/>
  <c r="S38" i="86" s="1"/>
  <c r="Q39" i="86" s="1"/>
  <c r="V38" i="86" l="1"/>
  <c r="W38" i="86" s="1"/>
  <c r="U39" i="86" s="1"/>
  <c r="R39" i="86"/>
  <c r="S39" i="86" s="1"/>
  <c r="Q40" i="86" s="1"/>
  <c r="V39" i="86" l="1"/>
  <c r="W39" i="86"/>
  <c r="U40" i="86" s="1"/>
  <c r="R40" i="86"/>
  <c r="S40" i="86"/>
  <c r="Q41" i="86" s="1"/>
  <c r="V40" i="86" l="1"/>
  <c r="W40" i="86" s="1"/>
  <c r="U41" i="86" s="1"/>
  <c r="R41" i="86"/>
  <c r="S41" i="86" s="1"/>
  <c r="Q42" i="86" s="1"/>
  <c r="W41" i="86" l="1"/>
  <c r="U42" i="86" s="1"/>
  <c r="V41" i="86"/>
  <c r="R42" i="86"/>
  <c r="S42" i="86" s="1"/>
  <c r="Q43" i="86" s="1"/>
  <c r="V42" i="86" l="1"/>
  <c r="W42" i="86" s="1"/>
  <c r="U43" i="86" s="1"/>
  <c r="R43" i="86"/>
  <c r="S43" i="86" s="1"/>
  <c r="Q44" i="86" s="1"/>
  <c r="V43" i="86" l="1"/>
  <c r="W43" i="86" s="1"/>
  <c r="U44" i="86" s="1"/>
  <c r="R44" i="86"/>
  <c r="S44" i="86"/>
  <c r="Q45" i="86" s="1"/>
  <c r="V44" i="86" l="1"/>
  <c r="W44" i="86" s="1"/>
  <c r="U45" i="86" s="1"/>
  <c r="R45" i="86"/>
  <c r="S45" i="86" s="1"/>
  <c r="Q46" i="86" s="1"/>
  <c r="V45" i="86" l="1"/>
  <c r="W45" i="86" s="1"/>
  <c r="U46" i="86" s="1"/>
  <c r="R46" i="86"/>
  <c r="S46" i="86"/>
  <c r="Q47" i="86" s="1"/>
  <c r="W46" i="86" l="1"/>
  <c r="U47" i="86" s="1"/>
  <c r="V46" i="86"/>
  <c r="R47" i="86"/>
  <c r="S47" i="86"/>
  <c r="V47" i="86" l="1"/>
  <c r="W47" i="86" s="1"/>
  <c r="E8" i="100" l="1"/>
  <c r="T48" i="86"/>
  <c r="I12" i="86"/>
  <c r="D61" i="86"/>
  <c r="D62" i="86" s="1"/>
  <c r="D63" i="86" s="1"/>
  <c r="D64" i="86" s="1"/>
  <c r="D65" i="86" s="1"/>
  <c r="D66" i="86" s="1"/>
  <c r="D67" i="86" s="1"/>
  <c r="D68" i="86" s="1"/>
  <c r="D69" i="86" s="1"/>
  <c r="D70" i="86" s="1"/>
  <c r="D71" i="86" s="1"/>
  <c r="D26" i="86"/>
  <c r="D25" i="86"/>
  <c r="U48" i="86" l="1"/>
  <c r="J12" i="86"/>
  <c r="K12" i="86" s="1"/>
  <c r="I13" i="86" s="1"/>
  <c r="T49" i="86"/>
  <c r="D27" i="86"/>
  <c r="V48" i="86" l="1"/>
  <c r="W48" i="86" s="1"/>
  <c r="U49" i="86" s="1"/>
  <c r="J13" i="86"/>
  <c r="K13" i="86" s="1"/>
  <c r="I14" i="86" s="1"/>
  <c r="T50" i="86"/>
  <c r="D28" i="86"/>
  <c r="V49" i="86" l="1"/>
  <c r="W49" i="86" s="1"/>
  <c r="U50" i="86" s="1"/>
  <c r="J14" i="86"/>
  <c r="K14" i="86"/>
  <c r="I15" i="86" s="1"/>
  <c r="T51" i="86"/>
  <c r="D29" i="86"/>
  <c r="V50" i="86" l="1"/>
  <c r="W50" i="86" s="1"/>
  <c r="U51" i="86" s="1"/>
  <c r="J15" i="86"/>
  <c r="K15" i="86"/>
  <c r="I16" i="86" s="1"/>
  <c r="J16" i="86" s="1"/>
  <c r="K16" i="86" s="1"/>
  <c r="I17" i="86" s="1"/>
  <c r="J17" i="86" s="1"/>
  <c r="K17" i="86" s="1"/>
  <c r="I18" i="86" s="1"/>
  <c r="T52" i="86"/>
  <c r="D30" i="86"/>
  <c r="V51" i="86" l="1"/>
  <c r="W51" i="86" s="1"/>
  <c r="U52" i="86" s="1"/>
  <c r="V52" i="86" s="1"/>
  <c r="W52" i="86" s="1"/>
  <c r="J18" i="86"/>
  <c r="K18" i="86"/>
  <c r="I19" i="86" s="1"/>
  <c r="J19" i="86" s="1"/>
  <c r="K19" i="86" s="1"/>
  <c r="I20" i="86" s="1"/>
  <c r="J20" i="86" s="1"/>
  <c r="K20" i="86" s="1"/>
  <c r="I21" i="86" s="1"/>
  <c r="J21" i="86" s="1"/>
  <c r="K21" i="86" s="1"/>
  <c r="I22" i="86" s="1"/>
  <c r="T53" i="86"/>
  <c r="D31" i="86"/>
  <c r="U53" i="86" l="1"/>
  <c r="V53" i="86"/>
  <c r="W53" i="86"/>
  <c r="J22" i="86"/>
  <c r="K22" i="86"/>
  <c r="I23" i="86" s="1"/>
  <c r="T54" i="86"/>
  <c r="D32" i="86"/>
  <c r="U54" i="86" l="1"/>
  <c r="V54" i="86" s="1"/>
  <c r="W54" i="86" s="1"/>
  <c r="J23" i="86"/>
  <c r="K23" i="86"/>
  <c r="I24" i="86" s="1"/>
  <c r="T55" i="86"/>
  <c r="D33" i="86"/>
  <c r="U55" i="86" l="1"/>
  <c r="J24" i="86"/>
  <c r="K24" i="86" s="1"/>
  <c r="I25" i="86" s="1"/>
  <c r="J25" i="86" s="1"/>
  <c r="K25" i="86" s="1"/>
  <c r="I26" i="86" s="1"/>
  <c r="T56" i="86"/>
  <c r="D34" i="86"/>
  <c r="V55" i="86" l="1"/>
  <c r="W55" i="86"/>
  <c r="U56" i="86" s="1"/>
  <c r="J26" i="86"/>
  <c r="K26" i="86" s="1"/>
  <c r="I27" i="86" s="1"/>
  <c r="J27" i="86" s="1"/>
  <c r="K27" i="86" s="1"/>
  <c r="I28" i="86" s="1"/>
  <c r="T57" i="86"/>
  <c r="V56" i="86" l="1"/>
  <c r="W56" i="86"/>
  <c r="U57" i="86" s="1"/>
  <c r="V57" i="86" s="1"/>
  <c r="W57" i="86" s="1"/>
  <c r="J28" i="86"/>
  <c r="K28" i="86" s="1"/>
  <c r="I29" i="86" s="1"/>
  <c r="T58" i="86"/>
  <c r="U58" i="86" l="1"/>
  <c r="J29" i="86"/>
  <c r="K29" i="86" s="1"/>
  <c r="I30" i="86" s="1"/>
  <c r="T59" i="86"/>
  <c r="T72" i="86" s="1"/>
  <c r="V58" i="86" l="1"/>
  <c r="W58" i="86"/>
  <c r="U59" i="86" s="1"/>
  <c r="V59" i="86" s="1"/>
  <c r="W59" i="86" s="1"/>
  <c r="U60" i="86" s="1"/>
  <c r="J30" i="86"/>
  <c r="K30" i="86" s="1"/>
  <c r="I31" i="86" s="1"/>
  <c r="V60" i="86" l="1"/>
  <c r="W60" i="86" s="1"/>
  <c r="U61" i="86" s="1"/>
  <c r="J31" i="86"/>
  <c r="K31" i="86" s="1"/>
  <c r="I32" i="86" s="1"/>
  <c r="J32" i="86" s="1"/>
  <c r="K32" i="86" s="1"/>
  <c r="I33" i="86" s="1"/>
  <c r="J33" i="86" s="1"/>
  <c r="K33" i="86" s="1"/>
  <c r="I34" i="86" s="1"/>
  <c r="V61" i="86" l="1"/>
  <c r="W61" i="86" s="1"/>
  <c r="U62" i="86" s="1"/>
  <c r="V62" i="86" s="1"/>
  <c r="W62" i="86" s="1"/>
  <c r="U63" i="86" s="1"/>
  <c r="J34" i="86"/>
  <c r="K34" i="86" s="1"/>
  <c r="I35" i="86" s="1"/>
  <c r="J35" i="86" s="1"/>
  <c r="K35" i="86" s="1"/>
  <c r="I36" i="86" s="1"/>
  <c r="V63" i="86" l="1"/>
  <c r="W63" i="86" s="1"/>
  <c r="U64" i="86" s="1"/>
  <c r="J36" i="86"/>
  <c r="K36" i="86" s="1"/>
  <c r="I37" i="86" s="1"/>
  <c r="V64" i="86" l="1"/>
  <c r="W64" i="86" s="1"/>
  <c r="U65" i="86" s="1"/>
  <c r="V65" i="86" s="1"/>
  <c r="W65" i="86" s="1"/>
  <c r="U66" i="86" s="1"/>
  <c r="J37" i="86"/>
  <c r="K37" i="86" s="1"/>
  <c r="I38" i="86" s="1"/>
  <c r="V66" i="86" l="1"/>
  <c r="W66" i="86" s="1"/>
  <c r="U67" i="86" s="1"/>
  <c r="J38" i="86"/>
  <c r="K38" i="86" s="1"/>
  <c r="I39" i="86" s="1"/>
  <c r="V67" i="86" l="1"/>
  <c r="W67" i="86" s="1"/>
  <c r="U68" i="86" s="1"/>
  <c r="J39" i="86"/>
  <c r="K39" i="86"/>
  <c r="I40" i="86" s="1"/>
  <c r="J40" i="86" s="1"/>
  <c r="K40" i="86" s="1"/>
  <c r="I41" i="86" s="1"/>
  <c r="J41" i="86" s="1"/>
  <c r="K41" i="86" s="1"/>
  <c r="I42" i="86" s="1"/>
  <c r="V68" i="86" l="1"/>
  <c r="W68" i="86" s="1"/>
  <c r="U69" i="86" s="1"/>
  <c r="J42" i="86"/>
  <c r="K42" i="86" s="1"/>
  <c r="I43" i="86" s="1"/>
  <c r="J43" i="86" s="1"/>
  <c r="K43" i="86" s="1"/>
  <c r="I44" i="86" s="1"/>
  <c r="V69" i="86" l="1"/>
  <c r="W69" i="86" s="1"/>
  <c r="U70" i="86" s="1"/>
  <c r="J44" i="86"/>
  <c r="K44" i="86" s="1"/>
  <c r="I45" i="86" s="1"/>
  <c r="V70" i="86" l="1"/>
  <c r="W70" i="86" s="1"/>
  <c r="U71" i="86" s="1"/>
  <c r="J45" i="86"/>
  <c r="K45" i="86" s="1"/>
  <c r="I46" i="86" s="1"/>
  <c r="V71" i="86" l="1"/>
  <c r="W71" i="86"/>
  <c r="W72" i="86" s="1"/>
  <c r="J46" i="86"/>
  <c r="K46" i="86" s="1"/>
  <c r="I47" i="86" s="1"/>
  <c r="F36" i="100" l="1"/>
  <c r="J47" i="86"/>
  <c r="K47" i="86" s="1"/>
  <c r="I48" i="86" s="1"/>
  <c r="J48" i="86" s="1"/>
  <c r="K48" i="86" s="1"/>
  <c r="I49" i="86" s="1"/>
  <c r="J49" i="86" l="1"/>
  <c r="K49" i="86" s="1"/>
  <c r="I50" i="86" s="1"/>
  <c r="J50" i="86" l="1"/>
  <c r="K50" i="86" s="1"/>
  <c r="I51" i="86" s="1"/>
  <c r="J51" i="86" s="1"/>
  <c r="K51" i="86" s="1"/>
  <c r="I52" i="86" s="1"/>
  <c r="J52" i="86" l="1"/>
  <c r="K52" i="86" s="1"/>
  <c r="I53" i="86" s="1"/>
  <c r="J53" i="86" l="1"/>
  <c r="K53" i="86" s="1"/>
  <c r="I54" i="86" s="1"/>
  <c r="J54" i="86" s="1"/>
  <c r="K54" i="86" s="1"/>
  <c r="I55" i="86" s="1"/>
  <c r="J55" i="86" s="1"/>
  <c r="K55" i="86" s="1"/>
  <c r="I56" i="86" s="1"/>
  <c r="J56" i="86" s="1"/>
  <c r="K56" i="86" s="1"/>
  <c r="I57" i="86" s="1"/>
  <c r="J57" i="86" s="1"/>
  <c r="K57" i="86" s="1"/>
  <c r="I58" i="86" s="1"/>
  <c r="J58" i="86" l="1"/>
  <c r="K58" i="86" s="1"/>
  <c r="I59" i="86" s="1"/>
  <c r="J59" i="86" s="1"/>
  <c r="K59" i="86" s="1"/>
  <c r="I60" i="86" s="1"/>
  <c r="J60" i="86" l="1"/>
  <c r="K60" i="86" s="1"/>
  <c r="I61" i="86" s="1"/>
  <c r="J61" i="86" l="1"/>
  <c r="K61" i="86" s="1"/>
  <c r="I62" i="86" s="1"/>
  <c r="J62" i="86" l="1"/>
  <c r="K62" i="86" s="1"/>
  <c r="I63" i="86" s="1"/>
  <c r="J63" i="86" s="1"/>
  <c r="K63" i="86" s="1"/>
  <c r="I64" i="86" s="1"/>
  <c r="J64" i="86" s="1"/>
  <c r="K64" i="86" s="1"/>
  <c r="I65" i="86" s="1"/>
  <c r="J65" i="86" l="1"/>
  <c r="K65" i="86" s="1"/>
  <c r="I66" i="86" s="1"/>
  <c r="J66" i="86" l="1"/>
  <c r="K66" i="86" s="1"/>
  <c r="I67" i="86" s="1"/>
  <c r="J67" i="86" s="1"/>
  <c r="K67" i="86" s="1"/>
  <c r="I68" i="86" s="1"/>
  <c r="J68" i="86" l="1"/>
  <c r="K68" i="86" s="1"/>
  <c r="I69" i="86" s="1"/>
  <c r="J69" i="86" l="1"/>
  <c r="K69" i="86" s="1"/>
  <c r="I70" i="86" s="1"/>
  <c r="J70" i="86" l="1"/>
  <c r="K70" i="86" s="1"/>
  <c r="I71" i="86" s="1"/>
  <c r="J71" i="86" s="1"/>
  <c r="K71" i="86" s="1"/>
  <c r="K72" i="86" s="1"/>
  <c r="D12" i="86" l="1"/>
  <c r="E12" i="86" l="1"/>
  <c r="D13" i="86"/>
  <c r="D14" i="86" l="1"/>
  <c r="F12" i="86"/>
  <c r="G12" i="86" s="1"/>
  <c r="E13" i="86" s="1"/>
  <c r="F13" i="86" l="1"/>
  <c r="G13" i="86" s="1"/>
  <c r="E14" i="86" s="1"/>
  <c r="F14" i="86" s="1"/>
  <c r="G14" i="86" s="1"/>
  <c r="D15" i="86"/>
  <c r="D16" i="86" s="1"/>
  <c r="E15" i="86" l="1"/>
  <c r="F15" i="86" s="1"/>
  <c r="G15" i="86" s="1"/>
  <c r="E16" i="86" s="1"/>
  <c r="F16" i="86" s="1"/>
  <c r="G16" i="86" s="1"/>
  <c r="E17" i="86" s="1"/>
  <c r="F17" i="86" s="1"/>
  <c r="G17" i="86" s="1"/>
  <c r="D17" i="86"/>
  <c r="D18" i="86" l="1"/>
  <c r="D19" i="86" s="1"/>
  <c r="D20" i="86" s="1"/>
  <c r="D21" i="86" s="1"/>
  <c r="D22" i="86" s="1"/>
  <c r="D23" i="86" s="1"/>
  <c r="E18" i="86" l="1"/>
  <c r="F18" i="86" s="1"/>
  <c r="G18" i="86" s="1"/>
  <c r="E19" i="86" s="1"/>
  <c r="F19" i="86" s="1"/>
  <c r="G19" i="86" s="1"/>
  <c r="E20" i="86" s="1"/>
  <c r="F20" i="86" s="1"/>
  <c r="G20" i="86" s="1"/>
  <c r="E21" i="86" s="1"/>
  <c r="F21" i="86" s="1"/>
  <c r="G21" i="86" s="1"/>
  <c r="E22" i="86" s="1"/>
  <c r="F22" i="86" s="1"/>
  <c r="G22" i="86" s="1"/>
  <c r="E23" i="86" s="1"/>
  <c r="F23" i="86" s="1"/>
  <c r="G23" i="86" s="1"/>
  <c r="E24" i="86" s="1"/>
  <c r="F24" i="86" s="1"/>
  <c r="G24" i="86" s="1"/>
  <c r="E25" i="86" s="1"/>
  <c r="F25" i="86" s="1"/>
  <c r="G25" i="86" s="1"/>
  <c r="E26" i="86" s="1"/>
  <c r="F26" i="86" l="1"/>
  <c r="G26" i="86" s="1"/>
  <c r="E27" i="86" s="1"/>
  <c r="F27" i="86" s="1"/>
  <c r="G27" i="86" s="1"/>
  <c r="E28" i="86" s="1"/>
  <c r="G28" i="86" l="1"/>
  <c r="F28" i="86"/>
  <c r="E29" i="86" l="1"/>
  <c r="F29" i="86" l="1"/>
  <c r="G29" i="86"/>
  <c r="E30" i="86" l="1"/>
  <c r="F30" i="86" l="1"/>
  <c r="G30" i="86"/>
  <c r="E31" i="86" s="1"/>
  <c r="F31" i="86" s="1"/>
  <c r="G31" i="86" s="1"/>
  <c r="E32" i="86" s="1"/>
  <c r="D8" i="194"/>
  <c r="P48" i="86" s="1"/>
  <c r="P49" i="86" l="1"/>
  <c r="P50" i="86" s="1"/>
  <c r="Q48" i="86"/>
  <c r="R48" i="86" s="1"/>
  <c r="S48" i="86" s="1"/>
  <c r="F32" i="86"/>
  <c r="G32" i="86" s="1"/>
  <c r="E33" i="86" s="1"/>
  <c r="F33" i="86" s="1"/>
  <c r="G33" i="86" s="1"/>
  <c r="E34" i="86" s="1"/>
  <c r="F34" i="86" s="1"/>
  <c r="G34" i="86" s="1"/>
  <c r="E35" i="86" s="1"/>
  <c r="F35" i="86" s="1"/>
  <c r="G35" i="86" s="1"/>
  <c r="E36" i="86" s="1"/>
  <c r="F36" i="86" s="1"/>
  <c r="G36" i="86" s="1"/>
  <c r="Q49" i="86" l="1"/>
  <c r="R49" i="86" s="1"/>
  <c r="S49" i="86" s="1"/>
  <c r="Q50" i="86" s="1"/>
  <c r="R50" i="86" s="1"/>
  <c r="S50" i="86" s="1"/>
  <c r="P51" i="86"/>
  <c r="D49" i="86"/>
  <c r="D50" i="86" s="1"/>
  <c r="D51" i="86" s="1"/>
  <c r="Q51" i="86" l="1"/>
  <c r="R51" i="86" s="1"/>
  <c r="S51" i="86" s="1"/>
  <c r="P52" i="86"/>
  <c r="D52" i="86"/>
  <c r="Q52" i="86" l="1"/>
  <c r="R52" i="86" s="1"/>
  <c r="S52" i="86" s="1"/>
  <c r="P53" i="86"/>
  <c r="P54" i="86" s="1"/>
  <c r="D53" i="86"/>
  <c r="Q53" i="86" l="1"/>
  <c r="R53" i="86" s="1"/>
  <c r="S53" i="86" s="1"/>
  <c r="Q54" i="86" s="1"/>
  <c r="R54" i="86" s="1"/>
  <c r="S54" i="86" s="1"/>
  <c r="P55" i="86"/>
  <c r="D54" i="86"/>
  <c r="P56" i="86" l="1"/>
  <c r="Q55" i="86"/>
  <c r="R55" i="86" s="1"/>
  <c r="S55" i="86" s="1"/>
  <c r="D55" i="86"/>
  <c r="Q56" i="86" l="1"/>
  <c r="R56" i="86" s="1"/>
  <c r="S56" i="86" s="1"/>
  <c r="Q57" i="86" s="1"/>
  <c r="R57" i="86" s="1"/>
  <c r="S57" i="86" s="1"/>
  <c r="P57" i="86"/>
  <c r="D56" i="86"/>
  <c r="P58" i="86" l="1"/>
  <c r="D57" i="86"/>
  <c r="Q58" i="86" l="1"/>
  <c r="R58" i="86" s="1"/>
  <c r="S58" i="86" s="1"/>
  <c r="P59" i="86"/>
  <c r="D58" i="86"/>
  <c r="Q59" i="86" l="1"/>
  <c r="P72" i="86"/>
  <c r="D59" i="86"/>
  <c r="R59" i="86" l="1"/>
  <c r="S59" i="86" s="1"/>
  <c r="Q60" i="86" s="1"/>
  <c r="R60" i="86" s="1"/>
  <c r="S60" i="86" s="1"/>
  <c r="Q61" i="86" s="1"/>
  <c r="R61" i="86" s="1"/>
  <c r="S61" i="86" s="1"/>
  <c r="Q62" i="86" s="1"/>
  <c r="R62" i="86" s="1"/>
  <c r="S62" i="86" s="1"/>
  <c r="Q63" i="86" s="1"/>
  <c r="F10" i="213"/>
  <c r="G10" i="213" s="1"/>
  <c r="F9" i="213"/>
  <c r="G9" i="213" s="1"/>
  <c r="F7" i="213"/>
  <c r="G7" i="213" s="1"/>
  <c r="F6" i="213"/>
  <c r="G6" i="213" s="1"/>
  <c r="R63" i="86" l="1"/>
  <c r="S63" i="86"/>
  <c r="Q64" i="86" s="1"/>
  <c r="R64" i="86" s="1"/>
  <c r="S64" i="86" s="1"/>
  <c r="Q65" i="86" s="1"/>
  <c r="R65" i="86" s="1"/>
  <c r="S65" i="86" s="1"/>
  <c r="Q66" i="86" s="1"/>
  <c r="R66" i="86" s="1"/>
  <c r="S66" i="86" s="1"/>
  <c r="Q67" i="86" s="1"/>
  <c r="R67" i="86" s="1"/>
  <c r="S67" i="86" s="1"/>
  <c r="Q68" i="86" s="1"/>
  <c r="R68" i="86" s="1"/>
  <c r="S68" i="86" s="1"/>
  <c r="Q69" i="86" s="1"/>
  <c r="R69" i="86" s="1"/>
  <c r="S69" i="86" s="1"/>
  <c r="Q70" i="86" s="1"/>
  <c r="R70" i="86" s="1"/>
  <c r="S70" i="86" s="1"/>
  <c r="Q71" i="86" s="1"/>
  <c r="R71" i="86" s="1"/>
  <c r="S71" i="86" s="1"/>
  <c r="S72" i="86" s="1"/>
  <c r="F29" i="100" s="1"/>
  <c r="G11" i="213"/>
  <c r="G8" i="213"/>
  <c r="G12" i="213"/>
  <c r="L37" i="86" l="1"/>
  <c r="L38" i="86" s="1"/>
  <c r="L39" i="86" s="1"/>
  <c r="L40" i="86" s="1"/>
  <c r="L41" i="86" s="1"/>
  <c r="L42" i="86" s="1"/>
  <c r="L43" i="86" s="1"/>
  <c r="L44" i="86" s="1"/>
  <c r="L45" i="86" s="1"/>
  <c r="L46" i="86" s="1"/>
  <c r="L47" i="86" s="1"/>
  <c r="M36" i="86"/>
  <c r="D37" i="86"/>
  <c r="L72" i="86" l="1"/>
  <c r="N36" i="86"/>
  <c r="O36" i="86" s="1"/>
  <c r="M37" i="86" s="1"/>
  <c r="N37" i="86" s="1"/>
  <c r="O37" i="86" s="1"/>
  <c r="M38" i="86" s="1"/>
  <c r="N38" i="86" s="1"/>
  <c r="O38" i="86" s="1"/>
  <c r="M39" i="86" s="1"/>
  <c r="N39" i="86" s="1"/>
  <c r="O39" i="86" s="1"/>
  <c r="M40" i="86" s="1"/>
  <c r="N40" i="86" s="1"/>
  <c r="O40" i="86" s="1"/>
  <c r="M41" i="86" s="1"/>
  <c r="N41" i="86" s="1"/>
  <c r="O41" i="86" s="1"/>
  <c r="M42" i="86" s="1"/>
  <c r="N42" i="86" s="1"/>
  <c r="O42" i="86" s="1"/>
  <c r="M43" i="86" s="1"/>
  <c r="E37" i="86"/>
  <c r="F37" i="86" s="1"/>
  <c r="G37" i="86" s="1"/>
  <c r="D38" i="86"/>
  <c r="N43" i="86" l="1"/>
  <c r="O43" i="86" s="1"/>
  <c r="M44" i="86" s="1"/>
  <c r="E38" i="86"/>
  <c r="F38" i="86" s="1"/>
  <c r="G38" i="86" s="1"/>
  <c r="D39" i="86"/>
  <c r="D40" i="86" s="1"/>
  <c r="D41" i="86" s="1"/>
  <c r="D42" i="86" s="1"/>
  <c r="D43" i="86" s="1"/>
  <c r="D44" i="86" s="1"/>
  <c r="D45" i="86" s="1"/>
  <c r="D46" i="86" s="1"/>
  <c r="D47" i="86" s="1"/>
  <c r="N44" i="86" l="1"/>
  <c r="O44" i="86" s="1"/>
  <c r="M45" i="86" s="1"/>
  <c r="N45" i="86" s="1"/>
  <c r="O45" i="86" s="1"/>
  <c r="M46" i="86" s="1"/>
  <c r="E39" i="86"/>
  <c r="F39" i="86" s="1"/>
  <c r="G39" i="86" s="1"/>
  <c r="E40" i="86" s="1"/>
  <c r="F40" i="86" s="1"/>
  <c r="G40" i="86" s="1"/>
  <c r="E41" i="86" s="1"/>
  <c r="F41" i="86" s="1"/>
  <c r="G41" i="86" s="1"/>
  <c r="E42" i="86" s="1"/>
  <c r="F42" i="86" s="1"/>
  <c r="G42" i="86" s="1"/>
  <c r="E43" i="86" s="1"/>
  <c r="F43" i="86" s="1"/>
  <c r="G43" i="86" s="1"/>
  <c r="E44" i="86" s="1"/>
  <c r="F44" i="86" s="1"/>
  <c r="G44" i="86" s="1"/>
  <c r="E45" i="86" s="1"/>
  <c r="F45" i="86" s="1"/>
  <c r="G45" i="86" s="1"/>
  <c r="E46" i="86" s="1"/>
  <c r="F46" i="86" s="1"/>
  <c r="G46" i="86" s="1"/>
  <c r="E47" i="86" s="1"/>
  <c r="F47" i="86" s="1"/>
  <c r="G47" i="86" s="1"/>
  <c r="E48" i="86" s="1"/>
  <c r="F48" i="86" s="1"/>
  <c r="G48" i="86" s="1"/>
  <c r="E49" i="86" s="1"/>
  <c r="F49" i="86" s="1"/>
  <c r="G49" i="86" s="1"/>
  <c r="E50" i="86" s="1"/>
  <c r="F50" i="86" s="1"/>
  <c r="G50" i="86" s="1"/>
  <c r="E51" i="86" s="1"/>
  <c r="F51" i="86" s="1"/>
  <c r="G51" i="86" s="1"/>
  <c r="E52" i="86" s="1"/>
  <c r="F52" i="86" s="1"/>
  <c r="G52" i="86" s="1"/>
  <c r="E53" i="86" s="1"/>
  <c r="F53" i="86" s="1"/>
  <c r="G53" i="86" s="1"/>
  <c r="E54" i="86" s="1"/>
  <c r="F54" i="86" s="1"/>
  <c r="G54" i="86" s="1"/>
  <c r="E55" i="86" s="1"/>
  <c r="F55" i="86" s="1"/>
  <c r="G55" i="86" s="1"/>
  <c r="E56" i="86" s="1"/>
  <c r="F56" i="86" s="1"/>
  <c r="G56" i="86" s="1"/>
  <c r="E57" i="86" s="1"/>
  <c r="F57" i="86" s="1"/>
  <c r="G57" i="86" s="1"/>
  <c r="E58" i="86" s="1"/>
  <c r="F58" i="86" s="1"/>
  <c r="G58" i="86" s="1"/>
  <c r="E59" i="86" s="1"/>
  <c r="F59" i="86" s="1"/>
  <c r="G59" i="86" s="1"/>
  <c r="E60" i="86" s="1"/>
  <c r="F60" i="86" s="1"/>
  <c r="G60" i="86" s="1"/>
  <c r="E61" i="86" s="1"/>
  <c r="F61" i="86" s="1"/>
  <c r="G61" i="86" s="1"/>
  <c r="E62" i="86" s="1"/>
  <c r="F62" i="86" s="1"/>
  <c r="G62" i="86" s="1"/>
  <c r="E63" i="86" s="1"/>
  <c r="F63" i="86" s="1"/>
  <c r="G63" i="86" s="1"/>
  <c r="E64" i="86" s="1"/>
  <c r="F64" i="86" s="1"/>
  <c r="G64" i="86" s="1"/>
  <c r="E65" i="86" s="1"/>
  <c r="F65" i="86" s="1"/>
  <c r="G65" i="86" s="1"/>
  <c r="E66" i="86" s="1"/>
  <c r="F66" i="86" s="1"/>
  <c r="G66" i="86" s="1"/>
  <c r="E67" i="86" s="1"/>
  <c r="F67" i="86" s="1"/>
  <c r="G67" i="86" s="1"/>
  <c r="E68" i="86" s="1"/>
  <c r="F68" i="86" s="1"/>
  <c r="G68" i="86" s="1"/>
  <c r="E69" i="86" s="1"/>
  <c r="F69" i="86" s="1"/>
  <c r="G69" i="86" s="1"/>
  <c r="E70" i="86" s="1"/>
  <c r="F70" i="86" s="1"/>
  <c r="G70" i="86" s="1"/>
  <c r="E71" i="86" s="1"/>
  <c r="F71" i="86" s="1"/>
  <c r="G71" i="86" s="1"/>
  <c r="G72" i="86" s="1"/>
  <c r="D72" i="86"/>
  <c r="N46" i="86" l="1"/>
  <c r="O46" i="86" s="1"/>
  <c r="M47" i="86" s="1"/>
  <c r="N47" i="86" l="1"/>
  <c r="O47" i="86" s="1"/>
  <c r="M48" i="86" s="1"/>
  <c r="N48" i="86" l="1"/>
  <c r="O48" i="86" s="1"/>
  <c r="M49" i="86" s="1"/>
  <c r="N49" i="86" s="1"/>
  <c r="O49" i="86" s="1"/>
  <c r="M50" i="86" s="1"/>
  <c r="N50" i="86" s="1"/>
  <c r="O50" i="86" s="1"/>
  <c r="M51" i="86" s="1"/>
  <c r="N51" i="86" l="1"/>
  <c r="O51" i="86" s="1"/>
  <c r="M52" i="86" s="1"/>
  <c r="N52" i="86" l="1"/>
  <c r="O52" i="86" s="1"/>
  <c r="M53" i="86" s="1"/>
  <c r="N53" i="86" s="1"/>
  <c r="O53" i="86" s="1"/>
  <c r="M54" i="86" s="1"/>
  <c r="N54" i="86" s="1"/>
  <c r="O54" i="86" s="1"/>
  <c r="M55" i="86" s="1"/>
  <c r="N55" i="86" s="1"/>
  <c r="O55" i="86" s="1"/>
  <c r="M56" i="86" s="1"/>
  <c r="N56" i="86" s="1"/>
  <c r="O56" i="86" s="1"/>
  <c r="M57" i="86" s="1"/>
  <c r="N57" i="86" s="1"/>
  <c r="O57" i="86" s="1"/>
  <c r="M58" i="86" s="1"/>
  <c r="N58" i="86" s="1"/>
  <c r="O58" i="86" s="1"/>
  <c r="M59" i="86" s="1"/>
  <c r="N59" i="86" l="1"/>
  <c r="O59" i="86" s="1"/>
  <c r="M60" i="86" s="1"/>
  <c r="N60" i="86" s="1"/>
  <c r="O60" i="86" s="1"/>
  <c r="M61" i="86" s="1"/>
  <c r="N61" i="86" s="1"/>
  <c r="O61" i="86" s="1"/>
  <c r="M62" i="86" s="1"/>
  <c r="N62" i="86" s="1"/>
  <c r="O62" i="86" s="1"/>
  <c r="M63" i="86" s="1"/>
  <c r="N63" i="86" s="1"/>
  <c r="O63" i="86" s="1"/>
  <c r="M64" i="86" s="1"/>
  <c r="N64" i="86" s="1"/>
  <c r="O64" i="86" s="1"/>
  <c r="M65" i="86" s="1"/>
  <c r="N65" i="86" s="1"/>
  <c r="O65" i="86" s="1"/>
  <c r="M66" i="86" s="1"/>
  <c r="N66" i="86" s="1"/>
  <c r="O66" i="86" s="1"/>
  <c r="M67" i="86" s="1"/>
  <c r="N67" i="86" s="1"/>
  <c r="O67" i="86" s="1"/>
  <c r="M68" i="86" s="1"/>
  <c r="N68" i="86" s="1"/>
  <c r="O68" i="86" s="1"/>
  <c r="M69" i="86" s="1"/>
  <c r="N69" i="86" s="1"/>
  <c r="O69" i="86" s="1"/>
  <c r="M70" i="86" s="1"/>
  <c r="N70" i="86" s="1"/>
  <c r="O70" i="86" s="1"/>
  <c r="M71" i="86" s="1"/>
  <c r="N71" i="86" s="1"/>
  <c r="O71" i="86" s="1"/>
  <c r="O7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Kim, Jee Young</author>
  </authors>
  <commentList>
    <comment ref="E40" authorId="0" shapeId="0" xr:uid="{FA805A3D-A03A-4DDE-8470-516A709EBD9B}">
      <text>
        <r>
          <rPr>
            <b/>
            <sz val="9"/>
            <color indexed="81"/>
            <rFont val="Tahoma"/>
            <family val="2"/>
          </rPr>
          <t xml:space="preserve">Changed from $7,758,094 to $7,846,218  to removal of outside counsel cost related to employment litigation or arbitration matters which should have been excluded.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DD7C64F6-A6AD-453B-81BE-BE37C9C6F7E3}">
      <text>
        <r>
          <rPr>
            <b/>
            <sz val="9"/>
            <color indexed="81"/>
            <rFont val="Tahoma"/>
            <family val="2"/>
          </rPr>
          <t>U Factor changed from 0.98731% to 0.98733% to keep the uncollectible expense $11,953,557</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Hansen, Berton J</author>
  </authors>
  <commentList>
    <comment ref="F62" authorId="0" shapeId="0" xr:uid="{6EF7AE5C-5542-499D-AF01-C378BFF8B7ED}">
      <text>
        <r>
          <rPr>
            <sz val="9"/>
            <color indexed="81"/>
            <rFont val="Tahoma"/>
            <family val="2"/>
          </rPr>
          <t>Settlement term 3: New Line 39a reversing Line 39 Incentive Adder.  Will not apply to True Up Years of 2016 and 2017 as the True Up TRR for those years will be calculated pursuant to the Original Formula Rate (workpaper).</t>
        </r>
      </text>
    </comment>
    <comment ref="E84" authorId="0" shapeId="0" xr:uid="{799D019D-6D91-4612-81D9-47D5C557F271}">
      <text>
        <r>
          <rPr>
            <sz val="9"/>
            <color indexed="81"/>
            <rFont val="Tahoma"/>
            <family val="2"/>
          </rPr>
          <t>11.2% for 2018 True Up TRR pursuant to Settlement Term #3</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60AC06B8-A1DF-49F4-BFCC-8173023073E0}">
      <text>
        <r>
          <rPr>
            <b/>
            <sz val="9"/>
            <color indexed="81"/>
            <rFont val="Tahoma"/>
            <family val="2"/>
          </rPr>
          <t xml:space="preserve">Change from $8,764,724 to $9,099,604 due to removal of outside counsel cost related to employment litigation or arbitration matters which should have been excluded.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C9EE0685-784D-4DD2-A93B-B0002A26F54A}">
      <text>
        <r>
          <rPr>
            <b/>
            <sz val="9"/>
            <color indexed="81"/>
            <rFont val="Tahoma"/>
            <family val="2"/>
          </rPr>
          <t xml:space="preserve">Changed from $9,003,377 to $9,399,151 due to removal of outside counsel cost related to employment litigation or arbitration matters which should have been excluded.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A5F88532-AA06-434F-BAC9-C37FD73DC89E}">
      <text>
        <r>
          <rPr>
            <b/>
            <sz val="9"/>
            <color indexed="81"/>
            <rFont val="Tahoma"/>
            <family val="2"/>
          </rPr>
          <t>Changed from $8,991,127 to $9,386,901 due to removal of outside counsel cost related to employment litigation or arbitration matters which should have been excluded.</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I45" authorId="0" shapeId="0" xr:uid="{F7D777BF-5BF6-433E-BAE1-D51B703F8551}">
      <text>
        <r>
          <rPr>
            <b/>
            <sz val="9"/>
            <color indexed="81"/>
            <rFont val="Tahoma"/>
            <family val="2"/>
          </rPr>
          <t>Changed from $237,830 to $367,550 to reflect WP Schedule 5, Note 5.</t>
        </r>
        <r>
          <rPr>
            <sz val="9"/>
            <color indexed="81"/>
            <rFont val="Tahoma"/>
            <family val="2"/>
          </rPr>
          <t xml:space="preserve">
</t>
        </r>
      </text>
    </comment>
    <comment ref="H62" authorId="0" shapeId="0" xr:uid="{CCAE61EA-6D75-4534-A3AD-E5CDC8CAC612}">
      <text>
        <r>
          <rPr>
            <b/>
            <sz val="9"/>
            <color indexed="81"/>
            <rFont val="Tahoma"/>
            <family val="2"/>
          </rPr>
          <t>Changed from $852,277 to $284,092 to reflect WP Schedule 5, Note 6, Net Gain (Loss) Dec 20.</t>
        </r>
        <r>
          <rPr>
            <sz val="9"/>
            <color indexed="81"/>
            <rFont val="Tahoma"/>
            <family val="2"/>
          </rPr>
          <t xml:space="preserve">
</t>
        </r>
      </text>
    </comment>
    <comment ref="H63" authorId="0" shapeId="0" xr:uid="{6D2F9200-59E4-4AAB-89F4-F495C21AF1C3}">
      <text>
        <r>
          <rPr>
            <b/>
            <sz val="9"/>
            <color indexed="81"/>
            <rFont val="Tahoma"/>
            <family val="2"/>
          </rPr>
          <t>Changed from $144,854 to $36,213 to reflect WP Schedule 5, Note 6, Net Gain (Loss) Dec 20.</t>
        </r>
        <r>
          <rPr>
            <sz val="9"/>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34A41B26-D19E-49E7-9966-9A3575A2D092}">
      <text>
        <r>
          <rPr>
            <b/>
            <sz val="9"/>
            <color indexed="81"/>
            <rFont val="Tahoma"/>
            <family val="2"/>
          </rPr>
          <t>Changed from $2,925,374 to $3,361,642 due to to removal of outside counsel cost related to employment litigation or arbitration matters which should have been excluded.</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G14" authorId="0" shapeId="0" xr:uid="{2458DAE2-D414-44A1-AF7B-C9FF9702EA8B}">
      <text>
        <r>
          <rPr>
            <b/>
            <sz val="9"/>
            <color indexed="81"/>
            <rFont val="Tahoma"/>
            <family val="2"/>
          </rPr>
          <t xml:space="preserve">Changed from 1.13759% to 1.13775% to keep the uncollectible expense $13,789,000.
</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Jee Kim</author>
  </authors>
  <commentList>
    <comment ref="E40" authorId="0" shapeId="0" xr:uid="{9F782944-D5D1-4D87-881D-9A27944BEEB3}">
      <text>
        <r>
          <rPr>
            <b/>
            <sz val="9"/>
            <color indexed="81"/>
            <rFont val="Tahoma"/>
            <family val="2"/>
          </rPr>
          <t>Changed from $1,504,970 to $1,846,552 due to removal of outside counsel cost related to employment litigation or arbitration matters which should have been excluded.</t>
        </r>
        <r>
          <rPr>
            <sz val="9"/>
            <color indexed="81"/>
            <rFont val="Tahoma"/>
            <family val="2"/>
          </rPr>
          <t xml:space="preserve">
</t>
        </r>
      </text>
    </comment>
  </commentList>
</comments>
</file>

<file path=xl/sharedStrings.xml><?xml version="1.0" encoding="utf-8"?>
<sst xmlns="http://schemas.openxmlformats.org/spreadsheetml/2006/main" count="2528" uniqueCount="587">
  <si>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</si>
  <si>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</si>
  <si>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</si>
  <si>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</si>
  <si>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</si>
  <si>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</si>
  <si>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</si>
  <si>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</si>
  <si>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</si>
  <si>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</si>
  <si>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</si>
  <si>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</si>
  <si>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</si>
  <si>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</si>
  <si>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</si>
  <si>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</si>
  <si>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</si>
  <si>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</si>
  <si>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</si>
  <si>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</si>
  <si>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</si>
  <si>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</si>
  <si>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</si>
  <si>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</si>
  <si>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</si>
  <si>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</si>
  <si>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</si>
  <si>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</si>
  <si>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</si>
  <si>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</si>
  <si>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</si>
  <si>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</si>
  <si>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</si>
  <si>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</si>
  <si>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</si>
  <si>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</si>
  <si>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</si>
  <si>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</si>
  <si>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</si>
  <si>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</si>
  <si>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</si>
  <si>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</si>
  <si>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</si>
  <si>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</si>
  <si>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</si>
  <si>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</si>
  <si>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</si>
  <si>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</si>
  <si>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</si>
  <si>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</si>
  <si>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</si>
  <si>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</si>
  <si>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</si>
  <si>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</si>
  <si>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</si>
  <si>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</si>
  <si>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</si>
  <si>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</si>
  <si>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</si>
  <si>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</si>
  <si>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</si>
  <si>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</si>
  <si>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</si>
  <si>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</si>
  <si>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</si>
  <si>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</si>
  <si>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</si>
  <si>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</si>
  <si>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</si>
  <si>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</si>
  <si>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</si>
  <si>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</si>
  <si>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</si>
  <si>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</si>
  <si>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</si>
  <si>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</si>
  <si>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</si>
  <si>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</si>
  <si>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</si>
  <si>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</si>
  <si>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</si>
  <si>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</si>
  <si>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</si>
  <si>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</si>
  <si>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</si>
  <si>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</si>
  <si>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</si>
  <si>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</si>
  <si>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</si>
  <si>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</si>
  <si>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</si>
  <si>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</si>
  <si>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</si>
  <si>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</si>
  <si>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</si>
  <si>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</si>
  <si>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</si>
  <si>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</si>
  <si>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</si>
  <si>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</si>
  <si>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</si>
  <si>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</si>
  <si>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</si>
  <si>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</si>
  <si>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</si>
  <si>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</si>
  <si>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</si>
  <si>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</si>
  <si>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</si>
  <si>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</si>
  <si>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</si>
  <si>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</si>
  <si>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</si>
  <si>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</si>
  <si>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</si>
  <si>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</si>
  <si>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</si>
  <si>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</si>
  <si>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</si>
  <si>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</si>
  <si>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</si>
  <si>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</si>
  <si>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</si>
  <si>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</si>
  <si>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</si>
  <si>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</si>
  <si>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</si>
  <si>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</si>
  <si>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</si>
  <si>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</si>
  <si>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</si>
  <si>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</si>
  <si>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</si>
  <si>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</si>
  <si>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</si>
  <si>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</si>
  <si>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</si>
  <si>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</si>
  <si>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TUTRR Change</t>
  </si>
  <si>
    <t>A</t>
  </si>
  <si>
    <t>One-Time Adj*</t>
  </si>
  <si>
    <t>* Variance Includes Adjustment for:</t>
  </si>
  <si>
    <t>Explanation of One Time Adjustment to Prior Period</t>
  </si>
  <si>
    <t>B</t>
  </si>
  <si>
    <t>1/8 (O&amp;M + A&amp;G)</t>
  </si>
  <si>
    <t>1) Use weighted average (by time) of the Return on Equity in effect during the Prior Year in determining the "Cost of Capital Rate" on Line 19</t>
  </si>
  <si>
    <t>and the "Equity Rate of Return Including Preferred Stock" on Line 23 in the event that the ROE is revised during the Prior Year.  In this event,</t>
  </si>
  <si>
    <t>See Line f below</t>
  </si>
  <si>
    <t>39a</t>
  </si>
  <si>
    <t>True Up Incentive Adder Reversal</t>
  </si>
  <si>
    <t>Negative of Line 39, Note 1</t>
  </si>
  <si>
    <t>Line 38 + Line 39 + Line 39a</t>
  </si>
  <si>
    <t>Notes:</t>
  </si>
  <si>
    <t>1) True Up TRR Incentive Adder Reversal backs out the revenue requirement associated with any project-specific Incentive Adders</t>
  </si>
  <si>
    <t xml:space="preserve">    (line 39) for True Up Years during the term of the Second Formula Rate.  Applicable pursuant to settlement under ER18-169.</t>
  </si>
  <si>
    <t>2.</t>
  </si>
  <si>
    <t>E</t>
  </si>
  <si>
    <t>Changes to 2019</t>
  </si>
  <si>
    <t>One Time Adjustment for Revised 2019 True Up TRR</t>
  </si>
  <si>
    <t>Weighting Factor</t>
  </si>
  <si>
    <t>Weighted Amount</t>
  </si>
  <si>
    <t xml:space="preserve">One Time Adjustment to Reflect 2019 True Up TRR </t>
  </si>
  <si>
    <t xml:space="preserve">TO2021 Weighted One Time Adjustment: </t>
  </si>
  <si>
    <t xml:space="preserve">Total One Time Adjustment: </t>
  </si>
  <si>
    <t xml:space="preserve">TO2018 Weighted One Time Adjustment: </t>
  </si>
  <si>
    <t>TO2021 TUTRR</t>
  </si>
  <si>
    <t>Settlement of TO2019A (ER19-1553)</t>
  </si>
  <si>
    <t>169 FERC ¶ 61,177</t>
  </si>
  <si>
    <t>(Line 39) for True Up Years during the term of the settlement of ER19-1553.</t>
  </si>
  <si>
    <t>Total Adjustment</t>
  </si>
  <si>
    <t>Calculation of Administrative and General Expense</t>
  </si>
  <si>
    <t>Inputs are shaded yellow</t>
  </si>
  <si>
    <t>Col 1</t>
  </si>
  <si>
    <t>Col 2</t>
  </si>
  <si>
    <t>Col 3</t>
  </si>
  <si>
    <t>Col 4</t>
  </si>
  <si>
    <t>See Note 1</t>
  </si>
  <si>
    <t>FERC Form 1</t>
  </si>
  <si>
    <t>Data</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</si>
  <si>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</si>
  <si>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</si>
  <si>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</si>
  <si>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</si>
  <si>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</si>
  <si>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</si>
  <si>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</si>
  <si>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</si>
  <si>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</si>
  <si>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</si>
  <si>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</si>
  <si>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</si>
  <si>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</si>
  <si>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</si>
  <si>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</si>
  <si>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</si>
  <si>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</si>
  <si>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</si>
  <si>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Franchise Requirements</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</si>
  <si>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</si>
  <si>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</si>
  <si>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</si>
  <si>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</si>
  <si>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</si>
  <si>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</si>
  <si>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</si>
  <si>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</si>
  <si>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</si>
  <si>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</si>
  <si>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</si>
  <si>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</si>
  <si>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</si>
  <si>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</si>
  <si>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</si>
  <si>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</si>
  <si>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</si>
  <si>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</si>
  <si>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27-Allocators, Line 5</t>
  </si>
  <si>
    <t>Transmission W&amp;S AF Portion of A&amp;G:</t>
  </si>
  <si>
    <t>Transmission Plant Allocation Factor:</t>
  </si>
  <si>
    <t>27-Allocators, Line 18</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</si>
  <si>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</si>
  <si>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</si>
  <si>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</si>
  <si>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</si>
  <si>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</si>
  <si>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</si>
  <si>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</si>
  <si>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</si>
  <si>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</si>
  <si>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</si>
  <si>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</si>
  <si>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</si>
  <si>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</si>
  <si>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</si>
  <si>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3</t>
  </si>
  <si>
    <t>See Note 4</t>
  </si>
  <si>
    <t xml:space="preserve">Note 2: Non-Officer Incentive Compensation ("NOIC") Adjustment </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</si>
  <si>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</si>
  <si>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</si>
  <si>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</si>
  <si>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</si>
  <si>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</si>
  <si>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</si>
  <si>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</si>
  <si>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</si>
  <si>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</si>
  <si>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</si>
  <si>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</si>
  <si>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</si>
  <si>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Total:</t>
  </si>
  <si>
    <t>Note 3: PBOPs Exclusion Calculation</t>
  </si>
  <si>
    <t>Note:</t>
  </si>
  <si>
    <t>Current Authorized PBOPs Expense Amount:</t>
  </si>
  <si>
    <t>See instruction #4</t>
  </si>
  <si>
    <t>Prior Year Authorized PBOPs Expense Amount:</t>
  </si>
  <si>
    <t>Authorized PBOPs Expense Amount during Prior Year</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</si>
  <si>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</si>
  <si>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</si>
  <si>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</si>
  <si>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</si>
  <si>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</si>
  <si>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</si>
  <si>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</si>
  <si>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</si>
  <si>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</si>
  <si>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</si>
  <si>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</si>
  <si>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</si>
  <si>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</si>
  <si>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</si>
  <si>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</si>
  <si>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</si>
  <si>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</si>
  <si>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</si>
  <si>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</si>
  <si>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</si>
  <si>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or fines.</t>
  </si>
  <si>
    <t>4) Any amount of costs recovered 100% through California Public Utilities Commission ("CPUC") rates.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</si>
  <si>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</si>
  <si>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</si>
  <si>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</si>
  <si>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</si>
  <si>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 expense</t>
  </si>
  <si>
    <t>during the Prior Year is excluded from account 926 (see note 3). Docket or Decision approving authorized PBOPs amount:</t>
  </si>
  <si>
    <t>5) SCE shall make no adjustments to recorded labor amounts related to non-labor labor and/or Indirect labor in Schedule 20.</t>
  </si>
  <si>
    <t>Workpaper:</t>
  </si>
  <si>
    <t>WP Schedule 20 A&amp;G</t>
  </si>
  <si>
    <t>See Instruction 6</t>
  </si>
  <si>
    <t>ER20-1382</t>
  </si>
  <si>
    <t>6) Any A&amp;G costs associated with wildfires other than the 2017/18 Wildfire/Mudslide Events shall be reflected in A&amp;G accounts on a cash basis during the</t>
  </si>
  <si>
    <t xml:space="preserve">year in which associated cash payments are made.  In the event an initial cost accrual is made in a year to one or more A&amp;G accounts 920-935, </t>
  </si>
  <si>
    <t>SCE shall exclude from A&amp;G cost recovery any amount not paid in cash during that year through an entry to Column 1, Lines 24-37 of the</t>
  </si>
  <si>
    <t>"Itemization of Exclusions" matrix to the account in which the initial expense accrual was made.  As cash payments related to the initial expense accrual are</t>
  </si>
  <si>
    <t xml:space="preserve">made in future years, SCE shall also include those expenses in A&amp;G cost recovery on a cash basis through an entry to the Itemization of Exclusions matrix. </t>
  </si>
  <si>
    <t>Weighted Average Percentage</t>
  </si>
  <si>
    <t>Weighted Average</t>
  </si>
  <si>
    <t>3.</t>
  </si>
  <si>
    <t>4.</t>
  </si>
  <si>
    <t>D</t>
  </si>
  <si>
    <t>Changes to 2020</t>
  </si>
  <si>
    <t>Total Weighted Adjustment</t>
  </si>
  <si>
    <t>One Time Adjustment for Revised 2020 True Up TRR</t>
  </si>
  <si>
    <t xml:space="preserve">One Time Adjustment for Revised 2020 True Up TRR </t>
  </si>
  <si>
    <t>TO2022 TUTRR</t>
  </si>
  <si>
    <t>TO2020 True Up TRR in TO2022</t>
  </si>
  <si>
    <t>WP Schedule 20</t>
  </si>
  <si>
    <t>Docket No. ER21-1521</t>
  </si>
  <si>
    <t>C</t>
  </si>
  <si>
    <t>Line</t>
  </si>
  <si>
    <t>15a</t>
  </si>
  <si>
    <t>Franchise Fees and Uncollectibles Expense Factors</t>
  </si>
  <si>
    <t>WP Schedule 28 FFU</t>
  </si>
  <si>
    <t>1) Approved Franchise Fee Factor(s)</t>
  </si>
  <si>
    <t xml:space="preserve">Days in </t>
  </si>
  <si>
    <t>Prior Year</t>
  </si>
  <si>
    <t>FF Factor</t>
  </si>
  <si>
    <t>Reference</t>
  </si>
  <si>
    <t>Present</t>
  </si>
  <si>
    <t>Schedule 28 - Workpaper Line 10</t>
  </si>
  <si>
    <t>2) Approved Uncollectibles Expense Factor(s)</t>
  </si>
  <si>
    <t>U Factor</t>
  </si>
  <si>
    <t>Schedule 28 - Workpaper Line 11</t>
  </si>
  <si>
    <t>3) FF and U Factors</t>
  </si>
  <si>
    <t>Prior</t>
  </si>
  <si>
    <t>Calculated according to Instruction 3</t>
  </si>
  <si>
    <t xml:space="preserve">1) Franchise Fees represent payments that SCE makes to municipal entities for the right to locate facilities within </t>
  </si>
  <si>
    <t>the municipality.</t>
  </si>
  <si>
    <t>1) Enter Franchise Fee and Uncollectibles Factors as approved by the California Public Utilities Commission ("CPUC")</t>
  </si>
  <si>
    <t>in modules 1 and 2 above pursuant to Instruction 2.  If approved factors changed during Prior Year, enter both,</t>
  </si>
  <si>
    <t>and note period of time for which each applies in "From" and "To" columns, and number of days each was in effect</t>
  </si>
  <si>
    <t>during the Prior Year in "Days in Prior Year" Column.</t>
  </si>
  <si>
    <t>2) Franchise Fees Factor is calculated from CPUC Decision by dividing adopted Franchise Fees</t>
  </si>
  <si>
    <t xml:space="preserve">by Total Operating Revenues less Franchise Fees.  Uncollectibles Factor is calculated by </t>
  </si>
  <si>
    <t>dividing adopted Uncollectibles expense by Total Operating revenues less Uncollectibles Expense.  Resulting FF &amp; U</t>
  </si>
  <si>
    <t>Factors represent factors that, when applied to TRR without FF and U will correctly determine FF and U expense.</t>
  </si>
  <si>
    <t>3) Calculate in module 3 the weighted average FF and U factors from the factors in modules 1 and 2 based</t>
  </si>
  <si>
    <t>on the number of days each FF and U factor was in effect during the Prior Year at issue.</t>
  </si>
  <si>
    <t>Percent</t>
  </si>
  <si>
    <t>Prior Year FF Factor:</t>
  </si>
  <si>
    <t>((L1 FF Factor * L1 Days) + (L2 FF Factor * L2 Days))/(L1+L2 Days)</t>
  </si>
  <si>
    <t>Prior Year  U Factor:</t>
  </si>
  <si>
    <t>((L3 U Factor * L3 Days) + (L4 U Factor * L4 Days))/(L3+L4 Days)</t>
  </si>
  <si>
    <t xml:space="preserve">One Time Adjustment for Revised 2017 True Up TRR </t>
  </si>
  <si>
    <t>2017</t>
  </si>
  <si>
    <t>2018</t>
  </si>
  <si>
    <t>One Time Adjustment for Revised 2017 True Up TRR</t>
  </si>
  <si>
    <t>One Time Adjustment for Revised 2018 True Up TRR</t>
  </si>
  <si>
    <t>One Time Adjustment for Revised 2021 True Up TRR</t>
  </si>
  <si>
    <t>Changes to 2017</t>
  </si>
  <si>
    <t>Changes to 2018</t>
  </si>
  <si>
    <t>Total One-Time Adjustment for 2017 Reflected in the June TO2024 Draft Annual Update Posting</t>
  </si>
  <si>
    <t>TO2024</t>
  </si>
  <si>
    <t>TO13/TO2020/TO2021/TO2022/TO2023</t>
  </si>
  <si>
    <t>Total One-Time Adjustment for 2018 Reflected in the June TO2024 Draft Annual Update Posting</t>
  </si>
  <si>
    <t>Total One-Time Adjustment for 2019 Reflected in the June TO2024 Draft Annual Update Posting</t>
  </si>
  <si>
    <t>Total One-Time Adjustment for 2020 Reflected in the June TO2024 Draft Annual Update Posting</t>
  </si>
  <si>
    <t>Total One-Time Adjustment for 2017 through 2021 Reflected in the June TO2024 Draft Annual Update Posting</t>
  </si>
  <si>
    <t>*  The TO2024 One-Time Adjustment is equal to the TO13/TO2020/TO2021/TO2022/TO2023 TUTRR Change, plus interest through December 31, 2021.</t>
  </si>
  <si>
    <t>TO13 True Up TRR in TO2022</t>
  </si>
  <si>
    <t>Revised TO13 True Up TRR in TO2024 Posting</t>
  </si>
  <si>
    <t>1/16 (O&amp;M + A&amp;G)</t>
  </si>
  <si>
    <t>27a</t>
  </si>
  <si>
    <t>PBOPs True Up TRR Adjustment</t>
  </si>
  <si>
    <t>TO13 TUTRR</t>
  </si>
  <si>
    <t>TO2022 Annual Update - WP Schedule 3 - One Time Adj Prior Period, Page 7, Line 45</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</si>
  <si>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</si>
  <si>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</si>
  <si>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Jan 1, 2017</t>
  </si>
  <si>
    <t>Dec 31, 2017</t>
  </si>
  <si>
    <t>Settlement in ER11-3697</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</si>
  <si>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</si>
  <si>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</si>
  <si>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</si>
  <si>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</si>
  <si>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</si>
  <si>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(NOIC includes Results Sharing, Management Incentive Program, and Non-Officer Executive Incentive Compensation).</t>
  </si>
  <si>
    <t>Authorized PBOPs expense amount:</t>
  </si>
  <si>
    <t>3) Any penalties of fines.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</si>
  <si>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</si>
  <si>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</si>
  <si>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</si>
  <si>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</si>
  <si>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</si>
  <si>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</si>
  <si>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</si>
  <si>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</si>
  <si>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t>in accordance with the tariff protocols.  Accordingly, any amount different than the authorized PBOPs</t>
  </si>
  <si>
    <t>expense is excluded from account 926 (see note 3).  Docket or Decision approving authorized PBOPs amount:</t>
  </si>
  <si>
    <t>ER16-2433</t>
  </si>
  <si>
    <t xml:space="preserve">One Time Adjustment for Revised 2018 True Up TRR </t>
  </si>
  <si>
    <t>Revised TO2020 True Up TRR in TO2024 Posting</t>
  </si>
  <si>
    <t>TO2020 TUTRR</t>
  </si>
  <si>
    <t>TO2022 Annual Update - WP Sch 3 One Time Adj Prior Period Page 14, Line 46</t>
  </si>
  <si>
    <t>Second Formula Rate ER18-169 Settlement</t>
  </si>
  <si>
    <t>ER19-1226</t>
  </si>
  <si>
    <t>TO2023 Annual Update - WP Sch3- One Time Adj Prior Period, Page 6, Line 46</t>
  </si>
  <si>
    <t>TO2023 Annual Update - WP Schedule 3 - One Time Adj Prior Period, Page 12, Line 46</t>
  </si>
  <si>
    <t>Updated TO2018 Model True Up TRR in TO2024</t>
  </si>
  <si>
    <t>Revised TO2018 Model True Up TRR in TO2023</t>
  </si>
  <si>
    <t>TO2023 Annual Filing - WP Schedule 3 - One Time Adj-Prior Period, Page 6, Line 46</t>
  </si>
  <si>
    <t>Updated TO2021 Model True Up TRR in TO2024</t>
  </si>
  <si>
    <t>Revised TO2021 Model True Up TRR in TO2023</t>
  </si>
  <si>
    <t>TO2023 Annual Update Filing - WP Schedule 3 - One Time Adj-Prior Period, Page 12, Line 46</t>
  </si>
  <si>
    <t>A&amp;G Outside Counsel Adjustment</t>
  </si>
  <si>
    <t>(2) 2020 Uncollectibles Expense Factor Adjustment</t>
  </si>
  <si>
    <t xml:space="preserve">Outside counsel adjustment </t>
  </si>
  <si>
    <t>TO2023 Annual Filing - WP Schedule 3 - One Time Adj-Prior Period, Page 19, Line 46</t>
  </si>
  <si>
    <t>TO2023 Annual Update - WP Schedule 3-One Time Adj Prior Period, Page 19, Line 46</t>
  </si>
  <si>
    <t>Outside Counsel Adjustment</t>
  </si>
  <si>
    <t>FF&amp;U Adjustment</t>
  </si>
  <si>
    <t xml:space="preserve">One Time Adjustment for Revised 2021 True Up TRR </t>
  </si>
  <si>
    <t>Revised TO2023 True Up TRR in TO2024 Posting</t>
  </si>
  <si>
    <t>TO2023 True Up TRR in TO2023</t>
  </si>
  <si>
    <t>TO2023 TUTRR</t>
  </si>
  <si>
    <t>TO2023 Annual Update - Attachment 1, Schedule 4, Line 46</t>
  </si>
  <si>
    <t>45a</t>
  </si>
  <si>
    <t>O&amp;M Services Formula Revenues</t>
  </si>
  <si>
    <t>Col 3a</t>
  </si>
  <si>
    <t>See Note 5</t>
  </si>
  <si>
    <t>= (C1 - C3) + C3a</t>
  </si>
  <si>
    <t>Other Formula</t>
  </si>
  <si>
    <t>Revenue</t>
  </si>
  <si>
    <t>= (C1 - C3), See also Note 5</t>
  </si>
  <si>
    <t>Note 5:</t>
  </si>
  <si>
    <t>O&amp;M Services Formula Revenue is added in Column 3a pursuant to Schedule 35, Note 2.  Column 3 amounts are from</t>
  </si>
  <si>
    <t>Schedule 35, Lines 38-52, Column 4.  Franchise Fees are separately recovered through Line 43 of Schedule 4, and therefore</t>
  </si>
  <si>
    <t>the amount of O&amp;M Services Formula revenue associated with Franchise Fees (Line 8, Col. 3a) is not included in Column 4.</t>
  </si>
  <si>
    <t>Docket No. ER22-1446</t>
  </si>
  <si>
    <t>Revised TO2022 True Up TRR in TO2024 Posting</t>
  </si>
  <si>
    <t>TO2022 True Up TRR in TO2023</t>
  </si>
  <si>
    <t>(1) 2018 A&amp;G adjustment to remove outside counsel expenses related to employment litigation or arbitration matters which should have been excluded.</t>
  </si>
  <si>
    <t>5.</t>
  </si>
  <si>
    <t>Changes to 2021</t>
  </si>
  <si>
    <t>H</t>
  </si>
  <si>
    <t>Total One-Time Adj with Interest:</t>
  </si>
  <si>
    <t>TO2024 Draft Annual Posting - WP Schedule 3 - One Time Adj-Prior Period, Page 6, Line 46</t>
  </si>
  <si>
    <t>TO2043 Draft Annual Posting - WP Schedule 3 - One Time Adj-Prior Period, Page 13, Line 46</t>
  </si>
  <si>
    <t>TO2024 Draft Annual Posting - WP Schedule 3 - One Time Adj-Prior Period, Page 20, Line 46</t>
  </si>
  <si>
    <t>TO2024 Draft Annual Posting - WP Schedule 3 - One Time Adj-Prior Period, Page 26, Line 46</t>
  </si>
  <si>
    <t>(1) 2019 A&amp;G adjustment to remove outside counsel cost related to employment litigation or arbitration matters which should have been excluded.</t>
  </si>
  <si>
    <t>TO2024 Draft Annual Posting - WP Schedule 3 - One Time Adj-Prior Period, Page 33, Line 46</t>
  </si>
  <si>
    <t>(1) 2020 A&amp;G adjustment to remove outside counsel cost related to employment litigation or arbitration matters which should have been excluded.</t>
  </si>
  <si>
    <t>TO2024 Draft Annual Posting - WP Schedule 3 - One Time Adj-Prior Period, Page 41, Line 46</t>
  </si>
  <si>
    <t>(1) 2017 A&amp;G adjustment to remove outside counsel cost related to employment litigation or arbitration matters which should have been excluded.</t>
  </si>
  <si>
    <t>Outside counsel adjustment</t>
  </si>
  <si>
    <t>TO2023 Annual Filing - Attachment 1, Schedule 4, Line 46</t>
  </si>
  <si>
    <t>In preparing the TO2024 Draft Annual Update, SCE discovered that it had outside counsel expenses related to employment litigation or arbitration matters that were subsequently resolved by the Company which were not excluded.  The amount of expenses were overstated by $88,124, which should have been excluded in 2017.  As such, SCE is including an additional TO13 A&amp;G exclusion of $88,124 to remove these additional expenses.  SCE has incorporated this correction that changes the TO13 A&amp;G exclusions and the impact of this change is a decrease in the 2017 True Up TRR of $5,052.</t>
  </si>
  <si>
    <t>In preparing the TO2024 Draft Annual Update, SCE discovered that it had outside counsel expenses related to employment litigation or arbitration matters that were subsequently resolved by the Company which were not excluded.  The amount of expenses were overstated by $334,880, which should have been excluded in 2018.  As such, SCE is including an additional TO2020 A&amp;G exclusion of $334,880 to remove these additional expenses.  SCE has incorporated this correction that changes the TO2020 A&amp;G exclusions and the impact of this change is a decrease in the 2018 True Up TRR of $19,693.</t>
  </si>
  <si>
    <t>In preparing the TO2024 Draft Annual Update, SCE discovered that it had outside counsel expenses related to employment litigation or arbitration matters that were subsequently resolved by the Company which were not excluded.  The amount of expenses were overstated by $436,268, which should have been excluded in 2020.  As such, SCE is including an additional TO2022 A&amp;G exclusion of $436,268 to remove these additional expenses.  SCE has incorporated this correction that changes the TO2022 A&amp;G exclusions and the impact of this change is a decrease in the 2020 True Up TRR of $31,453.</t>
  </si>
  <si>
    <t>In preparing the TO2024 Draft Annual Update, SCE discovered that it had outside counsel expenses related to employment litigation or arbitration matters that were subsequently resolved by the Company which were not excluded.  The amount of expenses were overstated by $341,582, which should have been excluded in 2021.  As such, SCE is including an additional TO2023 A&amp;G exclusion of $341,582 to remove these additional expenses.  SCE has incorporated this correction that changes the TO2023 A&amp;G exclusions and the impact of this change is a decrease in the 2021 True Up TRR of $21,892.</t>
  </si>
  <si>
    <t>6-PlantInService, Line 18</t>
  </si>
  <si>
    <t>6-PlantInService, Line 24</t>
  </si>
  <si>
    <t>11-PHFU, Line 9</t>
  </si>
  <si>
    <t>12-AbandonedPlant Line 4</t>
  </si>
  <si>
    <t>13-WorkCap, Line 17</t>
  </si>
  <si>
    <t>13-WorkCap, Line 33</t>
  </si>
  <si>
    <t>1-Base TRR Line 7</t>
  </si>
  <si>
    <t>1-Base TRR L 59</t>
  </si>
  <si>
    <t>1-Base TRR L 63</t>
  </si>
  <si>
    <t>1-Base TRR L 65</t>
  </si>
  <si>
    <t>1-Base TRR L 66</t>
  </si>
  <si>
    <t>1-Base TRR L 67</t>
  </si>
  <si>
    <t>1-Base TRR L 68</t>
  </si>
  <si>
    <t>1-Base TRR L 69</t>
  </si>
  <si>
    <t>1-Base TRR L 70</t>
  </si>
  <si>
    <t>1-Base TRR L 71</t>
  </si>
  <si>
    <t>1-Base TRR L 72</t>
  </si>
  <si>
    <t>1-Base TRR L 75</t>
  </si>
  <si>
    <t>1-Base TRR L 76</t>
  </si>
  <si>
    <t>1-Base TRR L 51</t>
  </si>
  <si>
    <t>1-Base TRR L 52</t>
  </si>
  <si>
    <t>1-Base TRR L 47 * Line d</t>
  </si>
  <si>
    <t>8-AccDep, Line 14, Col. 12</t>
  </si>
  <si>
    <t>8-AccDep, Line 17, Col. 5</t>
  </si>
  <si>
    <t>8-AccDep, Line 23</t>
  </si>
  <si>
    <t>9-ADIT, Line 15</t>
  </si>
  <si>
    <t>14-IncentivePlant, L 12, C2</t>
  </si>
  <si>
    <t>22-NUCs, Line 7</t>
  </si>
  <si>
    <t>34-UnfundedReserves, Line 7</t>
  </si>
  <si>
    <t>23-RegAssets, Line 15</t>
  </si>
  <si>
    <t>15-IncentiveAdder L 20</t>
  </si>
  <si>
    <t>28-FFU, L 5</t>
  </si>
  <si>
    <t>1-Base TRR L 58</t>
  </si>
  <si>
    <t>1-Base TRR L 62</t>
  </si>
  <si>
    <t>1-Base TRR L 64</t>
  </si>
  <si>
    <t>1-Base TRR L 74</t>
  </si>
  <si>
    <t>1-Base TRR L 49</t>
  </si>
  <si>
    <t>1-Base TRR L 50</t>
  </si>
  <si>
    <t>1-Base TRR L 46 * Line d</t>
  </si>
  <si>
    <t>14-IncentivePlant, L 13, C2</t>
  </si>
  <si>
    <t>22-NUCs, Line 9</t>
  </si>
  <si>
    <t>35-PBOPs L 14</t>
  </si>
  <si>
    <t>27-Allocators, Line 9</t>
  </si>
  <si>
    <t>27-Allocators, Line 22</t>
  </si>
  <si>
    <t>9-ADIT-1, Line 15</t>
  </si>
  <si>
    <t>Negative of 35-Other Formula Revenue, L 80</t>
  </si>
  <si>
    <t>In preparing the TO2024 Draft Annual Update, SCE discovered that it had outside counsel expenses related to employment litigation or arbitration matters that were subsequently resolved by the Company which were not excluded.  The amount of expenses were overstated by $395,774, which should have been excluded in 2019.  As such, SCE is including an additional TO2021 A&amp;G exclusion of $395,774 to remove these additional expenses.  SCE has incorporated this correction that changes the TO2021 A&amp;G exclusions and the impact of this change is a decrease in the 2019 True Up TRR of $26,614.**</t>
  </si>
  <si>
    <t>In the TO2023 Annual Update the FERC Uncollectible expense was $11,953,557 for calendar year 2021.  To hold this value constant, SCE has incorporated an additional increase in the 2021 True Up TRR of $212.</t>
  </si>
  <si>
    <t>Total One-Time Adjustment for 2021 Reflected in the June TO2024 Draft Annual Update Posting</t>
  </si>
  <si>
    <t>**  In accordance with the Formula Rate Protocols, the True Up TRR for calendar year 2019 was determined using a weighted average of the True Up TRRs calculated pursuant to the formula rates in effect in 2019, which was SCE’s TO2018 Formula Rate from January 1, 2019 through November 11, 2019, and the TO2019A Formula Rate from November 12, 2019 through December 31, 2019.</t>
  </si>
  <si>
    <t>6.</t>
  </si>
  <si>
    <t>7.</t>
  </si>
  <si>
    <t>8.</t>
  </si>
  <si>
    <t>F</t>
  </si>
  <si>
    <t>G = D + E + F</t>
  </si>
  <si>
    <t>I</t>
  </si>
  <si>
    <t>J = H + I</t>
  </si>
  <si>
    <t>K = A + B + C + G + J</t>
  </si>
  <si>
    <t>ROR2 Workpaper Related Adjustments</t>
  </si>
  <si>
    <t>Calculation of 13-Month Average Capitalization Balances</t>
  </si>
  <si>
    <t xml:space="preserve">Year </t>
  </si>
  <si>
    <t>WP Schedule 5 ROR-2</t>
  </si>
  <si>
    <t>Col 5</t>
  </si>
  <si>
    <t>Col 6</t>
  </si>
  <si>
    <t>Col 7</t>
  </si>
  <si>
    <t>Col 8</t>
  </si>
  <si>
    <t>Col 9</t>
  </si>
  <si>
    <t>Col 10</t>
  </si>
  <si>
    <t>Col 11</t>
  </si>
  <si>
    <t>Col 12</t>
  </si>
  <si>
    <t>Col 13</t>
  </si>
  <si>
    <t>Col 14</t>
  </si>
  <si>
    <t>Item</t>
  </si>
  <si>
    <t>= Sum (Cols. 2-14)/13</t>
  </si>
  <si>
    <t>Bonds -- Account 221 (Note 1):</t>
  </si>
  <si>
    <t>Reacquired Bonds -- Account 222 (Note 2): enter - of FF1</t>
  </si>
  <si>
    <t xml:space="preserve"> Long Term Debt Advances from Associated Companies (Note 2a):</t>
  </si>
  <si>
    <t>2a</t>
  </si>
  <si>
    <t>Other Long Term Debt -- Account 224 (Note 3):</t>
  </si>
  <si>
    <t>Preferred Stock Amount -- Account 204 (Note 4):</t>
  </si>
  <si>
    <t xml:space="preserve">Unamortized Issuance Costs (Note 5): enter negative </t>
  </si>
  <si>
    <t>Net Gain (Loss) From Purchase and Tender Offers Note 6):</t>
  </si>
  <si>
    <t>Total Proprietary Capital (Note 7):</t>
  </si>
  <si>
    <t>Unappropriated Undist. Sub. Earnings -- Acct. 216.1 (Note 8): enter - of FF1</t>
  </si>
  <si>
    <t>Accumulated Other Comprehensive Loss -- Account 219 (Note 9): enter - of FF1</t>
  </si>
  <si>
    <t xml:space="preserve">1) Enter 13 months of balances for capital structure for Prior Year and December previous to Prior Year in Columns 2-14.  </t>
  </si>
  <si>
    <t>Beginning and End of year amounts in Columns 2 and 14 are from FERC Form 1, as referenced in below notes.</t>
  </si>
  <si>
    <t>2) Update Notes 5 and 6 as necessary.</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</si>
  <si>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</si>
  <si>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</si>
  <si>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2a) Amount in Column 2 from FF1 112.20d, amount in Column 14 from FF1 112.20c, amounts in columns 3-13 from SCE internal records. </t>
  </si>
  <si>
    <t xml:space="preserve">3) Amount in Column 2 from FF1 112.21d, amount in Column 14 from FF1 112.21c, amounts in columns 3-13 from SCE internal records. </t>
  </si>
  <si>
    <t xml:space="preserve">4) Amount in Column 2 from FF1 112.3d, amount in Column 14 from FF1 112.3c, amounts in columns 3-13 from SCE internal records. </t>
  </si>
  <si>
    <t>5) Amounts in columns 2-14 are from SCE internal records.</t>
  </si>
  <si>
    <t>List associated securities, Face Amount, Issuance Date, Issuance Costs, Amortization Period, and Annual Amortization:</t>
  </si>
  <si>
    <t>Amortization</t>
  </si>
  <si>
    <t>Face</t>
  </si>
  <si>
    <t>Issuance</t>
  </si>
  <si>
    <t>Period</t>
  </si>
  <si>
    <t>Annual</t>
  </si>
  <si>
    <t>Issue</t>
  </si>
  <si>
    <t>Date</t>
  </si>
  <si>
    <t>Costs</t>
  </si>
  <si>
    <t>(Years)</t>
  </si>
  <si>
    <t>Series E 6.250%</t>
  </si>
  <si>
    <t>Series G 5.1%</t>
  </si>
  <si>
    <t>Partial redemption of $180,000,000 in September 2020</t>
  </si>
  <si>
    <t>Series H 5.75%</t>
  </si>
  <si>
    <t>Series J 5.375%</t>
  </si>
  <si>
    <t>Series K 5.45%</t>
  </si>
  <si>
    <t>Series L 5.00%</t>
  </si>
  <si>
    <t>Updated 4/11/18 from 120 mos to 360 mos because this is a fixed security.</t>
  </si>
  <si>
    <t>Total Annual Amortization (sum of "Issues" listed above)</t>
  </si>
  <si>
    <t>6) Amounts in columns 2-14 are from SCE internal records.</t>
  </si>
  <si>
    <t>List associated securities and event, Event Date, Amortization Amount, Amortization Period, and Annual Amortization:</t>
  </si>
  <si>
    <t>Event</t>
  </si>
  <si>
    <t>Issue/Event</t>
  </si>
  <si>
    <t>12.000% Preferred, redemption</t>
  </si>
  <si>
    <t>Series B</t>
  </si>
  <si>
    <t>Redeemed by Series G</t>
  </si>
  <si>
    <t>Series C</t>
  </si>
  <si>
    <t>Series D</t>
  </si>
  <si>
    <t>Redeemed by Series K</t>
  </si>
  <si>
    <t>Series F</t>
  </si>
  <si>
    <t>4.08%, 4.24%, 4.32%, and 4.78% Preferred Stock Series</t>
  </si>
  <si>
    <t>Redemption of 4.08%, 4.24%, 4.32%  and 4.78% in the amount of $120,000,000 in August 2020</t>
  </si>
  <si>
    <t>Series G - Pro Rata Issuance Costs</t>
  </si>
  <si>
    <t xml:space="preserve">Pro rata portion of unamortized issuance costs associated with redeemed portion to be amortized </t>
  </si>
  <si>
    <t>as part of Net Gain (Loss) From Purchase and Tender Offers.</t>
  </si>
  <si>
    <t>Total Annual Amortization (sum of "Issues/Events" listed above)</t>
  </si>
  <si>
    <t xml:space="preserve">7) Amount in Column 2 from FF1 112.16d, amount in Column 14 from FF1 112.16c, amounts in columns 3-13 from SCE internal records. </t>
  </si>
  <si>
    <t xml:space="preserve">8) Amount in Column 2 from FF1 112.12d (opposite sign), amount in Column 14 from FF1 112.12c (opposite sign), amounts in columns 3-13 from SCE internal records. </t>
  </si>
  <si>
    <t>9) Amount in Column 2 from FF1 112.15d (opposite sign), amount in Column 14 from FF1 112.15c (opposite sign), amounts in columns 3-13 from SCE internal records.</t>
  </si>
  <si>
    <t>(2) 2020 ROR-2 Adjustments to match workpapers.</t>
  </si>
  <si>
    <t>(3) 2020 Uncollectibles Expense Factor Adjustment.</t>
  </si>
  <si>
    <t>In the TO2022 Annual Update the FERC Uncollectible expense was $13,789,000 for calendar year 2020.  To hold this value constant, SCE has incorporated an additional increase in the 2020 True Up TRR of $1,999.</t>
  </si>
  <si>
    <t>In preparing a TO2024 Draft Annual Update data request response, SCE discovered that  TO2022 Schedule 5 ROR-2 needed to be adjusted to match the supporting workpapers.  The calendar year 2020 annual amortizations inadvertently reflected full year amortizations, rather than partial year amortizations, for certain issuances under Note 5 and Note 6 of this schedule.  Consequently, in Note 5 total annual amortization was understated by $129,719.62.  In Note 6, total annual amortization was overstated by $676,825.12.  SCE has incorporated this correction pertaining to TO2022 and the impact of this change is a decrease in the 2020 True Up TRR of $147,933.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</si>
</sst>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mmm\ d\,\ yyyy"/>
    <numFmt numFmtId="173" formatCode="0.0%"/>
    <numFmt numFmtId="174" formatCode="0.00000%"/>
    <numFmt numFmtId="175" formatCode="0_);\(0\)"/>
    <numFmt numFmtId="176" formatCode="m/d/yy;@"/>
  </numFmts>
  <fonts count="8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z val="10"/>
      <name val="Arial"/>
      <family val="2"/>
    </font>
    <font>
      <sz val="10"/>
      <name val="Times New Roman"/>
      <family val="1"/>
    </font>
    <font>
      <b/>
      <sz val="10"/>
      <name val="Times New Roman"/>
      <family val="1"/>
    </font>
    <font>
      <sz val="11"/>
      <name val="Calibri"/>
      <family val="2"/>
      <scheme val="minor"/>
    </font>
    <font>
      <b/>
      <sz val="16"/>
      <name val="Times New Roman"/>
      <family val="1"/>
    </font>
    <font>
      <sz val="8"/>
      <name val="Arial"/>
      <family val="2"/>
    </font>
    <font>
      <u/>
      <sz val="10"/>
      <color rgb="FFFF0000"/>
      <name val="Arial"/>
      <family val="2"/>
    </font>
    <font>
      <sz val="9"/>
      <color indexed="81"/>
      <name val="Tahoma"/>
      <family val="2"/>
    </font>
    <font>
      <sz val="10"/>
      <name val="Arial"/>
      <family val="2"/>
    </font>
    <font>
      <sz val="10"/>
      <name val="Calibri"/>
      <family val="2"/>
      <scheme val="minor"/>
    </font>
    <font>
      <b/>
      <sz val="11"/>
      <name val="Calibri"/>
      <family val="2"/>
      <scheme val="minor"/>
    </font>
    <font>
      <b/>
      <u/>
      <sz val="11"/>
      <name val="Calibri"/>
      <family val="2"/>
      <scheme val="minor"/>
    </font>
    <font>
      <b/>
      <u/>
      <sz val="11"/>
      <color theme="1"/>
      <name val="Calibri"/>
      <family val="2"/>
      <scheme val="minor"/>
    </font>
    <font>
      <strike/>
      <sz val="10"/>
      <color rgb="FFFF0000"/>
      <name val="Arial"/>
      <family val="2"/>
    </font>
    <font>
      <strike/>
      <sz val="10"/>
      <name val="Arial"/>
      <family val="2"/>
    </font>
    <font>
      <b/>
      <sz val="9"/>
      <color indexed="81"/>
      <name val="Tahoma"/>
      <family val="2"/>
    </font>
    <font>
      <sz val="8"/>
      <name val="Arial"/>
      <family val="2"/>
    </font>
    <font>
      <u/>
      <sz val="11"/>
      <color theme="1"/>
      <name val="Calibri"/>
      <family val="2"/>
      <scheme val="minor"/>
    </font>
    <font>
      <sz val="10"/>
      <color rgb="FF000000"/>
      <name val="Arial"/>
      <family val="2"/>
    </font>
    <font>
      <b/>
      <u/>
      <sz val="10"/>
      <color rgb="FFFF0000"/>
      <name val="Arial"/>
      <family val="2"/>
    </font>
    <font>
      <sz val="10"/>
      <color rgb="FF00B050"/>
      <name val="Arial"/>
      <family val="2"/>
    </font>
    <font>
      <u/>
      <sz val="10"/>
      <color theme="1"/>
      <name val="Arial"/>
      <family val="2"/>
    </font>
    <font>
      <sz val="10"/>
      <color indexed="23"/>
      <name val="Times New Roman"/>
      <family val="1"/>
    </font>
  </fonts>
  <fills count="41">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rgb="FFCCFFCC"/>
        <bgColor indexed="64"/>
      </patternFill>
    </fill>
    <fill>
      <patternFill patternType="solid">
        <fgColor rgb="FFCCECFF"/>
        <bgColor indexed="64"/>
      </patternFill>
    </fill>
    <fill>
      <patternFill patternType="solid">
        <fgColor indexed="13"/>
        <bgColor indexed="64"/>
      </patternFill>
    </fill>
  </fills>
  <borders count="30">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bottom/>
      <diagonal/>
    </border>
    <border>
      <left style="thin">
        <color indexed="64"/>
      </left>
      <right/>
      <top style="thin">
        <color theme="1"/>
      </top>
      <bottom/>
      <diagonal/>
    </border>
    <border>
      <left/>
      <right/>
      <top style="thin">
        <color theme="1"/>
      </top>
      <bottom style="thin">
        <color theme="1"/>
      </bottom>
      <diagonal/>
    </border>
    <border>
      <left style="medium">
        <color rgb="FFFF0000"/>
      </left>
      <right style="medium">
        <color rgb="FFFF0000"/>
      </right>
      <top style="medium">
        <color rgb="FFFF0000"/>
      </top>
      <bottom style="medium">
        <color rgb="FFFF0000"/>
      </bottom>
      <diagonal/>
    </border>
    <border>
      <left style="thin">
        <color theme="1"/>
      </left>
      <right/>
      <top style="thin">
        <color theme="1"/>
      </top>
      <bottom style="thin">
        <color indexed="64"/>
      </bottom>
      <diagonal/>
    </border>
  </borders>
  <cellStyleXfs count="233">
    <xf numFmtId="0" fontId="0" fillId="0" borderId="0"/>
    <xf numFmtId="0" fontId="32" fillId="8" borderId="0" applyNumberFormat="0" applyBorder="0" applyAlignment="0" applyProtection="0"/>
    <xf numFmtId="0" fontId="32" fillId="9" borderId="0" applyNumberFormat="0" applyBorder="0" applyAlignment="0" applyProtection="0"/>
    <xf numFmtId="0" fontId="33" fillId="10"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3" fillId="14"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3" fillId="18"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3" fillId="18"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3" fillId="9" borderId="0" applyNumberFormat="0" applyBorder="0" applyAlignment="0" applyProtection="0"/>
    <xf numFmtId="0" fontId="32" fillId="20" borderId="0" applyNumberFormat="0" applyBorder="0" applyAlignment="0" applyProtection="0"/>
    <xf numFmtId="0" fontId="32" fillId="13" borderId="0" applyNumberFormat="0" applyBorder="0" applyAlignment="0" applyProtection="0"/>
    <xf numFmtId="0" fontId="33" fillId="21" borderId="0" applyNumberFormat="0" applyBorder="0" applyAlignment="0" applyProtection="0"/>
    <xf numFmtId="43" fontId="30" fillId="0" borderId="0" applyFont="0" applyFill="0" applyBorder="0" applyAlignment="0" applyProtection="0"/>
    <xf numFmtId="43" fontId="30" fillId="0" borderId="0" applyFont="0" applyFill="0" applyBorder="0" applyAlignment="0" applyProtection="0"/>
    <xf numFmtId="165" fontId="30" fillId="0" borderId="0" applyFont="0" applyFill="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0" fillId="0" borderId="0"/>
    <xf numFmtId="0" fontId="30" fillId="0" borderId="0"/>
    <xf numFmtId="0" fontId="30" fillId="0" borderId="0"/>
    <xf numFmtId="0" fontId="30" fillId="0" borderId="0"/>
    <xf numFmtId="0" fontId="30" fillId="0" borderId="0"/>
    <xf numFmtId="0" fontId="30" fillId="0" borderId="0"/>
    <xf numFmtId="9" fontId="38" fillId="0" borderId="0" applyFont="0" applyFill="0" applyBorder="0" applyAlignment="0" applyProtection="0"/>
    <xf numFmtId="9" fontId="30" fillId="0" borderId="0" applyFont="0" applyFill="0" applyBorder="0" applyAlignment="0" applyProtection="0"/>
    <xf numFmtId="4" fontId="37" fillId="25" borderId="1" applyNumberFormat="0" applyProtection="0">
      <alignment vertical="center"/>
    </xf>
    <xf numFmtId="4" fontId="39" fillId="25" borderId="1" applyNumberFormat="0" applyProtection="0">
      <alignment vertical="center"/>
    </xf>
    <xf numFmtId="4" fontId="37" fillId="25" borderId="1" applyNumberFormat="0" applyProtection="0">
      <alignment horizontal="left" vertical="center" indent="1"/>
    </xf>
    <xf numFmtId="0" fontId="37" fillId="25" borderId="1" applyNumberFormat="0" applyProtection="0">
      <alignment horizontal="left" vertical="top" indent="1"/>
    </xf>
    <xf numFmtId="4" fontId="37" fillId="27" borderId="0" applyNumberFormat="0" applyProtection="0">
      <alignment horizontal="left" vertical="center" indent="1"/>
    </xf>
    <xf numFmtId="4" fontId="35" fillId="2" borderId="1" applyNumberFormat="0" applyProtection="0">
      <alignment horizontal="right" vertical="center"/>
    </xf>
    <xf numFmtId="4" fontId="35" fillId="4" borderId="1" applyNumberFormat="0" applyProtection="0">
      <alignment horizontal="right" vertical="center"/>
    </xf>
    <xf numFmtId="4" fontId="35" fillId="11" borderId="1" applyNumberFormat="0" applyProtection="0">
      <alignment horizontal="right" vertical="center"/>
    </xf>
    <xf numFmtId="4" fontId="35" fillId="6" borderId="1" applyNumberFormat="0" applyProtection="0">
      <alignment horizontal="right" vertical="center"/>
    </xf>
    <xf numFmtId="4" fontId="35" fillId="7" borderId="1" applyNumberFormat="0" applyProtection="0">
      <alignment horizontal="right" vertical="center"/>
    </xf>
    <xf numFmtId="4" fontId="35" fillId="19" borderId="1" applyNumberFormat="0" applyProtection="0">
      <alignment horizontal="right" vertical="center"/>
    </xf>
    <xf numFmtId="4" fontId="35" fillId="15" borderId="1" applyNumberFormat="0" applyProtection="0">
      <alignment horizontal="right" vertical="center"/>
    </xf>
    <xf numFmtId="4" fontId="35" fillId="28" borderId="1" applyNumberFormat="0" applyProtection="0">
      <alignment horizontal="right" vertical="center"/>
    </xf>
    <xf numFmtId="4" fontId="35" fillId="5" borderId="1" applyNumberFormat="0" applyProtection="0">
      <alignment horizontal="right" vertical="center"/>
    </xf>
    <xf numFmtId="4" fontId="37" fillId="29" borderId="2" applyNumberFormat="0" applyProtection="0">
      <alignment horizontal="left" vertical="center" indent="1"/>
    </xf>
    <xf numFmtId="4" fontId="35" fillId="30" borderId="0" applyNumberFormat="0" applyProtection="0">
      <alignment horizontal="left" vertical="center" indent="1"/>
    </xf>
    <xf numFmtId="4" fontId="40" fillId="31" borderId="0" applyNumberFormat="0" applyProtection="0">
      <alignment horizontal="left" vertical="center" indent="1"/>
    </xf>
    <xf numFmtId="4" fontId="35" fillId="27" borderId="1" applyNumberFormat="0" applyProtection="0">
      <alignment horizontal="right" vertical="center"/>
    </xf>
    <xf numFmtId="4" fontId="35" fillId="30" borderId="0" applyNumberFormat="0" applyProtection="0">
      <alignment horizontal="left" vertical="center" indent="1"/>
    </xf>
    <xf numFmtId="4" fontId="35" fillId="27" borderId="0" applyNumberFormat="0" applyProtection="0">
      <alignment horizontal="left" vertical="center" indent="1"/>
    </xf>
    <xf numFmtId="0" fontId="30" fillId="31" borderId="1" applyNumberFormat="0" applyProtection="0">
      <alignment horizontal="left" vertical="center" indent="1"/>
    </xf>
    <xf numFmtId="0" fontId="30" fillId="31" borderId="1" applyNumberFormat="0" applyProtection="0">
      <alignment horizontal="left" vertical="top" indent="1"/>
    </xf>
    <xf numFmtId="0" fontId="30" fillId="27" borderId="1" applyNumberFormat="0" applyProtection="0">
      <alignment horizontal="left" vertical="center" indent="1"/>
    </xf>
    <xf numFmtId="0" fontId="30" fillId="27" borderId="1" applyNumberFormat="0" applyProtection="0">
      <alignment horizontal="left" vertical="top" indent="1"/>
    </xf>
    <xf numFmtId="0" fontId="30" fillId="3" borderId="1" applyNumberFormat="0" applyProtection="0">
      <alignment horizontal="left" vertical="center" indent="1"/>
    </xf>
    <xf numFmtId="0" fontId="30" fillId="3" borderId="1" applyNumberFormat="0" applyProtection="0">
      <alignment horizontal="left" vertical="top" indent="1"/>
    </xf>
    <xf numFmtId="0" fontId="30" fillId="30" borderId="1" applyNumberFormat="0" applyProtection="0">
      <alignment horizontal="left" vertical="center" indent="1"/>
    </xf>
    <xf numFmtId="0" fontId="30" fillId="30" borderId="1" applyNumberFormat="0" applyProtection="0">
      <alignment horizontal="left" vertical="top" indent="1"/>
    </xf>
    <xf numFmtId="0" fontId="30" fillId="32" borderId="3" applyNumberFormat="0">
      <protection locked="0"/>
    </xf>
    <xf numFmtId="4" fontId="35" fillId="26" borderId="1" applyNumberFormat="0" applyProtection="0">
      <alignment vertical="center"/>
    </xf>
    <xf numFmtId="4" fontId="41" fillId="26" borderId="1" applyNumberFormat="0" applyProtection="0">
      <alignment vertical="center"/>
    </xf>
    <xf numFmtId="4" fontId="35" fillId="26" borderId="1" applyNumberFormat="0" applyProtection="0">
      <alignment horizontal="left" vertical="center" indent="1"/>
    </xf>
    <xf numFmtId="0" fontId="35" fillId="26" borderId="1" applyNumberFormat="0" applyProtection="0">
      <alignment horizontal="left" vertical="top" indent="1"/>
    </xf>
    <xf numFmtId="4" fontId="35" fillId="30" borderId="1" applyNumberFormat="0" applyProtection="0">
      <alignment horizontal="right" vertical="center"/>
    </xf>
    <xf numFmtId="4" fontId="41" fillId="30" borderId="1" applyNumberFormat="0" applyProtection="0">
      <alignment horizontal="right" vertical="center"/>
    </xf>
    <xf numFmtId="4" fontId="35" fillId="27" borderId="1" applyNumberFormat="0" applyProtection="0">
      <alignment horizontal="left" vertical="center" indent="1"/>
    </xf>
    <xf numFmtId="0" fontId="35" fillId="27" borderId="1" applyNumberFormat="0" applyProtection="0">
      <alignment horizontal="left" vertical="top" indent="1"/>
    </xf>
    <xf numFmtId="4" fontId="42" fillId="33" borderId="0" applyNumberFormat="0" applyProtection="0">
      <alignment horizontal="left" vertical="center" indent="1"/>
    </xf>
    <xf numFmtId="4" fontId="36" fillId="30" borderId="1" applyNumberFormat="0" applyProtection="0">
      <alignment horizontal="right" vertical="center"/>
    </xf>
    <xf numFmtId="0" fontId="43" fillId="0" borderId="0" applyNumberFormat="0" applyFill="0" applyBorder="0" applyAlignment="0" applyProtection="0"/>
    <xf numFmtId="0" fontId="28" fillId="0" borderId="0"/>
    <xf numFmtId="0" fontId="27" fillId="0" borderId="0"/>
    <xf numFmtId="0" fontId="27" fillId="0" borderId="0"/>
    <xf numFmtId="165" fontId="28" fillId="0" borderId="0" applyFont="0" applyFill="0" applyBorder="0" applyAlignment="0" applyProtection="0"/>
    <xf numFmtId="0" fontId="28" fillId="31" borderId="1" applyNumberFormat="0" applyProtection="0">
      <alignment horizontal="left" vertical="center" indent="1"/>
    </xf>
    <xf numFmtId="0" fontId="28" fillId="31" borderId="1" applyNumberFormat="0" applyProtection="0">
      <alignment horizontal="left" vertical="top" indent="1"/>
    </xf>
    <xf numFmtId="0" fontId="28" fillId="27" borderId="1" applyNumberFormat="0" applyProtection="0">
      <alignment horizontal="left" vertical="center" indent="1"/>
    </xf>
    <xf numFmtId="0" fontId="28" fillId="27" borderId="1" applyNumberFormat="0" applyProtection="0">
      <alignment horizontal="left" vertical="top" indent="1"/>
    </xf>
    <xf numFmtId="0" fontId="28" fillId="3" borderId="1" applyNumberFormat="0" applyProtection="0">
      <alignment horizontal="left" vertical="center" indent="1"/>
    </xf>
    <xf numFmtId="0" fontId="28" fillId="3" borderId="1" applyNumberFormat="0" applyProtection="0">
      <alignment horizontal="left" vertical="top" indent="1"/>
    </xf>
    <xf numFmtId="0" fontId="28" fillId="30" borderId="1" applyNumberFormat="0" applyProtection="0">
      <alignment horizontal="left" vertical="center" indent="1"/>
    </xf>
    <xf numFmtId="0" fontId="28" fillId="30" borderId="1" applyNumberFormat="0" applyProtection="0">
      <alignment horizontal="left" vertical="top" indent="1"/>
    </xf>
    <xf numFmtId="0" fontId="28" fillId="32" borderId="3" applyNumberFormat="0">
      <protection locked="0"/>
    </xf>
    <xf numFmtId="0" fontId="46" fillId="0" borderId="0"/>
    <xf numFmtId="43" fontId="28" fillId="0" borderId="0" applyFont="0" applyFill="0" applyBorder="0" applyAlignment="0" applyProtection="0"/>
    <xf numFmtId="43" fontId="28" fillId="0" borderId="0" applyFont="0" applyFill="0" applyBorder="0" applyAlignment="0" applyProtection="0"/>
    <xf numFmtId="43" fontId="28" fillId="0" borderId="0" applyFont="0" applyFill="0" applyBorder="0" applyAlignment="0" applyProtection="0"/>
    <xf numFmtId="165" fontId="28" fillId="0" borderId="0" applyFont="0" applyFill="0" applyBorder="0" applyAlignment="0" applyProtection="0"/>
    <xf numFmtId="44"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9" fontId="28" fillId="0" borderId="0" applyFont="0" applyFill="0" applyBorder="0" applyAlignment="0" applyProtection="0"/>
    <xf numFmtId="0" fontId="28" fillId="0" borderId="0"/>
    <xf numFmtId="0" fontId="28" fillId="0" borderId="0"/>
    <xf numFmtId="0" fontId="26" fillId="0" borderId="0"/>
    <xf numFmtId="0" fontId="26" fillId="0" borderId="0"/>
    <xf numFmtId="0" fontId="25" fillId="0" borderId="0"/>
    <xf numFmtId="0" fontId="25" fillId="0" borderId="0"/>
    <xf numFmtId="0" fontId="24" fillId="0" borderId="0"/>
    <xf numFmtId="0" fontId="24" fillId="0" borderId="0"/>
    <xf numFmtId="0" fontId="24" fillId="0" borderId="0"/>
    <xf numFmtId="0" fontId="24"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0" fontId="22" fillId="0" borderId="0"/>
    <xf numFmtId="0" fontId="28" fillId="0" borderId="0"/>
    <xf numFmtId="0" fontId="28" fillId="0" borderId="0"/>
    <xf numFmtId="0" fontId="28" fillId="0" borderId="0"/>
    <xf numFmtId="0" fontId="38" fillId="0" borderId="0"/>
    <xf numFmtId="0" fontId="38" fillId="0" borderId="0"/>
    <xf numFmtId="0" fontId="38" fillId="0" borderId="0"/>
    <xf numFmtId="0" fontId="38" fillId="0" borderId="0"/>
    <xf numFmtId="0" fontId="38" fillId="0" borderId="0"/>
    <xf numFmtId="43" fontId="45" fillId="0" borderId="0" applyFont="0" applyFill="0" applyBorder="0" applyAlignment="0" applyProtection="0"/>
    <xf numFmtId="9" fontId="28" fillId="0" borderId="0" applyFont="0" applyFill="0" applyBorder="0" applyAlignment="0" applyProtection="0"/>
    <xf numFmtId="0" fontId="28" fillId="0" borderId="0"/>
    <xf numFmtId="0" fontId="21" fillId="0" borderId="0"/>
    <xf numFmtId="0" fontId="21" fillId="0" borderId="0"/>
    <xf numFmtId="0" fontId="21" fillId="0" borderId="0"/>
    <xf numFmtId="43" fontId="28" fillId="0" borderId="0" applyFont="0" applyFill="0" applyBorder="0" applyAlignment="0" applyProtection="0"/>
    <xf numFmtId="44" fontId="28" fillId="0" borderId="0" applyFont="0" applyFill="0" applyBorder="0" applyAlignment="0" applyProtection="0"/>
    <xf numFmtId="9" fontId="28" fillId="0" borderId="0" applyFont="0" applyFill="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9" fontId="20" fillId="0" borderId="0" applyFont="0" applyFill="0" applyBorder="0" applyAlignment="0" applyProtection="0"/>
    <xf numFmtId="0" fontId="19" fillId="0" borderId="0"/>
    <xf numFmtId="43" fontId="19" fillId="0" borderId="0" applyFont="0" applyFill="0" applyBorder="0" applyAlignment="0" applyProtection="0"/>
    <xf numFmtId="9" fontId="19" fillId="0" borderId="0" applyFont="0" applyFill="0" applyBorder="0" applyAlignment="0" applyProtection="0"/>
    <xf numFmtId="4" fontId="37" fillId="29" borderId="8" applyNumberFormat="0" applyProtection="0">
      <alignment horizontal="left" vertical="center" indent="1"/>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9" fontId="18" fillId="0" borderId="0" applyFont="0" applyFill="0" applyBorder="0" applyAlignment="0" applyProtection="0"/>
    <xf numFmtId="0" fontId="17" fillId="0" borderId="0"/>
    <xf numFmtId="0" fontId="17" fillId="0" borderId="0"/>
    <xf numFmtId="0" fontId="47" fillId="0" borderId="0"/>
    <xf numFmtId="43" fontId="28" fillId="0" borderId="0" applyFont="0" applyFill="0" applyBorder="0" applyAlignment="0" applyProtection="0"/>
    <xf numFmtId="43" fontId="50" fillId="0" borderId="0" applyFont="0" applyFill="0" applyBorder="0" applyAlignment="0" applyProtection="0"/>
    <xf numFmtId="0" fontId="16" fillId="0" borderId="0"/>
    <xf numFmtId="43" fontId="16" fillId="0" borderId="0" applyFont="0" applyFill="0" applyBorder="0" applyAlignment="0" applyProtection="0"/>
    <xf numFmtId="0" fontId="16" fillId="0" borderId="0"/>
    <xf numFmtId="0" fontId="16" fillId="0" borderId="0"/>
    <xf numFmtId="44" fontId="57" fillId="0" borderId="0" applyFont="0" applyFill="0" applyBorder="0" applyAlignment="0" applyProtection="0"/>
    <xf numFmtId="0" fontId="15" fillId="0" borderId="0"/>
    <xf numFmtId="9" fontId="15" fillId="0" borderId="0" applyFont="0" applyFill="0" applyBorder="0" applyAlignment="0" applyProtection="0"/>
    <xf numFmtId="43" fontId="15" fillId="0" borderId="0" applyFont="0" applyFill="0" applyBorder="0" applyAlignment="0" applyProtection="0"/>
    <xf numFmtId="44" fontId="28" fillId="0" borderId="0" applyFont="0" applyFill="0" applyBorder="0" applyAlignment="0" applyProtection="0"/>
    <xf numFmtId="0" fontId="14" fillId="0" borderId="0"/>
    <xf numFmtId="0" fontId="14" fillId="0" borderId="0"/>
    <xf numFmtId="0" fontId="13" fillId="0" borderId="0"/>
    <xf numFmtId="43" fontId="13" fillId="0" borderId="0" applyFont="0" applyFill="0" applyBorder="0" applyAlignment="0" applyProtection="0"/>
    <xf numFmtId="0" fontId="12" fillId="0" borderId="0"/>
    <xf numFmtId="43" fontId="12" fillId="0" borderId="0" applyFont="0" applyFill="0" applyBorder="0" applyAlignment="0" applyProtection="0"/>
    <xf numFmtId="0" fontId="11" fillId="0" borderId="0"/>
    <xf numFmtId="43" fontId="11" fillId="0" borderId="0" applyFont="0" applyFill="0" applyBorder="0" applyAlignment="0" applyProtection="0"/>
    <xf numFmtId="9" fontId="65" fillId="0" borderId="0" applyFont="0" applyFill="0" applyBorder="0" applyAlignment="0" applyProtection="0"/>
    <xf numFmtId="0" fontId="7" fillId="0" borderId="0"/>
    <xf numFmtId="0" fontId="7" fillId="0" borderId="0"/>
    <xf numFmtId="44" fontId="7" fillId="0" borderId="0" applyFont="0" applyFill="0" applyBorder="0" applyAlignment="0" applyProtection="0"/>
  </cellStyleXfs>
  <cellXfs count="375">
    <xf numFmtId="0" fontId="0" fillId="0" borderId="0" xfId="0"/>
    <xf numFmtId="0" fontId="19" fillId="0" borderId="0" xfId="157"/>
    <xf numFmtId="0" fontId="44" fillId="0" borderId="0" xfId="157" applyFont="1" applyAlignment="1">
      <alignment horizontal="center"/>
    </xf>
    <xf numFmtId="0" fontId="44" fillId="0" borderId="0" xfId="157" applyFont="1"/>
    <xf numFmtId="0" fontId="29" fillId="0" borderId="0" xfId="157" applyFont="1" applyAlignment="1">
      <alignment horizontal="center"/>
    </xf>
    <xf numFmtId="0" fontId="19" fillId="0" borderId="0" xfId="157" quotePrefix="1"/>
    <xf numFmtId="164" fontId="19" fillId="0" borderId="0" xfId="157" applyNumberFormat="1"/>
    <xf numFmtId="0" fontId="19" fillId="0" borderId="0" xfId="157" applyAlignment="1">
      <alignment horizontal="right"/>
    </xf>
    <xf numFmtId="166" fontId="19" fillId="0" borderId="0" xfId="211" applyNumberFormat="1" applyFont="1"/>
    <xf numFmtId="0" fontId="58" fillId="35" borderId="0" xfId="209" applyFont="1" applyFill="1" applyAlignment="1">
      <alignment horizontal="left" vertical="top"/>
    </xf>
    <xf numFmtId="0" fontId="58" fillId="35" borderId="0" xfId="209" applyFont="1" applyFill="1" applyAlignment="1">
      <alignment horizontal="left" vertical="top" wrapText="1"/>
    </xf>
    <xf numFmtId="0" fontId="58" fillId="35" borderId="0" xfId="209" applyFont="1" applyFill="1" applyAlignment="1">
      <alignment horizontal="center" vertical="center"/>
    </xf>
    <xf numFmtId="171" fontId="58" fillId="0" borderId="0" xfId="216" applyNumberFormat="1" applyFont="1" applyFill="1" applyBorder="1" applyAlignment="1">
      <alignment horizontal="left" vertical="center"/>
    </xf>
    <xf numFmtId="164" fontId="28" fillId="0" borderId="0" xfId="157" applyNumberFormat="1" applyFont="1" applyAlignment="1">
      <alignment horizontal="center" vertical="center"/>
    </xf>
    <xf numFmtId="0" fontId="58" fillId="0" borderId="0" xfId="209" applyFont="1" applyAlignment="1">
      <alignment horizontal="left" vertical="top"/>
    </xf>
    <xf numFmtId="0" fontId="58" fillId="0" borderId="0" xfId="209" applyFont="1" applyAlignment="1">
      <alignment horizontal="center" vertical="center"/>
    </xf>
    <xf numFmtId="0" fontId="49" fillId="0" borderId="0" xfId="209" quotePrefix="1" applyFont="1" applyAlignment="1">
      <alignment horizontal="right" vertical="top"/>
    </xf>
    <xf numFmtId="0" fontId="49" fillId="0" borderId="0" xfId="209" applyFont="1" applyAlignment="1">
      <alignment vertical="top" wrapText="1"/>
    </xf>
    <xf numFmtId="0" fontId="59" fillId="0" borderId="0" xfId="209" applyFont="1" applyAlignment="1">
      <alignment horizontal="center" vertical="center" wrapText="1"/>
    </xf>
    <xf numFmtId="164" fontId="29" fillId="0" borderId="0" xfId="157" applyNumberFormat="1" applyFont="1" applyAlignment="1">
      <alignment horizontal="center" vertical="center"/>
    </xf>
    <xf numFmtId="0" fontId="59" fillId="0" borderId="0" xfId="209" quotePrefix="1" applyFont="1" applyAlignment="1">
      <alignment horizontal="center" vertical="center" wrapText="1"/>
    </xf>
    <xf numFmtId="0" fontId="58" fillId="0" borderId="10" xfId="209" applyFont="1" applyBorder="1" applyAlignment="1">
      <alignment horizontal="left" vertical="top"/>
    </xf>
    <xf numFmtId="0" fontId="59" fillId="0" borderId="10" xfId="209" applyFont="1" applyBorder="1" applyAlignment="1">
      <alignment horizontal="center" vertical="center"/>
    </xf>
    <xf numFmtId="0" fontId="58" fillId="0" borderId="0" xfId="209" applyFont="1" applyAlignment="1">
      <alignment horizontal="left" vertical="top" wrapText="1"/>
    </xf>
    <xf numFmtId="0" fontId="49" fillId="0" borderId="0" xfId="209" applyFont="1" applyAlignment="1">
      <alignment horizontal="left" vertical="top"/>
    </xf>
    <xf numFmtId="0" fontId="58" fillId="0" borderId="0" xfId="209" applyFont="1" applyAlignment="1">
      <alignment horizontal="center" vertical="center" wrapText="1"/>
    </xf>
    <xf numFmtId="164" fontId="58" fillId="35" borderId="0" xfId="209" applyNumberFormat="1" applyFont="1" applyFill="1" applyAlignment="1">
      <alignment horizontal="left" vertical="top"/>
    </xf>
    <xf numFmtId="0" fontId="12" fillId="0" borderId="0" xfId="225"/>
    <xf numFmtId="166" fontId="12" fillId="0" borderId="23" xfId="225" applyNumberFormat="1" applyBorder="1"/>
    <xf numFmtId="0" fontId="29" fillId="0" borderId="0" xfId="118" applyFont="1"/>
    <xf numFmtId="0" fontId="28" fillId="0" borderId="0" xfId="118"/>
    <xf numFmtId="0" fontId="29" fillId="0" borderId="0" xfId="118" applyFont="1" applyAlignment="1">
      <alignment horizontal="left"/>
    </xf>
    <xf numFmtId="0" fontId="29" fillId="0" borderId="0" xfId="118" applyFont="1" applyAlignment="1">
      <alignment horizontal="left" indent="1"/>
    </xf>
    <xf numFmtId="0" fontId="29" fillId="0" borderId="0" xfId="118" applyFont="1" applyAlignment="1">
      <alignment horizontal="center"/>
    </xf>
    <xf numFmtId="0" fontId="31" fillId="0" borderId="0" xfId="118" applyFont="1" applyAlignment="1">
      <alignment horizontal="left"/>
    </xf>
    <xf numFmtId="0" fontId="28" fillId="0" borderId="0" xfId="118" applyAlignment="1">
      <alignment horizontal="left" indent="1"/>
    </xf>
    <xf numFmtId="0" fontId="31" fillId="0" borderId="0" xfId="118" applyFont="1"/>
    <xf numFmtId="0" fontId="31" fillId="0" borderId="0" xfId="118" applyFont="1" applyAlignment="1">
      <alignment horizontal="center"/>
    </xf>
    <xf numFmtId="0" fontId="28" fillId="0" borderId="0" xfId="118" applyAlignment="1">
      <alignment horizontal="left"/>
    </xf>
    <xf numFmtId="164" fontId="28" fillId="0" borderId="0" xfId="118" applyNumberFormat="1"/>
    <xf numFmtId="0" fontId="53" fillId="0" borderId="0" xfId="118" applyFont="1"/>
    <xf numFmtId="164" fontId="53" fillId="36" borderId="0" xfId="118" applyNumberFormat="1" applyFont="1" applyFill="1"/>
    <xf numFmtId="164" fontId="28" fillId="36" borderId="0" xfId="118" applyNumberFormat="1" applyFill="1"/>
    <xf numFmtId="0" fontId="53" fillId="0" borderId="0" xfId="118" applyFont="1" applyAlignment="1">
      <alignment horizontal="left"/>
    </xf>
    <xf numFmtId="0" fontId="29" fillId="0" borderId="0" xfId="93" applyFont="1" applyAlignment="1">
      <alignment horizontal="left"/>
    </xf>
    <xf numFmtId="164" fontId="53" fillId="0" borderId="0" xfId="118" applyNumberFormat="1" applyFont="1"/>
    <xf numFmtId="0" fontId="28" fillId="0" borderId="0" xfId="93" applyAlignment="1">
      <alignment horizontal="left" indent="1"/>
    </xf>
    <xf numFmtId="167" fontId="28" fillId="0" borderId="0" xfId="118" applyNumberFormat="1"/>
    <xf numFmtId="0" fontId="28" fillId="0" borderId="0" xfId="101"/>
    <xf numFmtId="0" fontId="28" fillId="0" borderId="0" xfId="118" applyAlignment="1">
      <alignment horizontal="right"/>
    </xf>
    <xf numFmtId="0" fontId="29" fillId="36" borderId="15" xfId="118" applyFont="1" applyFill="1" applyBorder="1" applyAlignment="1">
      <alignment horizontal="center"/>
    </xf>
    <xf numFmtId="168" fontId="28" fillId="0" borderId="0" xfId="118" applyNumberFormat="1"/>
    <xf numFmtId="0" fontId="29" fillId="36" borderId="16" xfId="118" applyFont="1" applyFill="1" applyBorder="1" applyAlignment="1">
      <alignment horizontal="center"/>
    </xf>
    <xf numFmtId="164" fontId="28" fillId="36" borderId="16" xfId="118" applyNumberFormat="1" applyFill="1" applyBorder="1"/>
    <xf numFmtId="169" fontId="53" fillId="36" borderId="16" xfId="118" applyNumberFormat="1" applyFont="1" applyFill="1" applyBorder="1"/>
    <xf numFmtId="164" fontId="45" fillId="36" borderId="17" xfId="118" applyNumberFormat="1" applyFont="1" applyFill="1" applyBorder="1"/>
    <xf numFmtId="0" fontId="28" fillId="0" borderId="0" xfId="93"/>
    <xf numFmtId="0" fontId="29" fillId="0" borderId="0" xfId="118" quotePrefix="1" applyFont="1" applyAlignment="1">
      <alignment horizontal="center"/>
    </xf>
    <xf numFmtId="10" fontId="28" fillId="0" borderId="0" xfId="118" applyNumberFormat="1"/>
    <xf numFmtId="0" fontId="28" fillId="34" borderId="0" xfId="118" applyFill="1"/>
    <xf numFmtId="10" fontId="28" fillId="0" borderId="0" xfId="118" quotePrefix="1" applyNumberFormat="1" applyAlignment="1">
      <alignment horizontal="right"/>
    </xf>
    <xf numFmtId="0" fontId="28" fillId="0" borderId="0" xfId="118" quotePrefix="1" applyAlignment="1">
      <alignment horizontal="center"/>
    </xf>
    <xf numFmtId="167" fontId="53" fillId="0" borderId="0" xfId="118" applyNumberFormat="1" applyFont="1"/>
    <xf numFmtId="0" fontId="28" fillId="0" borderId="0" xfId="118" applyAlignment="1">
      <alignment horizontal="center"/>
    </xf>
    <xf numFmtId="3" fontId="28" fillId="0" borderId="0" xfId="118" applyNumberFormat="1" applyAlignment="1">
      <alignment horizontal="center"/>
    </xf>
    <xf numFmtId="0" fontId="28" fillId="0" borderId="0" xfId="93" applyAlignment="1">
      <alignment horizontal="left"/>
    </xf>
    <xf numFmtId="1" fontId="28" fillId="0" borderId="0" xfId="93" applyNumberFormat="1" applyAlignment="1">
      <alignment horizontal="center"/>
    </xf>
    <xf numFmtId="0" fontId="31" fillId="0" borderId="0" xfId="93" applyFont="1" applyAlignment="1">
      <alignment horizontal="center"/>
    </xf>
    <xf numFmtId="0" fontId="28" fillId="0" borderId="0" xfId="93" applyAlignment="1">
      <alignment horizontal="right"/>
    </xf>
    <xf numFmtId="0" fontId="31" fillId="0" borderId="0" xfId="118" quotePrefix="1" applyFont="1" applyAlignment="1">
      <alignment horizontal="center"/>
    </xf>
    <xf numFmtId="170" fontId="28" fillId="0" borderId="0" xfId="118" applyNumberFormat="1"/>
    <xf numFmtId="1" fontId="28" fillId="0" borderId="0" xfId="93" applyNumberFormat="1" applyAlignment="1">
      <alignment horizontal="right"/>
    </xf>
    <xf numFmtId="170" fontId="28" fillId="0" borderId="0" xfId="118" applyNumberFormat="1" applyAlignment="1">
      <alignment horizontal="left" indent="1"/>
    </xf>
    <xf numFmtId="167" fontId="54" fillId="0" borderId="0" xfId="118" applyNumberFormat="1" applyFont="1"/>
    <xf numFmtId="167" fontId="55" fillId="0" borderId="0" xfId="118" applyNumberFormat="1" applyFont="1"/>
    <xf numFmtId="172" fontId="28" fillId="34" borderId="0" xfId="118" quotePrefix="1" applyNumberFormat="1" applyFill="1" applyAlignment="1">
      <alignment horizontal="center"/>
    </xf>
    <xf numFmtId="0" fontId="28" fillId="0" borderId="25" xfId="118" applyBorder="1" applyAlignment="1">
      <alignment wrapText="1"/>
    </xf>
    <xf numFmtId="0" fontId="28" fillId="0" borderId="0" xfId="118" applyAlignment="1">
      <alignment wrapText="1"/>
    </xf>
    <xf numFmtId="0" fontId="11" fillId="0" borderId="0" xfId="227"/>
    <xf numFmtId="164" fontId="10" fillId="0" borderId="3" xfId="225" applyNumberFormat="1" applyFont="1" applyBorder="1" applyAlignment="1">
      <alignment horizontal="center" wrapText="1"/>
    </xf>
    <xf numFmtId="0" fontId="10" fillId="0" borderId="0" xfId="227" applyFont="1"/>
    <xf numFmtId="173" fontId="60" fillId="0" borderId="3" xfId="229" applyNumberFormat="1" applyFont="1" applyBorder="1" applyAlignment="1">
      <alignment horizontal="center" wrapText="1"/>
    </xf>
    <xf numFmtId="0" fontId="44" fillId="39" borderId="3" xfId="225" applyFont="1" applyFill="1" applyBorder="1" applyAlignment="1">
      <alignment horizontal="center"/>
    </xf>
    <xf numFmtId="0" fontId="44" fillId="39" borderId="3" xfId="225" applyFont="1" applyFill="1" applyBorder="1" applyAlignment="1">
      <alignment horizontal="center" wrapText="1"/>
    </xf>
    <xf numFmtId="164" fontId="44" fillId="39" borderId="3" xfId="225" applyNumberFormat="1" applyFont="1" applyFill="1" applyBorder="1" applyAlignment="1">
      <alignment horizontal="center" wrapText="1"/>
    </xf>
    <xf numFmtId="164" fontId="44" fillId="39" borderId="27" xfId="225" applyNumberFormat="1" applyFont="1" applyFill="1" applyBorder="1" applyAlignment="1">
      <alignment horizontal="center"/>
    </xf>
    <xf numFmtId="0" fontId="44" fillId="37" borderId="3" xfId="225" applyFont="1" applyFill="1" applyBorder="1" applyAlignment="1">
      <alignment horizontal="center"/>
    </xf>
    <xf numFmtId="164" fontId="28" fillId="0" borderId="0" xfId="210" applyNumberFormat="1" applyFont="1"/>
    <xf numFmtId="164" fontId="0" fillId="0" borderId="0" xfId="210" applyNumberFormat="1" applyFont="1"/>
    <xf numFmtId="0" fontId="9" fillId="0" borderId="0" xfId="157" applyFont="1"/>
    <xf numFmtId="0" fontId="9" fillId="0" borderId="12" xfId="157" applyFont="1" applyBorder="1"/>
    <xf numFmtId="0" fontId="9" fillId="0" borderId="13" xfId="157" applyFont="1" applyBorder="1"/>
    <xf numFmtId="0" fontId="9" fillId="0" borderId="6" xfId="157" applyFont="1" applyBorder="1"/>
    <xf numFmtId="0" fontId="44" fillId="0" borderId="0" xfId="157" applyFont="1" applyAlignment="1">
      <alignment horizontal="right"/>
    </xf>
    <xf numFmtId="0" fontId="67" fillId="0" borderId="13" xfId="157" applyFont="1" applyBorder="1" applyAlignment="1">
      <alignment horizontal="center"/>
    </xf>
    <xf numFmtId="0" fontId="68" fillId="0" borderId="13" xfId="157" quotePrefix="1" applyFont="1" applyBorder="1" applyAlignment="1">
      <alignment horizontal="center"/>
    </xf>
    <xf numFmtId="0" fontId="68" fillId="0" borderId="14" xfId="157" quotePrefix="1" applyFont="1" applyBorder="1" applyAlignment="1">
      <alignment horizontal="center"/>
    </xf>
    <xf numFmtId="0" fontId="67" fillId="0" borderId="0" xfId="157" applyFont="1" applyAlignment="1">
      <alignment horizontal="center"/>
    </xf>
    <xf numFmtId="0" fontId="68" fillId="0" borderId="0" xfId="157" quotePrefix="1" applyFont="1" applyAlignment="1">
      <alignment horizontal="center"/>
    </xf>
    <xf numFmtId="0" fontId="68" fillId="0" borderId="7" xfId="157" quotePrefix="1" applyFont="1" applyBorder="1" applyAlignment="1">
      <alignment horizontal="center"/>
    </xf>
    <xf numFmtId="0" fontId="67" fillId="0" borderId="7" xfId="157" applyFont="1" applyBorder="1" applyAlignment="1">
      <alignment horizontal="center"/>
    </xf>
    <xf numFmtId="0" fontId="44" fillId="0" borderId="6" xfId="157" applyFont="1" applyBorder="1"/>
    <xf numFmtId="0" fontId="44" fillId="0" borderId="0" xfId="157" applyFont="1" applyAlignment="1">
      <alignment horizontal="center" vertical="top" wrapText="1"/>
    </xf>
    <xf numFmtId="0" fontId="69" fillId="0" borderId="6" xfId="157" applyFont="1" applyBorder="1" applyAlignment="1">
      <alignment horizontal="center" vertical="top"/>
    </xf>
    <xf numFmtId="0" fontId="69" fillId="0" borderId="0" xfId="157" applyFont="1" applyAlignment="1">
      <alignment horizontal="center" vertical="top"/>
    </xf>
    <xf numFmtId="0" fontId="68" fillId="0" borderId="0" xfId="157" applyFont="1" applyAlignment="1">
      <alignment horizontal="center" vertical="top"/>
    </xf>
    <xf numFmtId="0" fontId="68" fillId="0" borderId="7" xfId="157" applyFont="1" applyBorder="1" applyAlignment="1">
      <alignment horizontal="center" vertical="top"/>
    </xf>
    <xf numFmtId="164" fontId="9" fillId="34" borderId="0" xfId="157" applyNumberFormat="1" applyFont="1" applyFill="1"/>
    <xf numFmtId="164" fontId="9" fillId="34" borderId="6" xfId="157" applyNumberFormat="1" applyFont="1" applyFill="1" applyBorder="1"/>
    <xf numFmtId="0" fontId="49" fillId="0" borderId="0" xfId="209" applyFont="1" applyAlignment="1">
      <alignment horizontal="center" vertical="top" wrapText="1"/>
    </xf>
    <xf numFmtId="0" fontId="29" fillId="0" borderId="0" xfId="93" applyFont="1" applyAlignment="1">
      <alignment horizontal="center"/>
    </xf>
    <xf numFmtId="164" fontId="28" fillId="34" borderId="0" xfId="93" applyNumberFormat="1" applyFill="1"/>
    <xf numFmtId="164" fontId="56" fillId="0" borderId="0" xfId="93" applyNumberFormat="1" applyFont="1"/>
    <xf numFmtId="164" fontId="53" fillId="34" borderId="0" xfId="93" applyNumberFormat="1" applyFont="1" applyFill="1"/>
    <xf numFmtId="0" fontId="12" fillId="0" borderId="0" xfId="225" applyAlignment="1">
      <alignment vertical="top" wrapText="1"/>
    </xf>
    <xf numFmtId="0" fontId="74" fillId="0" borderId="0" xfId="225" applyFont="1"/>
    <xf numFmtId="164" fontId="53" fillId="0" borderId="0" xfId="210" applyNumberFormat="1" applyFont="1"/>
    <xf numFmtId="0" fontId="28" fillId="40" borderId="0" xfId="118" applyFill="1"/>
    <xf numFmtId="164" fontId="28" fillId="40" borderId="0" xfId="118" applyNumberFormat="1" applyFill="1"/>
    <xf numFmtId="164" fontId="53" fillId="40" borderId="0" xfId="118" applyNumberFormat="1" applyFont="1" applyFill="1"/>
    <xf numFmtId="164" fontId="28" fillId="36" borderId="0" xfId="118" applyNumberFormat="1" applyFill="1" applyAlignment="1">
      <alignment horizontal="right" indent="1"/>
    </xf>
    <xf numFmtId="164" fontId="28" fillId="34" borderId="28" xfId="118" applyNumberFormat="1" applyFill="1" applyBorder="1"/>
    <xf numFmtId="164" fontId="28" fillId="34" borderId="0" xfId="118" applyNumberFormat="1" applyFill="1"/>
    <xf numFmtId="164" fontId="28" fillId="0" borderId="0" xfId="118" applyNumberFormat="1" applyAlignment="1">
      <alignment horizontal="right" indent="1"/>
    </xf>
    <xf numFmtId="164" fontId="28" fillId="0" borderId="0" xfId="118" applyNumberFormat="1" applyAlignment="1">
      <alignment horizontal="right"/>
    </xf>
    <xf numFmtId="164" fontId="28" fillId="34" borderId="0" xfId="118" applyNumberFormat="1" applyFill="1" applyAlignment="1">
      <alignment horizontal="right"/>
    </xf>
    <xf numFmtId="164" fontId="53" fillId="34" borderId="0" xfId="118" applyNumberFormat="1" applyFont="1" applyFill="1"/>
    <xf numFmtId="0" fontId="71" fillId="0" borderId="0" xfId="118" applyFont="1"/>
    <xf numFmtId="0" fontId="28" fillId="0" borderId="0" xfId="118" applyAlignment="1">
      <alignment horizontal="left" indent="2"/>
    </xf>
    <xf numFmtId="164" fontId="44" fillId="38" borderId="3" xfId="0" applyNumberFormat="1" applyFont="1" applyFill="1" applyBorder="1" applyAlignment="1">
      <alignment horizontal="center"/>
    </xf>
    <xf numFmtId="164" fontId="60" fillId="38" borderId="0" xfId="0" applyNumberFormat="1" applyFont="1" applyFill="1" applyAlignment="1">
      <alignment horizontal="center"/>
    </xf>
    <xf numFmtId="164" fontId="60" fillId="38" borderId="26" xfId="226" applyNumberFormat="1" applyFont="1" applyFill="1" applyBorder="1" applyAlignment="1">
      <alignment horizontal="center"/>
    </xf>
    <xf numFmtId="164" fontId="60" fillId="39" borderId="0" xfId="0" applyNumberFormat="1" applyFont="1" applyFill="1" applyAlignment="1">
      <alignment horizontal="center"/>
    </xf>
    <xf numFmtId="164" fontId="60" fillId="39" borderId="3" xfId="226" applyNumberFormat="1" applyFont="1" applyFill="1" applyBorder="1" applyAlignment="1">
      <alignment horizontal="center"/>
    </xf>
    <xf numFmtId="0" fontId="74" fillId="0" borderId="0" xfId="227" applyFont="1"/>
    <xf numFmtId="0" fontId="28" fillId="37" borderId="0" xfId="118" applyFill="1"/>
    <xf numFmtId="173" fontId="28" fillId="38" borderId="0" xfId="229" applyNumberFormat="1" applyFont="1" applyFill="1"/>
    <xf numFmtId="0" fontId="28" fillId="38" borderId="0" xfId="118" applyFill="1"/>
    <xf numFmtId="164" fontId="28" fillId="37" borderId="0" xfId="118" applyNumberFormat="1" applyFill="1"/>
    <xf numFmtId="164" fontId="28" fillId="38" borderId="0" xfId="118" applyNumberFormat="1" applyFill="1"/>
    <xf numFmtId="171" fontId="59" fillId="0" borderId="0" xfId="216" applyNumberFormat="1" applyFont="1" applyFill="1" applyBorder="1" applyAlignment="1">
      <alignment horizontal="center" vertical="center" wrapText="1"/>
    </xf>
    <xf numFmtId="171" fontId="59" fillId="0" borderId="0" xfId="216" applyNumberFormat="1" applyFont="1" applyFill="1" applyBorder="1" applyAlignment="1">
      <alignment horizontal="center" vertical="center"/>
    </xf>
    <xf numFmtId="164" fontId="29" fillId="0" borderId="10" xfId="157" applyNumberFormat="1" applyFont="1" applyBorder="1" applyAlignment="1">
      <alignment horizontal="center" vertical="center"/>
    </xf>
    <xf numFmtId="164" fontId="29" fillId="0" borderId="11" xfId="157" applyNumberFormat="1" applyFont="1" applyBorder="1" applyAlignment="1">
      <alignment horizontal="center" vertical="center"/>
    </xf>
    <xf numFmtId="0" fontId="67" fillId="0" borderId="0" xfId="209" applyFont="1" applyAlignment="1">
      <alignment vertical="top"/>
    </xf>
    <xf numFmtId="0" fontId="51" fillId="0" borderId="0" xfId="209" applyFont="1" applyAlignment="1">
      <alignment vertical="top"/>
    </xf>
    <xf numFmtId="0" fontId="61" fillId="0" borderId="0" xfId="209" applyFont="1" applyAlignment="1">
      <alignment horizontal="center" vertical="center"/>
    </xf>
    <xf numFmtId="173" fontId="28" fillId="37" borderId="0" xfId="99" applyNumberFormat="1" applyFont="1" applyFill="1"/>
    <xf numFmtId="10" fontId="45" fillId="34" borderId="0" xfId="118" applyNumberFormat="1" applyFont="1" applyFill="1" applyAlignment="1">
      <alignment horizontal="center"/>
    </xf>
    <xf numFmtId="0" fontId="28" fillId="34" borderId="0" xfId="118" applyFill="1" applyAlignment="1">
      <alignment horizontal="center"/>
    </xf>
    <xf numFmtId="0" fontId="45" fillId="34" borderId="0" xfId="118" applyFont="1" applyFill="1"/>
    <xf numFmtId="167" fontId="28" fillId="0" borderId="0" xfId="118" applyNumberFormat="1" applyAlignment="1">
      <alignment horizontal="center"/>
    </xf>
    <xf numFmtId="167" fontId="53" fillId="0" borderId="0" xfId="118" applyNumberFormat="1" applyFont="1" applyAlignment="1">
      <alignment horizontal="center"/>
    </xf>
    <xf numFmtId="0" fontId="29" fillId="0" borderId="0" xfId="118" applyFont="1" applyAlignment="1">
      <alignment horizontal="right"/>
    </xf>
    <xf numFmtId="0" fontId="28" fillId="34" borderId="0" xfId="118" applyFill="1" applyAlignment="1">
      <alignment horizontal="left" indent="1"/>
    </xf>
    <xf numFmtId="0" fontId="63" fillId="0" borderId="0" xfId="118" applyFont="1" applyAlignment="1">
      <alignment horizontal="left" indent="2"/>
    </xf>
    <xf numFmtId="0" fontId="75" fillId="0" borderId="0" xfId="118" applyFont="1"/>
    <xf numFmtId="168" fontId="0" fillId="0" borderId="0" xfId="99" applyNumberFormat="1" applyFont="1"/>
    <xf numFmtId="164" fontId="45" fillId="0" borderId="0" xfId="118" applyNumberFormat="1" applyFont="1"/>
    <xf numFmtId="0" fontId="29" fillId="0" borderId="0" xfId="0" applyFont="1"/>
    <xf numFmtId="0" fontId="0" fillId="40" borderId="0" xfId="0" applyFill="1"/>
    <xf numFmtId="0" fontId="0" fillId="34" borderId="0" xfId="0" applyFill="1"/>
    <xf numFmtId="0" fontId="0" fillId="0" borderId="0" xfId="0" applyAlignment="1">
      <alignment horizontal="center"/>
    </xf>
    <xf numFmtId="0" fontId="31" fillId="0" borderId="0" xfId="0" quotePrefix="1" applyFont="1" applyAlignment="1">
      <alignment horizontal="center"/>
    </xf>
    <xf numFmtId="0" fontId="29" fillId="0" borderId="0" xfId="0" applyFont="1" applyAlignment="1">
      <alignment horizontal="center"/>
    </xf>
    <xf numFmtId="0" fontId="31" fillId="0" borderId="0" xfId="0" applyFont="1" applyAlignment="1">
      <alignment horizontal="left"/>
    </xf>
    <xf numFmtId="0" fontId="31" fillId="0" borderId="0" xfId="0" applyFont="1" applyAlignment="1">
      <alignment horizontal="center"/>
    </xf>
    <xf numFmtId="164" fontId="0" fillId="40" borderId="0" xfId="0" applyNumberFormat="1" applyFill="1"/>
    <xf numFmtId="164" fontId="0" fillId="36" borderId="0" xfId="0" applyNumberFormat="1" applyFill="1"/>
    <xf numFmtId="0" fontId="28" fillId="0" borderId="0" xfId="0" applyFont="1"/>
    <xf numFmtId="164" fontId="0" fillId="0" borderId="0" xfId="0" applyNumberFormat="1"/>
    <xf numFmtId="164" fontId="53" fillId="40" borderId="0" xfId="0" applyNumberFormat="1" applyFont="1" applyFill="1"/>
    <xf numFmtId="164" fontId="53" fillId="36" borderId="0" xfId="0" applyNumberFormat="1" applyFont="1" applyFill="1"/>
    <xf numFmtId="0" fontId="0" fillId="0" borderId="0" xfId="0" applyAlignment="1">
      <alignment horizontal="right"/>
    </xf>
    <xf numFmtId="164" fontId="28" fillId="36" borderId="0" xfId="0" applyNumberFormat="1" applyFont="1" applyFill="1"/>
    <xf numFmtId="0" fontId="28" fillId="0" borderId="0" xfId="0" applyFont="1" applyAlignment="1">
      <alignment horizontal="right"/>
    </xf>
    <xf numFmtId="0" fontId="28" fillId="0" borderId="0" xfId="0" applyFont="1" applyAlignment="1">
      <alignment horizontal="left" indent="1"/>
    </xf>
    <xf numFmtId="164" fontId="53" fillId="0" borderId="0" xfId="0" applyNumberFormat="1" applyFont="1"/>
    <xf numFmtId="167" fontId="53" fillId="0" borderId="0" xfId="0" applyNumberFormat="1" applyFont="1"/>
    <xf numFmtId="167" fontId="0" fillId="0" borderId="0" xfId="0" applyNumberFormat="1"/>
    <xf numFmtId="0" fontId="0" fillId="0" borderId="0" xfId="0" applyAlignment="1">
      <alignment horizontal="left" indent="1"/>
    </xf>
    <xf numFmtId="0" fontId="28" fillId="34" borderId="0" xfId="0" applyFont="1" applyFill="1"/>
    <xf numFmtId="164" fontId="0" fillId="36" borderId="0" xfId="0" applyNumberFormat="1" applyFill="1" applyAlignment="1">
      <alignment horizontal="right" indent="1"/>
    </xf>
    <xf numFmtId="164" fontId="28" fillId="34" borderId="28" xfId="0" applyNumberFormat="1" applyFont="1" applyFill="1" applyBorder="1"/>
    <xf numFmtId="164" fontId="0" fillId="34" borderId="0" xfId="0" applyNumberFormat="1" applyFill="1"/>
    <xf numFmtId="164" fontId="0" fillId="0" borderId="0" xfId="0" applyNumberFormat="1" applyAlignment="1">
      <alignment horizontal="right" indent="1"/>
    </xf>
    <xf numFmtId="164" fontId="28" fillId="34" borderId="0" xfId="0" applyNumberFormat="1" applyFont="1" applyFill="1"/>
    <xf numFmtId="164" fontId="28" fillId="0" borderId="0" xfId="0" applyNumberFormat="1" applyFont="1"/>
    <xf numFmtId="0" fontId="31" fillId="0" borderId="0" xfId="0" applyFont="1"/>
    <xf numFmtId="164" fontId="28" fillId="0" borderId="0" xfId="0" applyNumberFormat="1" applyFont="1" applyAlignment="1">
      <alignment horizontal="right"/>
    </xf>
    <xf numFmtId="164" fontId="28" fillId="34" borderId="0" xfId="0" applyNumberFormat="1" applyFont="1" applyFill="1" applyAlignment="1">
      <alignment horizontal="right"/>
    </xf>
    <xf numFmtId="164" fontId="53" fillId="34" borderId="0" xfId="0" applyNumberFormat="1" applyFont="1" applyFill="1"/>
    <xf numFmtId="0" fontId="71" fillId="0" borderId="0" xfId="0" applyFont="1"/>
    <xf numFmtId="0" fontId="28" fillId="0" borderId="0" xfId="0" applyFont="1" applyAlignment="1">
      <alignment horizontal="left" indent="2"/>
    </xf>
    <xf numFmtId="0" fontId="48" fillId="0" borderId="0" xfId="209" applyFont="1" applyAlignment="1">
      <alignment horizontal="left" vertical="top" wrapText="1"/>
    </xf>
    <xf numFmtId="0" fontId="49" fillId="0" borderId="0" xfId="209" applyFont="1" applyAlignment="1">
      <alignment horizontal="left" vertical="top" wrapText="1"/>
    </xf>
    <xf numFmtId="0" fontId="6" fillId="0" borderId="0" xfId="157" quotePrefix="1" applyFont="1" applyAlignment="1">
      <alignment horizontal="center"/>
    </xf>
    <xf numFmtId="0" fontId="9" fillId="0" borderId="0" xfId="157" quotePrefix="1" applyFont="1" applyAlignment="1">
      <alignment horizontal="center"/>
    </xf>
    <xf numFmtId="0" fontId="29" fillId="0" borderId="0" xfId="0" quotePrefix="1" applyFont="1" applyAlignment="1">
      <alignment horizontal="center"/>
    </xf>
    <xf numFmtId="0" fontId="28" fillId="0" borderId="0" xfId="0" applyFont="1" applyAlignment="1">
      <alignment horizontal="center"/>
    </xf>
    <xf numFmtId="0" fontId="28" fillId="0" borderId="0" xfId="0" quotePrefix="1" applyFont="1" applyAlignment="1">
      <alignment horizontal="center"/>
    </xf>
    <xf numFmtId="0" fontId="28" fillId="0" borderId="0" xfId="0" applyFont="1" applyAlignment="1">
      <alignment horizontal="left"/>
    </xf>
    <xf numFmtId="0" fontId="28" fillId="34" borderId="0" xfId="0" applyFont="1" applyFill="1" applyAlignment="1">
      <alignment horizontal="center"/>
    </xf>
    <xf numFmtId="0" fontId="5" fillId="0" borderId="0" xfId="225" applyFont="1"/>
    <xf numFmtId="0" fontId="29" fillId="0" borderId="0" xfId="0" applyFont="1" applyAlignment="1">
      <alignment horizontal="left"/>
    </xf>
    <xf numFmtId="0" fontId="29" fillId="0" borderId="0" xfId="0" applyFont="1" applyAlignment="1">
      <alignment horizontal="left" indent="1"/>
    </xf>
    <xf numFmtId="0" fontId="53" fillId="0" borderId="0" xfId="0" applyFont="1"/>
    <xf numFmtId="0" fontId="53" fillId="0" borderId="0" xfId="0" applyFont="1" applyAlignment="1">
      <alignment horizontal="left"/>
    </xf>
    <xf numFmtId="0" fontId="0" fillId="0" borderId="0" xfId="0" applyAlignment="1">
      <alignment horizontal="left"/>
    </xf>
    <xf numFmtId="167" fontId="28" fillId="0" borderId="0" xfId="0" applyNumberFormat="1" applyFont="1"/>
    <xf numFmtId="168" fontId="0" fillId="0" borderId="0" xfId="0" applyNumberFormat="1"/>
    <xf numFmtId="10" fontId="45" fillId="34" borderId="0" xfId="0" applyNumberFormat="1" applyFont="1" applyFill="1" applyAlignment="1">
      <alignment horizontal="center"/>
    </xf>
    <xf numFmtId="172" fontId="28" fillId="34" borderId="0" xfId="0" quotePrefix="1" applyNumberFormat="1" applyFont="1" applyFill="1" applyAlignment="1">
      <alignment horizontal="center"/>
    </xf>
    <xf numFmtId="10" fontId="28" fillId="0" borderId="0" xfId="0" quotePrefix="1" applyNumberFormat="1" applyFont="1" applyAlignment="1">
      <alignment horizontal="right"/>
    </xf>
    <xf numFmtId="10" fontId="0" fillId="0" borderId="0" xfId="0" applyNumberFormat="1"/>
    <xf numFmtId="0" fontId="45" fillId="34" borderId="0" xfId="0" applyFont="1" applyFill="1"/>
    <xf numFmtId="167" fontId="0" fillId="0" borderId="0" xfId="0" applyNumberFormat="1" applyAlignment="1">
      <alignment horizontal="center"/>
    </xf>
    <xf numFmtId="167" fontId="53" fillId="0" borderId="0" xfId="0" applyNumberFormat="1" applyFont="1" applyAlignment="1">
      <alignment horizontal="center"/>
    </xf>
    <xf numFmtId="167" fontId="28" fillId="0" borderId="0" xfId="0" applyNumberFormat="1" applyFont="1" applyAlignment="1">
      <alignment horizontal="center"/>
    </xf>
    <xf numFmtId="3" fontId="0" fillId="0" borderId="0" xfId="0" applyNumberFormat="1" applyAlignment="1">
      <alignment horizontal="center"/>
    </xf>
    <xf numFmtId="170" fontId="0" fillId="0" borderId="0" xfId="0" applyNumberFormat="1"/>
    <xf numFmtId="170" fontId="28" fillId="0" borderId="0" xfId="0" applyNumberFormat="1" applyFont="1" applyAlignment="1">
      <alignment horizontal="left" indent="1"/>
    </xf>
    <xf numFmtId="167" fontId="54" fillId="0" borderId="0" xfId="0" applyNumberFormat="1" applyFont="1"/>
    <xf numFmtId="167" fontId="55" fillId="0" borderId="0" xfId="0" applyNumberFormat="1" applyFont="1"/>
    <xf numFmtId="164" fontId="70" fillId="0" borderId="0" xfId="0" quotePrefix="1" applyNumberFormat="1" applyFont="1" applyAlignment="1">
      <alignment horizontal="right" wrapText="1"/>
    </xf>
    <xf numFmtId="0" fontId="4" fillId="0" borderId="6" xfId="157" applyFont="1" applyBorder="1"/>
    <xf numFmtId="0" fontId="4" fillId="0" borderId="0" xfId="157" quotePrefix="1" applyFont="1" applyAlignment="1">
      <alignment horizontal="center"/>
    </xf>
    <xf numFmtId="164" fontId="4" fillId="34" borderId="0" xfId="157" applyNumberFormat="1" applyFont="1" applyFill="1"/>
    <xf numFmtId="164" fontId="4" fillId="0" borderId="0" xfId="157" applyNumberFormat="1" applyFont="1" applyAlignment="1">
      <alignment horizontal="right"/>
    </xf>
    <xf numFmtId="164" fontId="4" fillId="0" borderId="7" xfId="157" applyNumberFormat="1" applyFont="1" applyBorder="1" applyAlignment="1">
      <alignment horizontal="right"/>
    </xf>
    <xf numFmtId="0" fontId="68" fillId="34" borderId="0" xfId="157" applyFont="1" applyFill="1" applyAlignment="1">
      <alignment horizontal="center" vertical="top"/>
    </xf>
    <xf numFmtId="171" fontId="58" fillId="0" borderId="0" xfId="91" applyNumberFormat="1" applyFont="1" applyFill="1" applyBorder="1" applyAlignment="1">
      <alignment horizontal="left" vertical="center"/>
    </xf>
    <xf numFmtId="0" fontId="29" fillId="36" borderId="15" xfId="0" applyFont="1" applyFill="1" applyBorder="1" applyAlignment="1">
      <alignment horizontal="center"/>
    </xf>
    <xf numFmtId="0" fontId="29" fillId="36" borderId="16" xfId="0" applyFont="1" applyFill="1" applyBorder="1" applyAlignment="1">
      <alignment horizontal="center"/>
    </xf>
    <xf numFmtId="164" fontId="28" fillId="36" borderId="16" xfId="0" applyNumberFormat="1" applyFont="1" applyFill="1" applyBorder="1"/>
    <xf numFmtId="164" fontId="53" fillId="36" borderId="16" xfId="0" applyNumberFormat="1" applyFont="1" applyFill="1" applyBorder="1"/>
    <xf numFmtId="164" fontId="45" fillId="36" borderId="17" xfId="0" applyNumberFormat="1" applyFont="1" applyFill="1" applyBorder="1"/>
    <xf numFmtId="164" fontId="28" fillId="0" borderId="0" xfId="91" applyNumberFormat="1" applyFont="1"/>
    <xf numFmtId="0" fontId="54" fillId="0" borderId="0" xfId="0" applyFont="1" applyAlignment="1">
      <alignment wrapText="1"/>
    </xf>
    <xf numFmtId="15" fontId="28" fillId="34" borderId="0" xfId="0" quotePrefix="1" applyNumberFormat="1" applyFont="1" applyFill="1" applyAlignment="1">
      <alignment horizontal="center"/>
    </xf>
    <xf numFmtId="0" fontId="28" fillId="34" borderId="0" xfId="0" quotePrefix="1" applyFont="1" applyFill="1" applyAlignment="1">
      <alignment horizontal="center"/>
    </xf>
    <xf numFmtId="10" fontId="28" fillId="34" borderId="0" xfId="0" quotePrefix="1" applyNumberFormat="1" applyFont="1" applyFill="1" applyAlignment="1">
      <alignment horizontal="right"/>
    </xf>
    <xf numFmtId="164" fontId="28" fillId="0" borderId="0" xfId="93" applyNumberFormat="1"/>
    <xf numFmtId="0" fontId="28" fillId="0" borderId="0" xfId="93" applyAlignment="1">
      <alignment horizontal="left" indent="2"/>
    </xf>
    <xf numFmtId="170" fontId="0" fillId="0" borderId="0" xfId="91" applyNumberFormat="1" applyFont="1"/>
    <xf numFmtId="170" fontId="28" fillId="0" borderId="0" xfId="0" applyNumberFormat="1" applyFont="1"/>
    <xf numFmtId="10" fontId="56" fillId="34" borderId="0" xfId="0" applyNumberFormat="1" applyFont="1" applyFill="1"/>
    <xf numFmtId="0" fontId="63" fillId="34" borderId="0" xfId="0" applyFont="1" applyFill="1"/>
    <xf numFmtId="0" fontId="63" fillId="0" borderId="0" xfId="0" applyFont="1"/>
    <xf numFmtId="164" fontId="70" fillId="0" borderId="0" xfId="118" quotePrefix="1" applyNumberFormat="1" applyFont="1" applyAlignment="1">
      <alignment horizontal="right" wrapText="1"/>
    </xf>
    <xf numFmtId="170" fontId="28" fillId="0" borderId="0" xfId="118" applyNumberFormat="1" applyAlignment="1">
      <alignment vertical="top"/>
    </xf>
    <xf numFmtId="174" fontId="28" fillId="0" borderId="0" xfId="118" applyNumberFormat="1"/>
    <xf numFmtId="164" fontId="28" fillId="36" borderId="0" xfId="210" applyNumberFormat="1" applyFont="1" applyFill="1"/>
    <xf numFmtId="166" fontId="28" fillId="0" borderId="0" xfId="210" applyNumberFormat="1" applyFont="1"/>
    <xf numFmtId="166" fontId="53" fillId="0" borderId="0" xfId="118" applyNumberFormat="1" applyFont="1"/>
    <xf numFmtId="166" fontId="28" fillId="36" borderId="0" xfId="118" applyNumberFormat="1" applyFill="1"/>
    <xf numFmtId="0" fontId="76" fillId="0" borderId="0" xfId="118" applyFont="1"/>
    <xf numFmtId="0" fontId="28" fillId="34" borderId="0" xfId="118" quotePrefix="1" applyFill="1" applyAlignment="1">
      <alignment horizontal="center"/>
    </xf>
    <xf numFmtId="167" fontId="45" fillId="40" borderId="0" xfId="118" applyNumberFormat="1" applyFont="1" applyFill="1" applyAlignment="1">
      <alignment wrapText="1"/>
    </xf>
    <xf numFmtId="0" fontId="28" fillId="34" borderId="0" xfId="118" applyFill="1" applyAlignment="1">
      <alignment wrapText="1"/>
    </xf>
    <xf numFmtId="174" fontId="28" fillId="40" borderId="0" xfId="118" applyNumberFormat="1" applyFill="1"/>
    <xf numFmtId="0" fontId="28" fillId="0" borderId="0" xfId="118" quotePrefix="1"/>
    <xf numFmtId="168" fontId="28" fillId="36" borderId="0" xfId="118" applyNumberFormat="1" applyFill="1"/>
    <xf numFmtId="0" fontId="56" fillId="0" borderId="0" xfId="118" applyFont="1"/>
    <xf numFmtId="167" fontId="28" fillId="0" borderId="0" xfId="99" applyNumberFormat="1" applyFont="1"/>
    <xf numFmtId="0" fontId="77" fillId="0" borderId="0" xfId="118" applyFont="1"/>
    <xf numFmtId="0" fontId="28" fillId="0" borderId="0" xfId="118" quotePrefix="1" applyAlignment="1">
      <alignment horizontal="left" indent="1"/>
    </xf>
    <xf numFmtId="164" fontId="77" fillId="0" borderId="0" xfId="118" applyNumberFormat="1" applyFont="1"/>
    <xf numFmtId="167" fontId="45" fillId="40" borderId="0" xfId="118" applyNumberFormat="1" applyFont="1" applyFill="1"/>
    <xf numFmtId="164" fontId="52" fillId="0" borderId="11" xfId="157" applyNumberFormat="1" applyFont="1" applyBorder="1"/>
    <xf numFmtId="166" fontId="44" fillId="37" borderId="24" xfId="225" applyNumberFormat="1" applyFont="1" applyFill="1" applyBorder="1"/>
    <xf numFmtId="166" fontId="44" fillId="37" borderId="29" xfId="225" applyNumberFormat="1" applyFont="1" applyFill="1" applyBorder="1"/>
    <xf numFmtId="167" fontId="28" fillId="36" borderId="0" xfId="0" applyNumberFormat="1" applyFont="1" applyFill="1"/>
    <xf numFmtId="174" fontId="0" fillId="36" borderId="0" xfId="0" applyNumberFormat="1" applyFill="1"/>
    <xf numFmtId="164" fontId="78" fillId="0" borderId="0" xfId="118" applyNumberFormat="1" applyFont="1"/>
    <xf numFmtId="164" fontId="28" fillId="0" borderId="0" xfId="210" applyNumberFormat="1" applyFont="1" applyFill="1"/>
    <xf numFmtId="175" fontId="29" fillId="34" borderId="0" xfId="210" applyNumberFormat="1" applyFont="1" applyFill="1" applyAlignment="1">
      <alignment horizontal="center"/>
    </xf>
    <xf numFmtId="0" fontId="29" fillId="0" borderId="0" xfId="0" applyFont="1" applyAlignment="1">
      <alignment horizontal="right"/>
    </xf>
    <xf numFmtId="0" fontId="0" fillId="34" borderId="0" xfId="0" applyFill="1" applyAlignment="1">
      <alignment horizontal="left" indent="1"/>
    </xf>
    <xf numFmtId="17" fontId="28" fillId="0" borderId="0" xfId="0" quotePrefix="1" applyNumberFormat="1" applyFont="1" applyAlignment="1">
      <alignment horizontal="center"/>
    </xf>
    <xf numFmtId="164" fontId="28" fillId="40" borderId="0" xfId="0" applyNumberFormat="1" applyFont="1" applyFill="1"/>
    <xf numFmtId="10" fontId="28" fillId="34" borderId="0" xfId="124" quotePrefix="1" applyNumberFormat="1" applyFont="1" applyFill="1"/>
    <xf numFmtId="0" fontId="28" fillId="34" borderId="0" xfId="0" quotePrefix="1" applyFont="1" applyFill="1"/>
    <xf numFmtId="176" fontId="0" fillId="34" borderId="0" xfId="0" applyNumberFormat="1" applyFill="1" applyAlignment="1">
      <alignment horizontal="center"/>
    </xf>
    <xf numFmtId="1" fontId="28" fillId="34" borderId="0" xfId="0" applyNumberFormat="1" applyFont="1" applyFill="1" applyAlignment="1">
      <alignment horizontal="center"/>
    </xf>
    <xf numFmtId="164" fontId="28" fillId="34" borderId="28" xfId="0" applyNumberFormat="1" applyFont="1" applyFill="1" applyBorder="1" applyAlignment="1">
      <alignment horizontal="right"/>
    </xf>
    <xf numFmtId="10" fontId="28" fillId="34" borderId="0" xfId="124" quotePrefix="1" applyNumberFormat="1" applyFont="1" applyFill="1" applyAlignment="1">
      <alignment horizontal="left"/>
    </xf>
    <xf numFmtId="168" fontId="28" fillId="34" borderId="0" xfId="124" quotePrefix="1" applyNumberFormat="1" applyFont="1" applyFill="1" applyAlignment="1">
      <alignment horizontal="left"/>
    </xf>
    <xf numFmtId="0" fontId="28" fillId="34" borderId="0" xfId="118" quotePrefix="1" applyFill="1"/>
    <xf numFmtId="0" fontId="28" fillId="34" borderId="0" xfId="124" applyFont="1" applyFill="1"/>
    <xf numFmtId="0" fontId="28" fillId="34" borderId="0" xfId="0" applyFont="1" applyFill="1" applyAlignment="1">
      <alignment horizontal="left"/>
    </xf>
    <xf numFmtId="0" fontId="28" fillId="0" borderId="0" xfId="0" quotePrefix="1" applyFont="1"/>
    <xf numFmtId="0" fontId="79" fillId="34" borderId="0" xfId="0" applyFont="1" applyFill="1" applyAlignment="1">
      <alignment horizontal="center"/>
    </xf>
    <xf numFmtId="0" fontId="75" fillId="34" borderId="0" xfId="0" applyFont="1" applyFill="1" applyAlignment="1">
      <alignment vertical="center"/>
    </xf>
    <xf numFmtId="176" fontId="28" fillId="34" borderId="0" xfId="0" quotePrefix="1" applyNumberFormat="1" applyFont="1" applyFill="1" applyAlignment="1">
      <alignment horizontal="center"/>
    </xf>
    <xf numFmtId="0" fontId="76" fillId="0" borderId="0" xfId="0" applyFont="1"/>
    <xf numFmtId="0" fontId="28" fillId="34" borderId="0" xfId="0" applyFont="1" applyFill="1" applyAlignment="1">
      <alignment horizontal="left" indent="1"/>
    </xf>
    <xf numFmtId="0" fontId="0" fillId="34" borderId="0" xfId="0" quotePrefix="1" applyFill="1" applyAlignment="1">
      <alignment horizontal="center"/>
    </xf>
    <xf numFmtId="0" fontId="0" fillId="34" borderId="0" xfId="0" applyFill="1" applyAlignment="1">
      <alignment horizontal="center"/>
    </xf>
    <xf numFmtId="167" fontId="45" fillId="40" borderId="0" xfId="0" applyNumberFormat="1" applyFont="1" applyFill="1" applyAlignment="1">
      <alignment wrapText="1"/>
    </xf>
    <xf numFmtId="0" fontId="28" fillId="34" borderId="0" xfId="0" applyFont="1" applyFill="1" applyAlignment="1">
      <alignment wrapText="1"/>
    </xf>
    <xf numFmtId="174" fontId="45" fillId="40" borderId="28" xfId="0" applyNumberFormat="1" applyFont="1" applyFill="1" applyBorder="1"/>
    <xf numFmtId="174" fontId="0" fillId="40" borderId="0" xfId="0" applyNumberFormat="1" applyFill="1"/>
    <xf numFmtId="174" fontId="0" fillId="0" borderId="0" xfId="0" applyNumberFormat="1"/>
    <xf numFmtId="10" fontId="60" fillId="0" borderId="0" xfId="159" applyNumberFormat="1" applyFont="1" applyFill="1" applyBorder="1"/>
    <xf numFmtId="164" fontId="44" fillId="0" borderId="0" xfId="157" applyNumberFormat="1" applyFont="1"/>
    <xf numFmtId="164" fontId="44" fillId="0" borderId="6" xfId="157" applyNumberFormat="1" applyFont="1" applyBorder="1"/>
    <xf numFmtId="164" fontId="44" fillId="0" borderId="7" xfId="157" applyNumberFormat="1" applyFont="1" applyBorder="1"/>
    <xf numFmtId="0" fontId="5" fillId="0" borderId="0" xfId="225" applyFont="1" applyAlignment="1">
      <alignment horizontal="left"/>
    </xf>
    <xf numFmtId="0" fontId="6" fillId="0" borderId="0" xfId="225" applyFont="1" applyAlignment="1">
      <alignment horizontal="left"/>
    </xf>
    <xf numFmtId="0" fontId="48" fillId="0" borderId="9" xfId="209" applyFont="1" applyBorder="1" applyAlignment="1">
      <alignment horizontal="left" vertical="top" wrapText="1"/>
    </xf>
    <xf numFmtId="0" fontId="48" fillId="0" borderId="10" xfId="209" applyFont="1" applyBorder="1" applyAlignment="1">
      <alignment horizontal="left" vertical="top" wrapText="1"/>
    </xf>
    <xf numFmtId="0" fontId="48" fillId="0" borderId="0" xfId="209" applyFont="1" applyAlignment="1">
      <alignment horizontal="left" vertical="top" wrapText="1"/>
    </xf>
    <xf numFmtId="0" fontId="49" fillId="0" borderId="0" xfId="209" applyFont="1" applyAlignment="1">
      <alignment horizontal="left" vertical="top" wrapText="1"/>
    </xf>
    <xf numFmtId="0" fontId="48" fillId="0" borderId="0" xfId="209" applyFont="1" applyAlignment="1">
      <alignment horizontal="center" vertical="top" wrapText="1"/>
    </xf>
    <xf numFmtId="0" fontId="49" fillId="0" borderId="0" xfId="209" applyFont="1" applyAlignment="1">
      <alignment horizontal="center" vertical="top" wrapText="1"/>
    </xf>
    <xf numFmtId="0" fontId="52" fillId="37" borderId="9" xfId="157" applyFont="1" applyFill="1" applyBorder="1" applyAlignment="1">
      <alignment horizontal="right"/>
    </xf>
    <xf numFmtId="0" fontId="52" fillId="37" borderId="10" xfId="157" applyFont="1" applyFill="1" applyBorder="1" applyAlignment="1">
      <alignment horizontal="right"/>
    </xf>
    <xf numFmtId="0" fontId="44" fillId="37" borderId="9" xfId="157" applyFont="1" applyFill="1" applyBorder="1" applyAlignment="1">
      <alignment horizontal="center"/>
    </xf>
    <xf numFmtId="0" fontId="44" fillId="37" borderId="10" xfId="157" applyFont="1" applyFill="1" applyBorder="1" applyAlignment="1">
      <alignment horizontal="center"/>
    </xf>
    <xf numFmtId="0" fontId="44" fillId="37" borderId="11" xfId="157" applyFont="1" applyFill="1" applyBorder="1" applyAlignment="1">
      <alignment horizontal="center"/>
    </xf>
    <xf numFmtId="0" fontId="44" fillId="37" borderId="6" xfId="157" applyFont="1" applyFill="1" applyBorder="1" applyAlignment="1">
      <alignment horizontal="center" vertical="center"/>
    </xf>
    <xf numFmtId="0" fontId="44" fillId="37" borderId="0" xfId="157" applyFont="1" applyFill="1" applyAlignment="1">
      <alignment horizontal="center" vertical="center"/>
    </xf>
    <xf numFmtId="0" fontId="44" fillId="37" borderId="4" xfId="157" applyFont="1" applyFill="1" applyBorder="1" applyAlignment="1">
      <alignment horizontal="center" vertical="center"/>
    </xf>
    <xf numFmtId="0" fontId="44" fillId="37" borderId="5" xfId="157" applyFont="1" applyFill="1" applyBorder="1" applyAlignment="1">
      <alignment horizontal="center" vertical="center"/>
    </xf>
    <xf numFmtId="0" fontId="4" fillId="0" borderId="18" xfId="225" applyFont="1" applyBorder="1" applyAlignment="1">
      <alignment horizontal="left" wrapText="1"/>
    </xf>
    <xf numFmtId="0" fontId="12" fillId="0" borderId="19" xfId="225" applyBorder="1" applyAlignment="1">
      <alignment horizontal="left" wrapText="1"/>
    </xf>
    <xf numFmtId="0" fontId="12" fillId="0" borderId="20" xfId="225" applyBorder="1" applyAlignment="1">
      <alignment horizontal="left" wrapText="1"/>
    </xf>
    <xf numFmtId="0" fontId="9" fillId="0" borderId="19" xfId="225" applyFont="1" applyBorder="1" applyAlignment="1">
      <alignment horizontal="left" wrapText="1"/>
    </xf>
    <xf numFmtId="0" fontId="9" fillId="0" borderId="20" xfId="225" applyFont="1" applyBorder="1" applyAlignment="1">
      <alignment horizontal="left" wrapText="1"/>
    </xf>
    <xf numFmtId="0" fontId="44" fillId="37" borderId="21" xfId="225" applyFont="1" applyFill="1" applyBorder="1" applyAlignment="1">
      <alignment horizontal="right"/>
    </xf>
    <xf numFmtId="0" fontId="44" fillId="37" borderId="22" xfId="225" applyFont="1" applyFill="1" applyBorder="1" applyAlignment="1">
      <alignment horizontal="right"/>
    </xf>
    <xf numFmtId="0" fontId="12" fillId="37" borderId="3" xfId="225" applyFill="1" applyBorder="1" applyAlignment="1">
      <alignment horizontal="left"/>
    </xf>
    <xf numFmtId="0" fontId="2" fillId="0" borderId="0" xfId="225" applyFont="1" applyAlignment="1">
      <alignment horizontal="left" wrapText="1"/>
    </xf>
    <xf numFmtId="0" fontId="6" fillId="0" borderId="0" xfId="225" applyFont="1" applyAlignment="1">
      <alignment horizontal="left" wrapText="1"/>
    </xf>
    <xf numFmtId="0" fontId="52" fillId="37" borderId="3" xfId="225" applyFont="1" applyFill="1" applyBorder="1" applyAlignment="1">
      <alignment horizontal="center" vertical="center" wrapText="1"/>
    </xf>
    <xf numFmtId="0" fontId="44" fillId="37" borderId="3" xfId="225" quotePrefix="1" applyFont="1" applyFill="1" applyBorder="1" applyAlignment="1">
      <alignment horizontal="center"/>
    </xf>
    <xf numFmtId="0" fontId="44" fillId="37" borderId="3" xfId="225" applyFont="1" applyFill="1" applyBorder="1" applyAlignment="1">
      <alignment horizontal="center"/>
    </xf>
    <xf numFmtId="0" fontId="6" fillId="0" borderId="19" xfId="225" applyFont="1" applyBorder="1" applyAlignment="1">
      <alignment horizontal="left" wrapText="1"/>
    </xf>
    <xf numFmtId="0" fontId="6" fillId="0" borderId="20" xfId="225" applyFont="1" applyBorder="1" applyAlignment="1">
      <alignment horizontal="left" wrapText="1"/>
    </xf>
    <xf numFmtId="0" fontId="60" fillId="0" borderId="3" xfId="225" applyFont="1" applyBorder="1" applyAlignment="1">
      <alignment wrapText="1"/>
    </xf>
    <xf numFmtId="0" fontId="54" fillId="0" borderId="25" xfId="118" applyFont="1" applyBorder="1" applyAlignment="1">
      <alignment horizontal="left" wrapText="1"/>
    </xf>
    <xf numFmtId="0" fontId="54" fillId="0" borderId="0" xfId="118" applyFont="1" applyAlignment="1">
      <alignment horizontal="left" wrapText="1"/>
    </xf>
    <xf numFmtId="0" fontId="3" fillId="0" borderId="0" xfId="225" applyFont="1" applyAlignment="1">
      <alignment horizontal="left" wrapText="1"/>
    </xf>
    <xf numFmtId="0" fontId="3" fillId="0" borderId="18" xfId="225" applyFont="1" applyBorder="1" applyAlignment="1">
      <alignment horizontal="left" wrapText="1"/>
    </xf>
    <xf numFmtId="170" fontId="28" fillId="0" borderId="0" xfId="118" applyNumberFormat="1" applyAlignment="1">
      <alignment horizontal="left" vertical="top" wrapText="1"/>
    </xf>
    <xf numFmtId="0" fontId="52" fillId="39" borderId="3" xfId="225" applyFont="1" applyFill="1" applyBorder="1" applyAlignment="1">
      <alignment horizontal="center" vertical="center" wrapText="1"/>
    </xf>
    <xf numFmtId="0" fontId="44" fillId="39" borderId="3" xfId="225" quotePrefix="1" applyFont="1" applyFill="1" applyBorder="1" applyAlignment="1">
      <alignment horizontal="center"/>
    </xf>
    <xf numFmtId="0" fontId="3" fillId="0" borderId="18" xfId="225" applyFont="1" applyBorder="1" applyAlignment="1">
      <alignment horizontal="center" wrapText="1"/>
    </xf>
    <xf numFmtId="0" fontId="10" fillId="0" borderId="19" xfId="225" applyFont="1" applyBorder="1" applyAlignment="1">
      <alignment horizontal="center" wrapText="1"/>
    </xf>
    <xf numFmtId="0" fontId="10" fillId="0" borderId="20" xfId="225" applyFont="1" applyBorder="1" applyAlignment="1">
      <alignment horizontal="center" wrapText="1"/>
    </xf>
    <xf numFmtId="0" fontId="60" fillId="0" borderId="18" xfId="225" applyFont="1" applyBorder="1" applyAlignment="1">
      <alignment horizontal="center" wrapText="1"/>
    </xf>
    <xf numFmtId="0" fontId="2" fillId="0" borderId="0" xfId="225" applyFont="1" applyAlignment="1">
      <alignment horizontal="left" vertical="top" wrapText="1"/>
    </xf>
    <xf numFmtId="0" fontId="8" fillId="0" borderId="0" xfId="225" applyFont="1" applyAlignment="1">
      <alignment horizontal="left" vertical="top" wrapText="1"/>
    </xf>
    <xf numFmtId="0" fontId="44" fillId="39" borderId="3" xfId="225" applyFont="1" applyFill="1" applyBorder="1" applyAlignment="1">
      <alignment horizontal="center"/>
    </xf>
    <xf numFmtId="0" fontId="44" fillId="39" borderId="18" xfId="225" applyFont="1" applyFill="1" applyBorder="1" applyAlignment="1">
      <alignment horizontal="right"/>
    </xf>
    <xf numFmtId="0" fontId="44" fillId="39" borderId="19" xfId="225" applyFont="1" applyFill="1" applyBorder="1" applyAlignment="1">
      <alignment horizontal="right"/>
    </xf>
    <xf numFmtId="0" fontId="44" fillId="39" borderId="20" xfId="225" applyFont="1" applyFill="1" applyBorder="1" applyAlignment="1">
      <alignment horizontal="right"/>
    </xf>
    <xf numFmtId="0" fontId="66" fillId="39" borderId="18" xfId="225" applyFont="1" applyFill="1" applyBorder="1" applyAlignment="1">
      <alignment horizontal="center" wrapText="1"/>
    </xf>
    <xf numFmtId="0" fontId="66" fillId="39" borderId="19" xfId="225" applyFont="1" applyFill="1" applyBorder="1" applyAlignment="1">
      <alignment horizontal="center" wrapText="1"/>
    </xf>
    <xf numFmtId="0" fontId="66" fillId="39" borderId="20" xfId="225" applyFont="1" applyFill="1" applyBorder="1" applyAlignment="1">
      <alignment horizontal="center" wrapText="1"/>
    </xf>
    <xf numFmtId="0" fontId="60" fillId="0" borderId="3" xfId="0" applyFont="1" applyBorder="1" applyAlignment="1">
      <alignment horizontal="center" wrapText="1"/>
    </xf>
    <xf numFmtId="0" fontId="44" fillId="38" borderId="3" xfId="225" applyFont="1" applyFill="1" applyBorder="1" applyAlignment="1">
      <alignment horizontal="right"/>
    </xf>
    <xf numFmtId="0" fontId="66" fillId="38" borderId="18" xfId="225" applyFont="1" applyFill="1" applyBorder="1" applyAlignment="1">
      <alignment horizontal="center" wrapText="1"/>
    </xf>
    <xf numFmtId="0" fontId="66" fillId="38" borderId="19" xfId="225" applyFont="1" applyFill="1" applyBorder="1" applyAlignment="1">
      <alignment horizontal="center" wrapText="1"/>
    </xf>
    <xf numFmtId="0" fontId="66" fillId="38" borderId="20" xfId="225" applyFont="1" applyFill="1" applyBorder="1" applyAlignment="1">
      <alignment horizontal="center" wrapText="1"/>
    </xf>
    <xf numFmtId="0" fontId="10" fillId="39" borderId="3" xfId="225" applyFont="1" applyFill="1" applyBorder="1" applyAlignment="1">
      <alignment horizontal="left"/>
    </xf>
    <xf numFmtId="0" fontId="54" fillId="0" borderId="25" xfId="118" applyFont="1" applyBorder="1" applyAlignment="1">
      <alignment horizontal="left" vertical="top" wrapText="1"/>
    </xf>
    <xf numFmtId="0" fontId="54" fillId="0" borderId="0" xfId="118" applyFont="1" applyAlignment="1">
      <alignment horizontal="left" vertical="top" wrapText="1"/>
    </xf>
    <xf numFmtId="0" fontId="28" fillId="37" borderId="0" xfId="118" applyFill="1" applyAlignment="1">
      <alignment horizontal="left" wrapText="1"/>
    </xf>
    <xf numFmtId="0" fontId="53" fillId="0" borderId="0" xfId="118" applyFont="1" applyAlignment="1">
      <alignment horizontal="left" wrapText="1"/>
    </xf>
    <xf numFmtId="0" fontId="1" fillId="0" borderId="0" xfId="225" applyFont="1" applyAlignment="1">
      <alignment horizontal="left"/>
    </xf>
    <xf numFmtId="0" fontId="1" fillId="0" borderId="0" xfId="225" applyFont="1" applyAlignment="1">
      <alignment horizontal="left" vertical="top" wrapText="1"/>
    </xf>
    <xf numFmtId="0" fontId="75" fillId="34" borderId="0" xfId="0" applyFont="1" applyFill="1" applyAlignment="1">
      <alignment vertical="center"/>
    </xf>
    <xf numFmtId="0" fontId="3" fillId="0" borderId="0" xfId="225" applyFont="1" applyAlignment="1">
      <alignment horizontal="left"/>
    </xf>
  </cellXfs>
  <cellStyles count="233">
    <cellStyle name="Accent1 - 20%" xfId="1" xr:uid="{00000000-0005-0000-0000-000000000000}"/>
    <cellStyle name="Accent1 - 40%" xfId="2" xr:uid="{00000000-0005-0000-0000-000001000000}"/>
    <cellStyle name="Accent1 - 60%" xfId="3" xr:uid="{00000000-0005-0000-0000-000002000000}"/>
    <cellStyle name="Accent2 - 20%" xfId="4" xr:uid="{00000000-0005-0000-0000-000003000000}"/>
    <cellStyle name="Accent2 - 40%" xfId="5" xr:uid="{00000000-0005-0000-0000-000004000000}"/>
    <cellStyle name="Accent2 - 60%" xfId="6" xr:uid="{00000000-0005-0000-0000-000005000000}"/>
    <cellStyle name="Accent3 - 20%" xfId="7" xr:uid="{00000000-0005-0000-0000-000006000000}"/>
    <cellStyle name="Accent3 - 40%" xfId="8" xr:uid="{00000000-0005-0000-0000-000007000000}"/>
    <cellStyle name="Accent3 - 60%" xfId="9" xr:uid="{00000000-0005-0000-0000-000008000000}"/>
    <cellStyle name="Accent4 - 20%" xfId="10" xr:uid="{00000000-0005-0000-0000-000009000000}"/>
    <cellStyle name="Accent4 - 40%" xfId="11" xr:uid="{00000000-0005-0000-0000-00000A000000}"/>
    <cellStyle name="Accent4 - 60%" xfId="12" xr:uid="{00000000-0005-0000-0000-00000B000000}"/>
    <cellStyle name="Accent5 - 20%" xfId="13" xr:uid="{00000000-0005-0000-0000-00000C000000}"/>
    <cellStyle name="Accent5 - 40%" xfId="14" xr:uid="{00000000-0005-0000-0000-00000D000000}"/>
    <cellStyle name="Accent5 - 60%" xfId="15" xr:uid="{00000000-0005-0000-0000-00000E000000}"/>
    <cellStyle name="Accent6 - 20%" xfId="16" xr:uid="{00000000-0005-0000-0000-00000F000000}"/>
    <cellStyle name="Accent6 - 40%" xfId="17" xr:uid="{00000000-0005-0000-0000-000010000000}"/>
    <cellStyle name="Accent6 - 60%" xfId="18" xr:uid="{00000000-0005-0000-0000-000011000000}"/>
    <cellStyle name="Comma" xfId="211" builtinId="3"/>
    <cellStyle name="Comma 14" xfId="210" xr:uid="{00000000-0005-0000-0000-000013000000}"/>
    <cellStyle name="Comma 2" xfId="19" xr:uid="{00000000-0005-0000-0000-000014000000}"/>
    <cellStyle name="Comma 2 2" xfId="20" xr:uid="{00000000-0005-0000-0000-000015000000}"/>
    <cellStyle name="Comma 2 2 2" xfId="89" xr:uid="{00000000-0005-0000-0000-000016000000}"/>
    <cellStyle name="Comma 2 3" xfId="88" xr:uid="{00000000-0005-0000-0000-000017000000}"/>
    <cellStyle name="Comma 2 4" xfId="76" xr:uid="{00000000-0005-0000-0000-000018000000}"/>
    <cellStyle name="Comma 3" xfId="21" xr:uid="{00000000-0005-0000-0000-000019000000}"/>
    <cellStyle name="Comma 3 2" xfId="90" xr:uid="{00000000-0005-0000-0000-00001A000000}"/>
    <cellStyle name="Comma 4" xfId="87" xr:uid="{00000000-0005-0000-0000-00001B000000}"/>
    <cellStyle name="Comma 5" xfId="132" xr:uid="{00000000-0005-0000-0000-00001C000000}"/>
    <cellStyle name="Comma 6" xfId="158" xr:uid="{00000000-0005-0000-0000-00001D000000}"/>
    <cellStyle name="Comma 6 2" xfId="205" xr:uid="{00000000-0005-0000-0000-00001E000000}"/>
    <cellStyle name="Comma 6 3" xfId="213" xr:uid="{00000000-0005-0000-0000-00001F000000}"/>
    <cellStyle name="Comma 6 3 2" xfId="224" xr:uid="{00000000-0005-0000-0000-000020000000}"/>
    <cellStyle name="Comma 6 3 3" xfId="226" xr:uid="{90B3A274-DF3F-4513-8070-B2F56AF6BFB3}"/>
    <cellStyle name="Comma 6 3 3 2" xfId="228" xr:uid="{F6ACF71D-C97A-435E-B10F-790206711C9C}"/>
    <cellStyle name="Comma 7" xfId="219" xr:uid="{00000000-0005-0000-0000-000021000000}"/>
    <cellStyle name="Comma 8" xfId="126" xr:uid="{00000000-0005-0000-0000-000022000000}"/>
    <cellStyle name="Currency" xfId="216" builtinId="4"/>
    <cellStyle name="Currency 2" xfId="91" xr:uid="{00000000-0005-0000-0000-000024000000}"/>
    <cellStyle name="Currency 3" xfId="133" xr:uid="{00000000-0005-0000-0000-000025000000}"/>
    <cellStyle name="Currency 4" xfId="220" xr:uid="{00000000-0005-0000-0000-000026000000}"/>
    <cellStyle name="Currency 5" xfId="232" xr:uid="{E713A125-0837-4DF2-BBB0-AF2FD681BFD4}"/>
    <cellStyle name="Emphasis 1" xfId="22" xr:uid="{00000000-0005-0000-0000-000027000000}"/>
    <cellStyle name="Emphasis 2" xfId="23" xr:uid="{00000000-0005-0000-0000-000028000000}"/>
    <cellStyle name="Emphasis 3" xfId="24" xr:uid="{00000000-0005-0000-0000-000029000000}"/>
    <cellStyle name="Normal" xfId="0" builtinId="0"/>
    <cellStyle name="Normal 10" xfId="118" xr:uid="{00000000-0005-0000-0000-00002B000000}"/>
    <cellStyle name="Normal 10 6" xfId="128" xr:uid="{00000000-0005-0000-0000-00002C000000}"/>
    <cellStyle name="Normal 11" xfId="155" xr:uid="{00000000-0005-0000-0000-00002D000000}"/>
    <cellStyle name="Normal 11 2" xfId="202" xr:uid="{00000000-0005-0000-0000-00002E000000}"/>
    <cellStyle name="Normal 12" xfId="121" xr:uid="{00000000-0005-0000-0000-00002F000000}"/>
    <cellStyle name="Normal 13" xfId="123" xr:uid="{00000000-0005-0000-0000-000030000000}"/>
    <cellStyle name="Normal 14" xfId="122" xr:uid="{00000000-0005-0000-0000-000031000000}"/>
    <cellStyle name="Normal 15" xfId="125" xr:uid="{00000000-0005-0000-0000-000032000000}"/>
    <cellStyle name="Normal 16" xfId="124" xr:uid="{00000000-0005-0000-0000-000033000000}"/>
    <cellStyle name="Normal 17" xfId="157" xr:uid="{00000000-0005-0000-0000-000034000000}"/>
    <cellStyle name="Normal 17 2" xfId="204" xr:uid="{00000000-0005-0000-0000-000035000000}"/>
    <cellStyle name="Normal 17 3" xfId="212" xr:uid="{00000000-0005-0000-0000-000036000000}"/>
    <cellStyle name="Normal 17 3 2" xfId="223" xr:uid="{00000000-0005-0000-0000-000037000000}"/>
    <cellStyle name="Normal 17 3 3" xfId="225" xr:uid="{0F7EA51F-4786-4F4B-8A54-80DDCB7C8101}"/>
    <cellStyle name="Normal 17 3 3 4" xfId="227" xr:uid="{2F65AD12-CED2-4BC5-9653-4B9E983446BE}"/>
    <cellStyle name="Normal 18" xfId="209" xr:uid="{00000000-0005-0000-0000-000038000000}"/>
    <cellStyle name="Normal 19" xfId="217" xr:uid="{00000000-0005-0000-0000-000039000000}"/>
    <cellStyle name="Normal 2" xfId="25" xr:uid="{00000000-0005-0000-0000-00003A000000}"/>
    <cellStyle name="Normal 2 2" xfId="26" xr:uid="{00000000-0005-0000-0000-00003B000000}"/>
    <cellStyle name="Normal 2 2 2" xfId="93" xr:uid="{00000000-0005-0000-0000-00003C000000}"/>
    <cellStyle name="Normal 2 3" xfId="27" xr:uid="{00000000-0005-0000-0000-00003D000000}"/>
    <cellStyle name="Normal 2 3 2" xfId="94" xr:uid="{00000000-0005-0000-0000-00003E000000}"/>
    <cellStyle name="Normal 2 4" xfId="28" xr:uid="{00000000-0005-0000-0000-00003F000000}"/>
    <cellStyle name="Normal 2 4 2" xfId="95" xr:uid="{00000000-0005-0000-0000-000040000000}"/>
    <cellStyle name="Normal 2 5" xfId="92" xr:uid="{00000000-0005-0000-0000-000041000000}"/>
    <cellStyle name="Normal 2 6" xfId="75" xr:uid="{00000000-0005-0000-0000-000042000000}"/>
    <cellStyle name="Normal 2 6 10" xfId="208" xr:uid="{00000000-0005-0000-0000-000043000000}"/>
    <cellStyle name="Normal 2 6 10 2" xfId="215" xr:uid="{00000000-0005-0000-0000-000044000000}"/>
    <cellStyle name="Normal 2 6 11" xfId="222" xr:uid="{00000000-0005-0000-0000-000045000000}"/>
    <cellStyle name="Normal 2 6 2" xfId="103" xr:uid="{00000000-0005-0000-0000-000046000000}"/>
    <cellStyle name="Normal 2 6 2 2" xfId="109" xr:uid="{00000000-0005-0000-0000-000047000000}"/>
    <cellStyle name="Normal 2 6 2 2 2" xfId="146" xr:uid="{00000000-0005-0000-0000-000048000000}"/>
    <cellStyle name="Normal 2 6 2 2 2 2" xfId="193" xr:uid="{00000000-0005-0000-0000-000049000000}"/>
    <cellStyle name="Normal 2 6 2 2 3" xfId="170" xr:uid="{00000000-0005-0000-0000-00004A000000}"/>
    <cellStyle name="Normal 2 6 2 3" xfId="113" xr:uid="{00000000-0005-0000-0000-00004B000000}"/>
    <cellStyle name="Normal 2 6 2 3 2" xfId="150" xr:uid="{00000000-0005-0000-0000-00004C000000}"/>
    <cellStyle name="Normal 2 6 2 3 2 2" xfId="197" xr:uid="{00000000-0005-0000-0000-00004D000000}"/>
    <cellStyle name="Normal 2 6 2 3 3" xfId="174" xr:uid="{00000000-0005-0000-0000-00004E000000}"/>
    <cellStyle name="Normal 2 6 2 4" xfId="117" xr:uid="{00000000-0005-0000-0000-00004F000000}"/>
    <cellStyle name="Normal 2 6 2 4 2" xfId="154" xr:uid="{00000000-0005-0000-0000-000050000000}"/>
    <cellStyle name="Normal 2 6 2 4 2 2" xfId="201" xr:uid="{00000000-0005-0000-0000-000051000000}"/>
    <cellStyle name="Normal 2 6 2 4 3" xfId="178" xr:uid="{00000000-0005-0000-0000-000052000000}"/>
    <cellStyle name="Normal 2 6 2 5" xfId="140" xr:uid="{00000000-0005-0000-0000-000053000000}"/>
    <cellStyle name="Normal 2 6 2 5 2" xfId="187" xr:uid="{00000000-0005-0000-0000-000054000000}"/>
    <cellStyle name="Normal 2 6 2 6" xfId="136" xr:uid="{00000000-0005-0000-0000-000055000000}"/>
    <cellStyle name="Normal 2 6 2 6 2" xfId="183" xr:uid="{00000000-0005-0000-0000-000056000000}"/>
    <cellStyle name="Normal 2 6 2 7" xfId="164" xr:uid="{00000000-0005-0000-0000-000057000000}"/>
    <cellStyle name="Normal 2 6 3" xfId="104" xr:uid="{00000000-0005-0000-0000-000058000000}"/>
    <cellStyle name="Normal 2 6 3 2" xfId="141" xr:uid="{00000000-0005-0000-0000-000059000000}"/>
    <cellStyle name="Normal 2 6 3 2 2" xfId="188" xr:uid="{00000000-0005-0000-0000-00005A000000}"/>
    <cellStyle name="Normal 2 6 3 3" xfId="165" xr:uid="{00000000-0005-0000-0000-00005B000000}"/>
    <cellStyle name="Normal 2 6 4" xfId="107" xr:uid="{00000000-0005-0000-0000-00005C000000}"/>
    <cellStyle name="Normal 2 6 4 2" xfId="144" xr:uid="{00000000-0005-0000-0000-00005D000000}"/>
    <cellStyle name="Normal 2 6 4 2 2" xfId="191" xr:uid="{00000000-0005-0000-0000-00005E000000}"/>
    <cellStyle name="Normal 2 6 4 3" xfId="168" xr:uid="{00000000-0005-0000-0000-00005F000000}"/>
    <cellStyle name="Normal 2 6 5" xfId="111" xr:uid="{00000000-0005-0000-0000-000060000000}"/>
    <cellStyle name="Normal 2 6 5 2" xfId="148" xr:uid="{00000000-0005-0000-0000-000061000000}"/>
    <cellStyle name="Normal 2 6 5 2 2" xfId="195" xr:uid="{00000000-0005-0000-0000-000062000000}"/>
    <cellStyle name="Normal 2 6 5 3" xfId="172" xr:uid="{00000000-0005-0000-0000-000063000000}"/>
    <cellStyle name="Normal 2 6 6" xfId="115" xr:uid="{00000000-0005-0000-0000-000064000000}"/>
    <cellStyle name="Normal 2 6 6 2" xfId="152" xr:uid="{00000000-0005-0000-0000-000065000000}"/>
    <cellStyle name="Normal 2 6 6 2 2" xfId="199" xr:uid="{00000000-0005-0000-0000-000066000000}"/>
    <cellStyle name="Normal 2 6 6 3" xfId="176" xr:uid="{00000000-0005-0000-0000-000067000000}"/>
    <cellStyle name="Normal 2 6 7" xfId="138" xr:uid="{00000000-0005-0000-0000-000068000000}"/>
    <cellStyle name="Normal 2 6 7 2" xfId="185" xr:uid="{00000000-0005-0000-0000-000069000000}"/>
    <cellStyle name="Normal 2 6 8" xfId="130" xr:uid="{00000000-0005-0000-0000-00006A000000}"/>
    <cellStyle name="Normal 2 6 8 2" xfId="180" xr:uid="{00000000-0005-0000-0000-00006B000000}"/>
    <cellStyle name="Normal 2 6 9" xfId="162" xr:uid="{00000000-0005-0000-0000-00006C000000}"/>
    <cellStyle name="Normal 2 7" xfId="120" xr:uid="{00000000-0005-0000-0000-00006D000000}"/>
    <cellStyle name="Normal 2 8" xfId="231" xr:uid="{28FEAA29-6C6D-4AB8-88AB-75231A58310E}"/>
    <cellStyle name="Normal 20" xfId="230" xr:uid="{3C1D16CE-1931-4CC4-88AE-76085458B2D5}"/>
    <cellStyle name="Normal 3" xfId="73" xr:uid="{00000000-0005-0000-0000-00006E000000}"/>
    <cellStyle name="Normal 3 2" xfId="29" xr:uid="{00000000-0005-0000-0000-00006F000000}"/>
    <cellStyle name="Normal 3 2 2" xfId="96" xr:uid="{00000000-0005-0000-0000-000070000000}"/>
    <cellStyle name="Normal 4" xfId="30" xr:uid="{00000000-0005-0000-0000-000071000000}"/>
    <cellStyle name="Normal 4 2" xfId="97" xr:uid="{00000000-0005-0000-0000-000072000000}"/>
    <cellStyle name="Normal 5" xfId="86" xr:uid="{00000000-0005-0000-0000-000073000000}"/>
    <cellStyle name="Normal 5 2" xfId="100" xr:uid="{00000000-0005-0000-0000-000074000000}"/>
    <cellStyle name="Normal 6" xfId="74" xr:uid="{00000000-0005-0000-0000-000075000000}"/>
    <cellStyle name="Normal 6 10" xfId="207" xr:uid="{00000000-0005-0000-0000-000076000000}"/>
    <cellStyle name="Normal 6 10 2" xfId="214" xr:uid="{00000000-0005-0000-0000-000077000000}"/>
    <cellStyle name="Normal 6 11" xfId="221" xr:uid="{00000000-0005-0000-0000-000078000000}"/>
    <cellStyle name="Normal 6 2" xfId="102" xr:uid="{00000000-0005-0000-0000-000079000000}"/>
    <cellStyle name="Normal 6 2 2" xfId="108" xr:uid="{00000000-0005-0000-0000-00007A000000}"/>
    <cellStyle name="Normal 6 2 2 2" xfId="145" xr:uid="{00000000-0005-0000-0000-00007B000000}"/>
    <cellStyle name="Normal 6 2 2 2 2" xfId="192" xr:uid="{00000000-0005-0000-0000-00007C000000}"/>
    <cellStyle name="Normal 6 2 2 3" xfId="169" xr:uid="{00000000-0005-0000-0000-00007D000000}"/>
    <cellStyle name="Normal 6 2 3" xfId="112" xr:uid="{00000000-0005-0000-0000-00007E000000}"/>
    <cellStyle name="Normal 6 2 3 2" xfId="149" xr:uid="{00000000-0005-0000-0000-00007F000000}"/>
    <cellStyle name="Normal 6 2 3 2 2" xfId="196" xr:uid="{00000000-0005-0000-0000-000080000000}"/>
    <cellStyle name="Normal 6 2 3 3" xfId="173" xr:uid="{00000000-0005-0000-0000-000081000000}"/>
    <cellStyle name="Normal 6 2 4" xfId="116" xr:uid="{00000000-0005-0000-0000-000082000000}"/>
    <cellStyle name="Normal 6 2 4 2" xfId="153" xr:uid="{00000000-0005-0000-0000-000083000000}"/>
    <cellStyle name="Normal 6 2 4 2 2" xfId="200" xr:uid="{00000000-0005-0000-0000-000084000000}"/>
    <cellStyle name="Normal 6 2 4 3" xfId="177" xr:uid="{00000000-0005-0000-0000-000085000000}"/>
    <cellStyle name="Normal 6 2 5" xfId="139" xr:uid="{00000000-0005-0000-0000-000086000000}"/>
    <cellStyle name="Normal 6 2 5 2" xfId="186" xr:uid="{00000000-0005-0000-0000-000087000000}"/>
    <cellStyle name="Normal 6 2 6" xfId="135" xr:uid="{00000000-0005-0000-0000-000088000000}"/>
    <cellStyle name="Normal 6 2 6 2" xfId="182" xr:uid="{00000000-0005-0000-0000-000089000000}"/>
    <cellStyle name="Normal 6 2 7" xfId="163" xr:uid="{00000000-0005-0000-0000-00008A000000}"/>
    <cellStyle name="Normal 6 3" xfId="105" xr:uid="{00000000-0005-0000-0000-00008B000000}"/>
    <cellStyle name="Normal 6 3 2" xfId="142" xr:uid="{00000000-0005-0000-0000-00008C000000}"/>
    <cellStyle name="Normal 6 3 2 2" xfId="189" xr:uid="{00000000-0005-0000-0000-00008D000000}"/>
    <cellStyle name="Normal 6 3 3" xfId="166" xr:uid="{00000000-0005-0000-0000-00008E000000}"/>
    <cellStyle name="Normal 6 4" xfId="106" xr:uid="{00000000-0005-0000-0000-00008F000000}"/>
    <cellStyle name="Normal 6 4 2" xfId="143" xr:uid="{00000000-0005-0000-0000-000090000000}"/>
    <cellStyle name="Normal 6 4 2 2" xfId="190" xr:uid="{00000000-0005-0000-0000-000091000000}"/>
    <cellStyle name="Normal 6 4 3" xfId="167" xr:uid="{00000000-0005-0000-0000-000092000000}"/>
    <cellStyle name="Normal 6 5" xfId="110" xr:uid="{00000000-0005-0000-0000-000093000000}"/>
    <cellStyle name="Normal 6 5 2" xfId="147" xr:uid="{00000000-0005-0000-0000-000094000000}"/>
    <cellStyle name="Normal 6 5 2 2" xfId="194" xr:uid="{00000000-0005-0000-0000-000095000000}"/>
    <cellStyle name="Normal 6 5 3" xfId="171" xr:uid="{00000000-0005-0000-0000-000096000000}"/>
    <cellStyle name="Normal 6 6" xfId="114" xr:uid="{00000000-0005-0000-0000-000097000000}"/>
    <cellStyle name="Normal 6 6 2" xfId="151" xr:uid="{00000000-0005-0000-0000-000098000000}"/>
    <cellStyle name="Normal 6 6 2 2" xfId="198" xr:uid="{00000000-0005-0000-0000-000099000000}"/>
    <cellStyle name="Normal 6 6 3" xfId="175" xr:uid="{00000000-0005-0000-0000-00009A000000}"/>
    <cellStyle name="Normal 6 7" xfId="137" xr:uid="{00000000-0005-0000-0000-00009B000000}"/>
    <cellStyle name="Normal 6 7 2" xfId="184" xr:uid="{00000000-0005-0000-0000-00009C000000}"/>
    <cellStyle name="Normal 6 8" xfId="129" xr:uid="{00000000-0005-0000-0000-00009D000000}"/>
    <cellStyle name="Normal 6 8 2" xfId="179" xr:uid="{00000000-0005-0000-0000-00009E000000}"/>
    <cellStyle name="Normal 6 9" xfId="161" xr:uid="{00000000-0005-0000-0000-00009F000000}"/>
    <cellStyle name="Normal 7" xfId="101" xr:uid="{00000000-0005-0000-0000-0000A0000000}"/>
    <cellStyle name="Normal 8" xfId="119" xr:uid="{00000000-0005-0000-0000-0000A1000000}"/>
    <cellStyle name="Normal 9" xfId="131" xr:uid="{00000000-0005-0000-0000-0000A2000000}"/>
    <cellStyle name="Normal 9 2" xfId="181" xr:uid="{00000000-0005-0000-0000-0000A3000000}"/>
    <cellStyle name="Percent" xfId="229" builtinId="5"/>
    <cellStyle name="Percent 2" xfId="31" xr:uid="{00000000-0005-0000-0000-0000A4000000}"/>
    <cellStyle name="Percent 3" xfId="32" xr:uid="{00000000-0005-0000-0000-0000A5000000}"/>
    <cellStyle name="Percent 3 2" xfId="99" xr:uid="{00000000-0005-0000-0000-0000A6000000}"/>
    <cellStyle name="Percent 3 3" xfId="127" xr:uid="{00000000-0005-0000-0000-0000A7000000}"/>
    <cellStyle name="Percent 4" xfId="98" xr:uid="{00000000-0005-0000-0000-0000A8000000}"/>
    <cellStyle name="Percent 5" xfId="134" xr:uid="{00000000-0005-0000-0000-0000A9000000}"/>
    <cellStyle name="Percent 6" xfId="156" xr:uid="{00000000-0005-0000-0000-0000AA000000}"/>
    <cellStyle name="Percent 6 2" xfId="203" xr:uid="{00000000-0005-0000-0000-0000AB000000}"/>
    <cellStyle name="Percent 7" xfId="159" xr:uid="{00000000-0005-0000-0000-0000AC000000}"/>
    <cellStyle name="Percent 7 2" xfId="206" xr:uid="{00000000-0005-0000-0000-0000AD000000}"/>
    <cellStyle name="Percent 8" xfId="218" xr:uid="{00000000-0005-0000-0000-0000AE000000}"/>
    <cellStyle name="SAPBEXaggData" xfId="33" xr:uid="{00000000-0005-0000-0000-0000AF000000}"/>
    <cellStyle name="SAPBEXaggDataEmph" xfId="34" xr:uid="{00000000-0005-0000-0000-0000B0000000}"/>
    <cellStyle name="SAPBEXaggItem" xfId="35" xr:uid="{00000000-0005-0000-0000-0000B1000000}"/>
    <cellStyle name="SAPBEXaggItemX" xfId="36" xr:uid="{00000000-0005-0000-0000-0000B2000000}"/>
    <cellStyle name="SAPBEXchaText" xfId="37" xr:uid="{00000000-0005-0000-0000-0000B3000000}"/>
    <cellStyle name="SAPBEXexcBad7" xfId="38" xr:uid="{00000000-0005-0000-0000-0000B4000000}"/>
    <cellStyle name="SAPBEXexcBad8" xfId="39" xr:uid="{00000000-0005-0000-0000-0000B5000000}"/>
    <cellStyle name="SAPBEXexcBad9" xfId="40" xr:uid="{00000000-0005-0000-0000-0000B6000000}"/>
    <cellStyle name="SAPBEXexcCritical4" xfId="41" xr:uid="{00000000-0005-0000-0000-0000B7000000}"/>
    <cellStyle name="SAPBEXexcCritical5" xfId="42" xr:uid="{00000000-0005-0000-0000-0000B8000000}"/>
    <cellStyle name="SAPBEXexcCritical6" xfId="43" xr:uid="{00000000-0005-0000-0000-0000B9000000}"/>
    <cellStyle name="SAPBEXexcGood1" xfId="44" xr:uid="{00000000-0005-0000-0000-0000BA000000}"/>
    <cellStyle name="SAPBEXexcGood2" xfId="45" xr:uid="{00000000-0005-0000-0000-0000BB000000}"/>
    <cellStyle name="SAPBEXexcGood3" xfId="46" xr:uid="{00000000-0005-0000-0000-0000BC000000}"/>
    <cellStyle name="SAPBEXfilterDrill" xfId="47" xr:uid="{00000000-0005-0000-0000-0000BD000000}"/>
    <cellStyle name="SAPBEXfilterDrill 2" xfId="160" xr:uid="{00000000-0005-0000-0000-0000BE000000}"/>
    <cellStyle name="SAPBEXfilterItem" xfId="48" xr:uid="{00000000-0005-0000-0000-0000BF000000}"/>
    <cellStyle name="SAPBEXfilterText" xfId="49" xr:uid="{00000000-0005-0000-0000-0000C0000000}"/>
    <cellStyle name="SAPBEXformats" xfId="50" xr:uid="{00000000-0005-0000-0000-0000C1000000}"/>
    <cellStyle name="SAPBEXheaderItem" xfId="51" xr:uid="{00000000-0005-0000-0000-0000C2000000}"/>
    <cellStyle name="SAPBEXheaderText" xfId="52" xr:uid="{00000000-0005-0000-0000-0000C3000000}"/>
    <cellStyle name="SAPBEXHLevel0" xfId="53" xr:uid="{00000000-0005-0000-0000-0000C4000000}"/>
    <cellStyle name="SAPBEXHLevel0 2" xfId="77" xr:uid="{00000000-0005-0000-0000-0000C5000000}"/>
    <cellStyle name="SAPBEXHLevel0X" xfId="54" xr:uid="{00000000-0005-0000-0000-0000C6000000}"/>
    <cellStyle name="SAPBEXHLevel0X 2" xfId="78" xr:uid="{00000000-0005-0000-0000-0000C7000000}"/>
    <cellStyle name="SAPBEXHLevel1" xfId="55" xr:uid="{00000000-0005-0000-0000-0000C8000000}"/>
    <cellStyle name="SAPBEXHLevel1 2" xfId="79" xr:uid="{00000000-0005-0000-0000-0000C9000000}"/>
    <cellStyle name="SAPBEXHLevel1X" xfId="56" xr:uid="{00000000-0005-0000-0000-0000CA000000}"/>
    <cellStyle name="SAPBEXHLevel1X 2" xfId="80" xr:uid="{00000000-0005-0000-0000-0000CB000000}"/>
    <cellStyle name="SAPBEXHLevel2" xfId="57" xr:uid="{00000000-0005-0000-0000-0000CC000000}"/>
    <cellStyle name="SAPBEXHLevel2 2" xfId="81" xr:uid="{00000000-0005-0000-0000-0000CD000000}"/>
    <cellStyle name="SAPBEXHLevel2X" xfId="58" xr:uid="{00000000-0005-0000-0000-0000CE000000}"/>
    <cellStyle name="SAPBEXHLevel2X 2" xfId="82" xr:uid="{00000000-0005-0000-0000-0000CF000000}"/>
    <cellStyle name="SAPBEXHLevel3" xfId="59" xr:uid="{00000000-0005-0000-0000-0000D0000000}"/>
    <cellStyle name="SAPBEXHLevel3 2" xfId="83" xr:uid="{00000000-0005-0000-0000-0000D1000000}"/>
    <cellStyle name="SAPBEXHLevel3X" xfId="60" xr:uid="{00000000-0005-0000-0000-0000D2000000}"/>
    <cellStyle name="SAPBEXHLevel3X 2" xfId="84" xr:uid="{00000000-0005-0000-0000-0000D3000000}"/>
    <cellStyle name="SAPBEXinputData" xfId="61" xr:uid="{00000000-0005-0000-0000-0000D4000000}"/>
    <cellStyle name="SAPBEXinputData 2" xfId="85" xr:uid="{00000000-0005-0000-0000-0000D5000000}"/>
    <cellStyle name="SAPBEXresData" xfId="62" xr:uid="{00000000-0005-0000-0000-0000D6000000}"/>
    <cellStyle name="SAPBEXresDataEmph" xfId="63" xr:uid="{00000000-0005-0000-0000-0000D7000000}"/>
    <cellStyle name="SAPBEXresItem" xfId="64" xr:uid="{00000000-0005-0000-0000-0000D8000000}"/>
    <cellStyle name="SAPBEXresItemX" xfId="65" xr:uid="{00000000-0005-0000-0000-0000D9000000}"/>
    <cellStyle name="SAPBEXstdData" xfId="66" xr:uid="{00000000-0005-0000-0000-0000DA000000}"/>
    <cellStyle name="SAPBEXstdDataEmph" xfId="67" xr:uid="{00000000-0005-0000-0000-0000DB000000}"/>
    <cellStyle name="SAPBEXstdItem" xfId="68" xr:uid="{00000000-0005-0000-0000-0000DC000000}"/>
    <cellStyle name="SAPBEXstdItemX" xfId="69" xr:uid="{00000000-0005-0000-0000-0000DD000000}"/>
    <cellStyle name="SAPBEXtitle" xfId="70" xr:uid="{00000000-0005-0000-0000-0000DE000000}"/>
    <cellStyle name="SAPBEXundefined" xfId="71" xr:uid="{00000000-0005-0000-0000-0000DF000000}"/>
    <cellStyle name="Sheet Title" xfId="72" xr:uid="{00000000-0005-0000-0000-0000E0000000}"/>
  </cellStyles>
  <dxfs count="0"/>
  <tableStyles count="0" defaultTableStyle="TableStyleMedium9" defaultPivotStyle="PivotStyleLight16"/>
  <colors>
    <mruColors>
      <color rgb="FFFFCCCC"/>
      <color rgb="FFFFFFCC"/>
      <color rgb="FF99CCFF"/>
      <color rgb="FFCCFFCC"/>
      <color rgb="FFFFCC99"/>
      <color rgb="FFCC99FF"/>
      <color rgb="FFFF9999"/>
      <color rgb="FF99FFCC"/>
      <color rgb="FFCCEC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0</xdr:col>
      <xdr:colOff>66675</xdr:colOff>
      <xdr:row>0</xdr:row>
      <xdr:rowOff>112117</xdr:rowOff>
    </xdr:to>
    <xdr:sp macro="" textlink="">
      <xdr:nvSpPr>
        <xdr:cNvPr id="2" name="TextBox 1">
          <a:extLst>
            <a:ext uri="{FF2B5EF4-FFF2-40B4-BE49-F238E27FC236}">
              <a16:creationId xmlns:a16="http://schemas.microsoft.com/office/drawing/2014/main" id="{8D0569B4-920D-49B7-AF5A-1FF2B71BC0D8}"/>
            </a:ext>
          </a:extLst>
        </xdr:cNvPr>
        <xdr:cNvSpPr txBox="1"/>
      </xdr:nvSpPr>
      <xdr:spPr>
        <a:xfrm>
          <a:off x="9525" y="9525"/>
          <a:ext cx="57150" cy="102592"/>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spAutoFit/>
        </a:bodyPr>
        <a:lstStyle/>
        <a:p>
          <a:pPr algn="l" rtl="0"/>
          <a:r>
            <a:rPr lang="en-US" sz="100">
              <a:latin typeface="ZWAdobeF" pitchFamily="2" charset="0"/>
            </a:rPr>
            <a:t>X25A0T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21.bin"/><Relationship Id="rId4" Type="http://schemas.openxmlformats.org/officeDocument/2006/relationships/comments" Target="../comments9.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70"/>
  <sheetViews>
    <sheetView showGridLines="0" tabSelected="1" zoomScale="90" zoomScaleNormal="90" workbookViewId="0"/>
  </sheetViews>
  <sheetFormatPr defaultColWidth="9.140625" defaultRowHeight="12.75" x14ac:dyDescent="0.2"/>
  <cols>
    <col min="1" max="1" width="5.28515625" style="9" customWidth="1"/>
    <col min="2" max="2" width="111.28515625" style="10" customWidth="1"/>
    <col min="3" max="3" width="5.42578125" style="9" customWidth="1"/>
    <col min="4" max="4" width="22.85546875" style="11" customWidth="1"/>
    <col min="5" max="5" width="25.7109375" style="12" customWidth="1"/>
    <col min="6" max="6" width="14.85546875" style="12" customWidth="1"/>
    <col min="7" max="7" width="10.42578125" style="9" bestFit="1" customWidth="1"/>
    <col min="8" max="16384" width="9.140625" style="9"/>
  </cols>
  <sheetData>
    <row r="1" spans="1:7" ht="18" customHeight="1" x14ac:dyDescent="0.2">
      <c r="A1" s="14"/>
      <c r="B1" s="23"/>
      <c r="C1" s="14"/>
      <c r="D1" s="15"/>
    </row>
    <row r="2" spans="1:7" ht="18" customHeight="1" x14ac:dyDescent="0.2">
      <c r="A2" s="314" t="s">
        <v>142</v>
      </c>
      <c r="B2" s="315"/>
      <c r="C2" s="14"/>
      <c r="D2" s="15"/>
    </row>
    <row r="3" spans="1:7" ht="51.95" customHeight="1" x14ac:dyDescent="0.2">
      <c r="A3" s="315" t="s">
        <v>29</v>
      </c>
      <c r="B3" s="315"/>
      <c r="C3" s="14"/>
      <c r="D3" s="15"/>
      <c r="E3" s="140" t="s">
        <v>352</v>
      </c>
      <c r="F3" s="140" t="s">
        <v>351</v>
      </c>
    </row>
    <row r="4" spans="1:7" ht="15.75" customHeight="1" x14ac:dyDescent="0.2">
      <c r="A4" s="24"/>
      <c r="B4" s="109"/>
      <c r="C4" s="14"/>
      <c r="D4" s="15"/>
      <c r="E4" s="141" t="s">
        <v>138</v>
      </c>
      <c r="F4" s="141" t="s">
        <v>140</v>
      </c>
    </row>
    <row r="5" spans="1:7" ht="20.25" customHeight="1" x14ac:dyDescent="0.2">
      <c r="A5" s="312" t="s">
        <v>348</v>
      </c>
      <c r="B5" s="313"/>
      <c r="C5" s="14"/>
      <c r="D5" s="15"/>
      <c r="E5" s="231"/>
      <c r="F5" s="231"/>
    </row>
    <row r="6" spans="1:7" ht="104.1" customHeight="1" x14ac:dyDescent="0.2">
      <c r="A6" s="16" t="s">
        <v>28</v>
      </c>
      <c r="B6" s="195" t="s">
        <v>446</v>
      </c>
      <c r="C6" s="14"/>
      <c r="D6" s="15" t="s">
        <v>139</v>
      </c>
      <c r="E6" s="13">
        <f>'WP-Total Adj with Int'!D72</f>
        <v>-5052.1868730783463</v>
      </c>
      <c r="F6" s="13">
        <f>'WP-Total Adj with Int'!G72</f>
        <v>-6124.378621450508</v>
      </c>
      <c r="G6" s="14"/>
    </row>
    <row r="7" spans="1:7" ht="15.75" x14ac:dyDescent="0.2">
      <c r="A7" s="16"/>
      <c r="B7" s="195"/>
      <c r="C7" s="14"/>
      <c r="D7" s="15"/>
      <c r="E7" s="13"/>
      <c r="F7" s="13"/>
      <c r="G7" s="14"/>
    </row>
    <row r="8" spans="1:7" ht="15.75" x14ac:dyDescent="0.2">
      <c r="A8" s="312" t="s">
        <v>350</v>
      </c>
      <c r="B8" s="313"/>
      <c r="C8" s="17"/>
      <c r="D8" s="18" t="s">
        <v>139</v>
      </c>
      <c r="E8" s="19">
        <f>SUM(E1:E7)</f>
        <v>-5052.1868730783463</v>
      </c>
      <c r="F8" s="19">
        <f>F6</f>
        <v>-6124.378621450508</v>
      </c>
      <c r="G8" s="14"/>
    </row>
    <row r="9" spans="1:7" ht="15.75" x14ac:dyDescent="0.2">
      <c r="A9" s="194"/>
      <c r="B9" s="195"/>
      <c r="C9" s="17"/>
      <c r="D9" s="18"/>
      <c r="E9" s="19"/>
      <c r="F9" s="19"/>
      <c r="G9" s="14"/>
    </row>
    <row r="10" spans="1:7" ht="20.25" customHeight="1" x14ac:dyDescent="0.2">
      <c r="A10" s="312" t="s">
        <v>349</v>
      </c>
      <c r="B10" s="312"/>
      <c r="C10" s="14"/>
      <c r="D10" s="15"/>
      <c r="E10" s="231"/>
      <c r="F10" s="231"/>
    </row>
    <row r="11" spans="1:7" ht="102.6" customHeight="1" x14ac:dyDescent="0.2">
      <c r="A11" s="16" t="s">
        <v>155</v>
      </c>
      <c r="B11" s="195" t="s">
        <v>447</v>
      </c>
      <c r="C11" s="14"/>
      <c r="D11" s="15" t="s">
        <v>143</v>
      </c>
      <c r="E11" s="13">
        <f>'WP-Total Adj with Int'!H72</f>
        <v>-19693.196900606155</v>
      </c>
      <c r="F11" s="13">
        <f>'WP-Total Adj with Int'!K72</f>
        <v>-22892.937847012519</v>
      </c>
      <c r="G11" s="14"/>
    </row>
    <row r="12" spans="1:7" ht="18.600000000000001" customHeight="1" x14ac:dyDescent="0.2">
      <c r="A12" s="16"/>
      <c r="B12" s="195"/>
      <c r="C12" s="14"/>
      <c r="D12" s="15"/>
      <c r="E12" s="13"/>
      <c r="F12" s="13"/>
      <c r="G12" s="14"/>
    </row>
    <row r="13" spans="1:7" ht="15.75" x14ac:dyDescent="0.2">
      <c r="A13" s="312" t="s">
        <v>353</v>
      </c>
      <c r="B13" s="313"/>
      <c r="C13" s="17"/>
      <c r="D13" s="18" t="s">
        <v>143</v>
      </c>
      <c r="E13" s="19">
        <f>SUM(E11)</f>
        <v>-19693.196900606155</v>
      </c>
      <c r="F13" s="19">
        <f>F11</f>
        <v>-22892.937847012519</v>
      </c>
      <c r="G13" s="14"/>
    </row>
    <row r="14" spans="1:7" ht="15.75" x14ac:dyDescent="0.2">
      <c r="A14" s="194"/>
      <c r="B14" s="195"/>
      <c r="C14" s="17"/>
      <c r="D14" s="18"/>
      <c r="E14" s="19"/>
      <c r="F14" s="19"/>
      <c r="G14" s="14"/>
    </row>
    <row r="15" spans="1:7" ht="20.25" customHeight="1" x14ac:dyDescent="0.2">
      <c r="A15" s="312" t="s">
        <v>157</v>
      </c>
      <c r="B15" s="313"/>
      <c r="C15" s="14"/>
      <c r="D15" s="15"/>
    </row>
    <row r="16" spans="1:7" ht="15.75" x14ac:dyDescent="0.2">
      <c r="A16" s="16"/>
      <c r="B16" s="195"/>
      <c r="C16" s="14"/>
      <c r="D16" s="15"/>
      <c r="E16" s="13"/>
      <c r="F16" s="13"/>
    </row>
    <row r="17" spans="1:9" ht="103.5" customHeight="1" x14ac:dyDescent="0.2">
      <c r="A17" s="16" t="s">
        <v>296</v>
      </c>
      <c r="B17" s="195" t="s">
        <v>496</v>
      </c>
      <c r="C17" s="14"/>
      <c r="D17" s="15" t="s">
        <v>307</v>
      </c>
      <c r="E17" s="13">
        <f>'WP-Total Adj with Int'!L72</f>
        <v>-26614.125776827332</v>
      </c>
      <c r="F17" s="13">
        <f>'WP-Total Adj with Int'!O72</f>
        <v>-29429.573194734021</v>
      </c>
      <c r="G17" s="14"/>
    </row>
    <row r="18" spans="1:9" ht="15.75" x14ac:dyDescent="0.2">
      <c r="A18" s="16"/>
      <c r="B18" s="195"/>
      <c r="C18" s="14"/>
      <c r="D18" s="15"/>
      <c r="E18" s="13"/>
      <c r="F18" s="13"/>
      <c r="G18" s="14"/>
    </row>
    <row r="19" spans="1:9" ht="15.75" x14ac:dyDescent="0.2">
      <c r="A19" s="312" t="s">
        <v>354</v>
      </c>
      <c r="B19" s="313"/>
      <c r="C19" s="17"/>
      <c r="D19" s="18" t="s">
        <v>307</v>
      </c>
      <c r="E19" s="19">
        <f>SUM(E16:E18)</f>
        <v>-26614.125776827332</v>
      </c>
      <c r="F19" s="19">
        <f>F17</f>
        <v>-29429.573194734021</v>
      </c>
      <c r="G19" s="14"/>
    </row>
    <row r="20" spans="1:9" ht="15.75" x14ac:dyDescent="0.2">
      <c r="A20" s="194"/>
      <c r="B20" s="195"/>
      <c r="C20" s="17"/>
      <c r="D20" s="18"/>
      <c r="E20" s="19"/>
      <c r="F20" s="19"/>
      <c r="G20" s="14"/>
    </row>
    <row r="21" spans="1:9" ht="15.75" customHeight="1" x14ac:dyDescent="0.2">
      <c r="A21" s="194"/>
      <c r="B21" s="195"/>
      <c r="C21" s="17"/>
      <c r="D21" s="25"/>
      <c r="E21" s="13"/>
      <c r="F21" s="13"/>
    </row>
    <row r="22" spans="1:9" ht="20.25" customHeight="1" x14ac:dyDescent="0.2">
      <c r="A22" s="312" t="s">
        <v>299</v>
      </c>
      <c r="B22" s="313"/>
      <c r="C22" s="14"/>
      <c r="D22" s="15"/>
    </row>
    <row r="23" spans="1:9" ht="97.5" customHeight="1" x14ac:dyDescent="0.2">
      <c r="A23" s="16" t="s">
        <v>297</v>
      </c>
      <c r="B23" s="195" t="s">
        <v>448</v>
      </c>
      <c r="C23" s="14"/>
      <c r="D23" s="15" t="s">
        <v>298</v>
      </c>
      <c r="E23" s="13">
        <f>'WP-2020 TO2022 Sch4-TUTRR'!M75</f>
        <v>-31452.708923339844</v>
      </c>
      <c r="F23" s="13">
        <f>E23/E29*F29</f>
        <v>-33097.130727746742</v>
      </c>
    </row>
    <row r="24" spans="1:9" ht="15.75" x14ac:dyDescent="0.2">
      <c r="A24" s="16"/>
      <c r="B24" s="195"/>
      <c r="C24" s="14"/>
      <c r="D24" s="15"/>
      <c r="E24" s="13"/>
      <c r="F24" s="13"/>
    </row>
    <row r="25" spans="1:9" ht="95.45" customHeight="1" x14ac:dyDescent="0.2">
      <c r="A25" s="16" t="s">
        <v>431</v>
      </c>
      <c r="B25" s="195" t="s">
        <v>586</v>
      </c>
      <c r="C25" s="14"/>
      <c r="D25" s="15" t="s">
        <v>156</v>
      </c>
      <c r="E25" s="13">
        <f>'WP-2020 TO2022 Sch4-TUTRR'!M76</f>
        <v>-147932.6433596611</v>
      </c>
      <c r="F25" s="13">
        <f>E25/E29*F29</f>
        <v>-155666.91085684509</v>
      </c>
    </row>
    <row r="26" spans="1:9" ht="15.75" x14ac:dyDescent="0.2">
      <c r="A26" s="16"/>
      <c r="B26" s="195"/>
      <c r="C26" s="14"/>
      <c r="D26" s="15"/>
      <c r="E26" s="13"/>
      <c r="F26" s="13"/>
    </row>
    <row r="27" spans="1:9" ht="48.6" customHeight="1" x14ac:dyDescent="0.2">
      <c r="A27" s="16" t="s">
        <v>500</v>
      </c>
      <c r="B27" s="195" t="s">
        <v>585</v>
      </c>
      <c r="C27" s="14"/>
      <c r="D27" s="15" t="s">
        <v>503</v>
      </c>
      <c r="E27" s="13">
        <f>'WP-2020 TO2022 Sch4-TUTRR'!M77</f>
        <v>1999.4747860431701</v>
      </c>
      <c r="F27" s="13">
        <f>(E27/E$29)*F$29</f>
        <v>2104.0120436620623</v>
      </c>
    </row>
    <row r="28" spans="1:9" ht="15.6" customHeight="1" x14ac:dyDescent="0.2">
      <c r="A28" s="24"/>
      <c r="B28" s="195"/>
      <c r="C28" s="14"/>
      <c r="D28" s="15"/>
      <c r="E28" s="13"/>
      <c r="F28" s="13"/>
    </row>
    <row r="29" spans="1:9" ht="33.6" customHeight="1" x14ac:dyDescent="0.2">
      <c r="A29" s="312" t="s">
        <v>355</v>
      </c>
      <c r="B29" s="313"/>
      <c r="C29" s="17"/>
      <c r="D29" s="20" t="s">
        <v>504</v>
      </c>
      <c r="E29" s="19">
        <f>SUM(E23:E28)</f>
        <v>-177385.87749695778</v>
      </c>
      <c r="F29" s="19">
        <f>'WP-Total Adj with Int'!S72</f>
        <v>-186660.02954092977</v>
      </c>
      <c r="G29" s="14"/>
      <c r="H29" s="14"/>
      <c r="I29" s="14"/>
    </row>
    <row r="30" spans="1:9" ht="11.45" customHeight="1" x14ac:dyDescent="0.2">
      <c r="A30" s="194"/>
      <c r="B30" s="195"/>
      <c r="C30" s="17"/>
      <c r="D30" s="20"/>
      <c r="E30" s="19"/>
      <c r="F30" s="19"/>
      <c r="G30" s="14"/>
      <c r="H30" s="14"/>
      <c r="I30" s="14"/>
    </row>
    <row r="31" spans="1:9" ht="20.25" customHeight="1" x14ac:dyDescent="0.2">
      <c r="A31" s="312" t="s">
        <v>432</v>
      </c>
      <c r="B31" s="313"/>
      <c r="C31" s="14"/>
      <c r="D31" s="15"/>
    </row>
    <row r="32" spans="1:9" ht="97.5" customHeight="1" x14ac:dyDescent="0.2">
      <c r="A32" s="16" t="s">
        <v>501</v>
      </c>
      <c r="B32" s="195" t="s">
        <v>449</v>
      </c>
      <c r="C32" s="14"/>
      <c r="D32" s="15" t="s">
        <v>433</v>
      </c>
      <c r="E32" s="13">
        <f>'WP-2021 TO2023 Sch4-TUTRR'!M76</f>
        <v>-21892.477520227432</v>
      </c>
      <c r="F32" s="13">
        <f>E32/E36*F36</f>
        <v>-22250.522301277033</v>
      </c>
    </row>
    <row r="33" spans="1:10" ht="15.75" x14ac:dyDescent="0.2">
      <c r="A33" s="16"/>
      <c r="B33" s="195"/>
      <c r="C33" s="14"/>
      <c r="D33" s="15"/>
      <c r="E33" s="13"/>
      <c r="F33" s="13"/>
    </row>
    <row r="34" spans="1:10" ht="48.6" customHeight="1" x14ac:dyDescent="0.2">
      <c r="A34" s="16" t="s">
        <v>502</v>
      </c>
      <c r="B34" s="195" t="s">
        <v>497</v>
      </c>
      <c r="C34" s="14"/>
      <c r="D34" s="15" t="s">
        <v>505</v>
      </c>
      <c r="E34" s="13">
        <f>'WP-2021 TO2023 Sch4-TUTRR'!M77</f>
        <v>212.03383922576904</v>
      </c>
      <c r="F34" s="13">
        <f>(E34/E$36)*F$36</f>
        <v>215.50158788375231</v>
      </c>
      <c r="J34" s="26"/>
    </row>
    <row r="35" spans="1:10" ht="15.6" customHeight="1" x14ac:dyDescent="0.2">
      <c r="A35" s="24"/>
      <c r="B35" s="195"/>
      <c r="C35" s="14"/>
      <c r="D35" s="15"/>
      <c r="E35" s="13"/>
      <c r="F35" s="13"/>
    </row>
    <row r="36" spans="1:10" ht="33.6" customHeight="1" x14ac:dyDescent="0.2">
      <c r="A36" s="312" t="s">
        <v>498</v>
      </c>
      <c r="B36" s="313"/>
      <c r="C36" s="17"/>
      <c r="D36" s="20" t="s">
        <v>506</v>
      </c>
      <c r="E36" s="19">
        <f>SUM(E32:E35)</f>
        <v>-21680.443681001663</v>
      </c>
      <c r="F36" s="19">
        <f>'WP-Total Adj with Int'!W72</f>
        <v>-22035.020713393282</v>
      </c>
      <c r="G36" s="14"/>
      <c r="H36" s="14"/>
      <c r="I36" s="14"/>
    </row>
    <row r="37" spans="1:10" ht="15.75" customHeight="1" x14ac:dyDescent="0.2">
      <c r="A37" s="194"/>
      <c r="B37" s="195"/>
      <c r="C37" s="17"/>
      <c r="D37" s="20"/>
      <c r="E37" s="19"/>
      <c r="F37" s="19"/>
      <c r="G37" s="14"/>
      <c r="H37" s="14"/>
      <c r="I37" s="14"/>
    </row>
    <row r="38" spans="1:10" ht="12.75" customHeight="1" thickBot="1" x14ac:dyDescent="0.25">
      <c r="A38" s="24"/>
      <c r="B38" s="195"/>
      <c r="C38" s="14"/>
      <c r="D38" s="15"/>
      <c r="E38" s="13"/>
      <c r="F38" s="13"/>
    </row>
    <row r="39" spans="1:10" ht="21" customHeight="1" thickBot="1" x14ac:dyDescent="0.25">
      <c r="A39" s="310" t="s">
        <v>356</v>
      </c>
      <c r="B39" s="311"/>
      <c r="C39" s="21"/>
      <c r="D39" s="22" t="s">
        <v>507</v>
      </c>
      <c r="E39" s="142">
        <f>SUM(E8,E13,E19,E29,E36)</f>
        <v>-250425.83072847128</v>
      </c>
      <c r="F39" s="143">
        <f>SUM(F8,F13,F19,F29,F36)</f>
        <v>-267141.9399175201</v>
      </c>
      <c r="G39" s="14"/>
    </row>
    <row r="40" spans="1:10" ht="15.75" x14ac:dyDescent="0.2">
      <c r="A40" s="194"/>
      <c r="B40" s="195"/>
      <c r="C40" s="14"/>
      <c r="D40" s="15"/>
      <c r="E40" s="13"/>
      <c r="F40" s="13"/>
      <c r="G40" s="14"/>
    </row>
    <row r="41" spans="1:10" ht="15.75" x14ac:dyDescent="0.2">
      <c r="A41" s="24"/>
      <c r="B41" s="195"/>
      <c r="C41" s="14"/>
      <c r="D41" s="15"/>
      <c r="E41" s="13"/>
      <c r="F41" s="13"/>
    </row>
    <row r="42" spans="1:10" ht="21" x14ac:dyDescent="0.2">
      <c r="A42" s="24" t="s">
        <v>357</v>
      </c>
      <c r="B42" s="144"/>
      <c r="C42" s="145"/>
      <c r="D42" s="146"/>
      <c r="E42" s="13"/>
      <c r="F42" s="13"/>
      <c r="G42" s="26"/>
    </row>
    <row r="43" spans="1:10" ht="57.6" customHeight="1" x14ac:dyDescent="0.2">
      <c r="A43" s="313" t="s">
        <v>499</v>
      </c>
      <c r="B43" s="313"/>
      <c r="C43" s="313"/>
      <c r="D43" s="313"/>
      <c r="E43" s="13"/>
      <c r="F43" s="13"/>
    </row>
    <row r="44" spans="1:10" ht="29.25" customHeight="1" x14ac:dyDescent="0.2">
      <c r="A44" s="14"/>
      <c r="B44" s="23"/>
      <c r="C44" s="14"/>
      <c r="D44" s="15"/>
      <c r="E44" s="13"/>
      <c r="F44" s="13"/>
    </row>
    <row r="45" spans="1:10" x14ac:dyDescent="0.2">
      <c r="A45" s="14"/>
      <c r="B45" s="30"/>
      <c r="C45" s="30"/>
      <c r="D45" s="15"/>
    </row>
    <row r="46" spans="1:10" ht="15" x14ac:dyDescent="0.25">
      <c r="A46" s="14"/>
      <c r="B46" s="308"/>
      <c r="C46" s="309"/>
      <c r="D46" s="309"/>
      <c r="E46" s="309"/>
      <c r="F46" s="309"/>
      <c r="G46" s="309"/>
      <c r="H46" s="309"/>
    </row>
    <row r="47" spans="1:10" ht="15" x14ac:dyDescent="0.25">
      <c r="B47" s="308"/>
      <c r="C47" s="309"/>
      <c r="D47" s="309"/>
      <c r="E47" s="309"/>
      <c r="F47" s="309"/>
      <c r="G47" s="309"/>
      <c r="H47" s="309"/>
    </row>
    <row r="48" spans="1:10" x14ac:dyDescent="0.2">
      <c r="B48" s="30"/>
      <c r="C48" s="30"/>
    </row>
    <row r="70" spans="6:6" x14ac:dyDescent="0.2">
      <c r="F70" s="12">
        <v>8</v>
      </c>
    </row>
  </sheetData>
  <mergeCells count="16">
    <mergeCell ref="B47:H47"/>
    <mergeCell ref="A39:B39"/>
    <mergeCell ref="A29:B29"/>
    <mergeCell ref="A22:B22"/>
    <mergeCell ref="A2:B2"/>
    <mergeCell ref="A3:B3"/>
    <mergeCell ref="A19:B19"/>
    <mergeCell ref="A15:B15"/>
    <mergeCell ref="B46:H46"/>
    <mergeCell ref="A5:B5"/>
    <mergeCell ref="A8:B8"/>
    <mergeCell ref="A10:B10"/>
    <mergeCell ref="A13:B13"/>
    <mergeCell ref="A31:B31"/>
    <mergeCell ref="A36:B36"/>
    <mergeCell ref="A43:D43"/>
  </mergeCells>
  <printOptions horizontalCentered="1"/>
  <pageMargins left="0.7" right="0.7" top="0.75" bottom="0.75" header="0.3" footer="0.3"/>
  <pageSetup scale="67" fitToHeight="0" orientation="landscape" r:id="rId1"/>
  <headerFooter>
    <oddHeader>&amp;R&amp;8 TO2024 Annual Update
Attachment 4
WP-Schedule 3-One Time Adj Prior Period
Page &amp;P of &amp;N</oddHeader>
    <oddFooter>&amp;R&amp;A</oddFooter>
  </headerFooter>
  <rowBreaks count="1" manualBreakCount="1">
    <brk id="21" max="5"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B640A-1A75-48B6-81EE-B5C73AD0D0F3}">
  <sheetPr>
    <tabColor rgb="FF99CCFF"/>
  </sheetPr>
  <dimension ref="A1:O172"/>
  <sheetViews>
    <sheetView zoomScaleNormal="100" zoomScalePageLayoutView="80" workbookViewId="0"/>
  </sheetViews>
  <sheetFormatPr defaultRowHeight="12.75" x14ac:dyDescent="0.2"/>
  <cols>
    <col min="1" max="2" width="4.5703125" customWidth="1"/>
    <col min="3" max="3" width="18.5703125" customWidth="1"/>
    <col min="4" max="4" width="10.42578125" bestFit="1" customWidth="1"/>
    <col min="5" max="7" width="15.5703125" customWidth="1"/>
    <col min="8" max="8" width="24.5703125" customWidth="1"/>
    <col min="9" max="9" width="4.5703125" customWidth="1"/>
    <col min="10" max="10" width="15.5703125" customWidth="1"/>
    <col min="11" max="11" width="4.140625" customWidth="1"/>
    <col min="12" max="12" width="18" customWidth="1"/>
    <col min="13" max="13" width="6.140625" customWidth="1"/>
    <col min="14" max="14" width="15.42578125" customWidth="1"/>
  </cols>
  <sheetData>
    <row r="1" spans="1:14" x14ac:dyDescent="0.2">
      <c r="A1" s="159" t="s">
        <v>35</v>
      </c>
    </row>
    <row r="3" spans="1:14" x14ac:dyDescent="0.2">
      <c r="B3" s="204" t="s">
        <v>36</v>
      </c>
      <c r="L3" s="164"/>
    </row>
    <row r="4" spans="1:14" x14ac:dyDescent="0.2">
      <c r="B4" s="205"/>
      <c r="F4" s="164" t="s">
        <v>37</v>
      </c>
      <c r="G4" s="164"/>
      <c r="H4" s="164" t="s">
        <v>38</v>
      </c>
      <c r="L4" s="164"/>
      <c r="N4" s="164"/>
    </row>
    <row r="5" spans="1:14" x14ac:dyDescent="0.2">
      <c r="A5" s="165" t="s">
        <v>39</v>
      </c>
      <c r="B5" s="180"/>
      <c r="C5" s="188" t="s">
        <v>40</v>
      </c>
      <c r="F5" s="166" t="s">
        <v>41</v>
      </c>
      <c r="G5" s="166" t="s">
        <v>42</v>
      </c>
      <c r="H5" s="166" t="s">
        <v>43</v>
      </c>
      <c r="J5" s="166" t="s">
        <v>32</v>
      </c>
      <c r="L5" s="166"/>
      <c r="N5" s="166"/>
    </row>
    <row r="6" spans="1:14" x14ac:dyDescent="0.2">
      <c r="A6" s="164">
        <v>1</v>
      </c>
      <c r="C6" s="201" t="s">
        <v>44</v>
      </c>
      <c r="F6" t="s">
        <v>45</v>
      </c>
      <c r="H6" s="201" t="s">
        <v>450</v>
      </c>
      <c r="J6" s="170">
        <v>8939630709.3337479</v>
      </c>
      <c r="L6" s="166"/>
      <c r="N6" s="170"/>
    </row>
    <row r="7" spans="1:14" x14ac:dyDescent="0.2">
      <c r="A7" s="164">
        <f>A6+1</f>
        <v>2</v>
      </c>
      <c r="C7" s="201" t="s">
        <v>46</v>
      </c>
      <c r="F7" t="s">
        <v>47</v>
      </c>
      <c r="H7" s="201" t="s">
        <v>451</v>
      </c>
      <c r="J7" s="170">
        <v>289044062.07088608</v>
      </c>
      <c r="L7" s="166"/>
      <c r="N7" s="170"/>
    </row>
    <row r="8" spans="1:14" x14ac:dyDescent="0.2">
      <c r="A8" s="164">
        <f>A7+1</f>
        <v>3</v>
      </c>
      <c r="C8" s="201" t="s">
        <v>48</v>
      </c>
      <c r="F8" t="s">
        <v>47</v>
      </c>
      <c r="H8" t="s">
        <v>452</v>
      </c>
      <c r="J8" s="170">
        <v>9942155</v>
      </c>
      <c r="L8" s="166"/>
      <c r="N8" s="170"/>
    </row>
    <row r="9" spans="1:14" x14ac:dyDescent="0.2">
      <c r="A9" s="164">
        <f>A8+1</f>
        <v>4</v>
      </c>
      <c r="C9" s="201" t="s">
        <v>49</v>
      </c>
      <c r="F9" t="s">
        <v>47</v>
      </c>
      <c r="H9" s="169" t="s">
        <v>453</v>
      </c>
      <c r="J9" s="170">
        <v>0</v>
      </c>
      <c r="L9" s="166"/>
      <c r="N9" s="170"/>
    </row>
    <row r="10" spans="1:14" x14ac:dyDescent="0.2">
      <c r="A10" s="164"/>
      <c r="C10" s="201"/>
      <c r="J10" s="170"/>
      <c r="L10" s="166"/>
      <c r="N10" s="170"/>
    </row>
    <row r="11" spans="1:14" x14ac:dyDescent="0.2">
      <c r="A11" s="164"/>
      <c r="C11" s="206" t="s">
        <v>50</v>
      </c>
      <c r="J11" s="170"/>
      <c r="L11" s="166"/>
      <c r="N11" s="170"/>
    </row>
    <row r="12" spans="1:14" x14ac:dyDescent="0.2">
      <c r="A12" s="164">
        <f>A9+1</f>
        <v>5</v>
      </c>
      <c r="C12" s="176" t="s">
        <v>51</v>
      </c>
      <c r="F12" t="s">
        <v>45</v>
      </c>
      <c r="H12" s="201" t="s">
        <v>454</v>
      </c>
      <c r="J12" s="170">
        <v>21481204.872946855</v>
      </c>
      <c r="L12" s="166"/>
      <c r="N12" s="170"/>
    </row>
    <row r="13" spans="1:14" x14ac:dyDescent="0.2">
      <c r="A13" s="164">
        <f>A12+1</f>
        <v>6</v>
      </c>
      <c r="C13" s="180" t="s">
        <v>52</v>
      </c>
      <c r="F13" t="s">
        <v>45</v>
      </c>
      <c r="H13" s="201" t="s">
        <v>455</v>
      </c>
      <c r="J13" s="170">
        <v>21290573.843281552</v>
      </c>
      <c r="L13" s="166"/>
      <c r="N13" s="170"/>
    </row>
    <row r="14" spans="1:14" x14ac:dyDescent="0.2">
      <c r="A14" s="164">
        <f>A13+1</f>
        <v>7</v>
      </c>
      <c r="C14" s="176" t="s">
        <v>53</v>
      </c>
      <c r="F14" s="169" t="s">
        <v>144</v>
      </c>
      <c r="H14" t="s">
        <v>456</v>
      </c>
      <c r="J14" s="172">
        <v>25202207.611357838</v>
      </c>
      <c r="L14" s="166"/>
      <c r="N14" s="170"/>
    </row>
    <row r="15" spans="1:14" x14ac:dyDescent="0.2">
      <c r="A15" s="164">
        <f>A14+1</f>
        <v>8</v>
      </c>
      <c r="C15" s="176" t="s">
        <v>54</v>
      </c>
      <c r="H15" t="str">
        <f>"Line "&amp;A12&amp;" + Line "&amp;A13&amp;" + Line "&amp;A14&amp;""</f>
        <v>Line 5 + Line 6 + Line 7</v>
      </c>
      <c r="J15" s="168">
        <f>SUM(J12:J14)</f>
        <v>67973986.327586249</v>
      </c>
      <c r="L15" s="166"/>
      <c r="N15" s="170"/>
    </row>
    <row r="16" spans="1:14" x14ac:dyDescent="0.2">
      <c r="A16" s="164"/>
      <c r="C16" s="176"/>
      <c r="J16" s="170"/>
      <c r="L16" s="166"/>
      <c r="N16" s="170"/>
    </row>
    <row r="17" spans="1:14" x14ac:dyDescent="0.2">
      <c r="A17" s="164"/>
      <c r="C17" s="207" t="s">
        <v>55</v>
      </c>
      <c r="J17" s="170"/>
      <c r="L17" s="166"/>
      <c r="N17" s="170"/>
    </row>
    <row r="18" spans="1:14" x14ac:dyDescent="0.2">
      <c r="A18" s="164">
        <f>A15+1</f>
        <v>9</v>
      </c>
      <c r="C18" s="176" t="s">
        <v>56</v>
      </c>
      <c r="F18" t="s">
        <v>45</v>
      </c>
      <c r="G18" t="s">
        <v>57</v>
      </c>
      <c r="H18" s="201" t="s">
        <v>472</v>
      </c>
      <c r="J18" s="170">
        <v>-1839774172.2805853</v>
      </c>
      <c r="L18" s="166"/>
      <c r="N18" s="170"/>
    </row>
    <row r="19" spans="1:14" x14ac:dyDescent="0.2">
      <c r="A19" s="164">
        <f>A18+1</f>
        <v>10</v>
      </c>
      <c r="C19" s="176" t="s">
        <v>58</v>
      </c>
      <c r="F19" t="s">
        <v>47</v>
      </c>
      <c r="G19" t="s">
        <v>57</v>
      </c>
      <c r="H19" s="201" t="s">
        <v>473</v>
      </c>
      <c r="J19" s="170">
        <v>0</v>
      </c>
      <c r="L19" s="166"/>
      <c r="N19" s="170"/>
    </row>
    <row r="20" spans="1:14" x14ac:dyDescent="0.2">
      <c r="A20" s="164">
        <f>A19+1</f>
        <v>11</v>
      </c>
      <c r="C20" s="176" t="s">
        <v>59</v>
      </c>
      <c r="D20" s="44"/>
      <c r="F20" t="s">
        <v>47</v>
      </c>
      <c r="G20" t="s">
        <v>57</v>
      </c>
      <c r="H20" s="201" t="s">
        <v>474</v>
      </c>
      <c r="J20" s="177">
        <v>-105831142.34877566</v>
      </c>
      <c r="L20" s="166"/>
      <c r="N20" s="170"/>
    </row>
    <row r="21" spans="1:14" x14ac:dyDescent="0.2">
      <c r="A21" s="164">
        <f>A20+1</f>
        <v>12</v>
      </c>
      <c r="C21" s="46" t="s">
        <v>60</v>
      </c>
      <c r="D21" s="44"/>
      <c r="H21" t="str">
        <f>"Line "&amp;A18&amp;" + Line "&amp;A19&amp;" + Line "&amp;A20&amp;""</f>
        <v>Line 9 + Line 10 + Line 11</v>
      </c>
      <c r="J21" s="170">
        <f>SUM(J18:J20)</f>
        <v>-1945605314.6293609</v>
      </c>
      <c r="L21" s="166"/>
      <c r="N21" s="170"/>
    </row>
    <row r="22" spans="1:14" x14ac:dyDescent="0.2">
      <c r="A22" s="164"/>
      <c r="C22" s="169"/>
      <c r="J22" s="170"/>
      <c r="L22" s="166"/>
      <c r="N22" s="170"/>
    </row>
    <row r="23" spans="1:14" x14ac:dyDescent="0.2">
      <c r="A23" s="164">
        <f>A21+1</f>
        <v>13</v>
      </c>
      <c r="C23" s="208" t="s">
        <v>61</v>
      </c>
      <c r="F23" t="s">
        <v>47</v>
      </c>
      <c r="H23" s="201" t="s">
        <v>475</v>
      </c>
      <c r="J23" s="170">
        <v>-1632853304.2368784</v>
      </c>
      <c r="L23" s="166"/>
      <c r="N23" s="170"/>
    </row>
    <row r="24" spans="1:14" x14ac:dyDescent="0.2">
      <c r="A24" s="164">
        <f>A23+1</f>
        <v>14</v>
      </c>
      <c r="C24" s="201" t="s">
        <v>62</v>
      </c>
      <c r="F24" t="s">
        <v>45</v>
      </c>
      <c r="H24" s="201" t="s">
        <v>476</v>
      </c>
      <c r="J24" s="170">
        <v>602185189.09144735</v>
      </c>
      <c r="L24" s="166"/>
      <c r="N24" s="170"/>
    </row>
    <row r="25" spans="1:14" x14ac:dyDescent="0.2">
      <c r="A25" s="164">
        <f>A24+1</f>
        <v>15</v>
      </c>
      <c r="C25" s="208" t="s">
        <v>63</v>
      </c>
      <c r="F25" t="s">
        <v>47</v>
      </c>
      <c r="G25" t="s">
        <v>57</v>
      </c>
      <c r="H25" s="201" t="s">
        <v>477</v>
      </c>
      <c r="J25" s="170">
        <v>-50661304.942000374</v>
      </c>
      <c r="L25" s="166"/>
      <c r="N25" s="170"/>
    </row>
    <row r="26" spans="1:14" x14ac:dyDescent="0.2">
      <c r="A26" s="164">
        <f>A25+1</f>
        <v>16</v>
      </c>
      <c r="C26" s="201" t="s">
        <v>64</v>
      </c>
      <c r="H26" s="169" t="s">
        <v>478</v>
      </c>
      <c r="J26" s="170">
        <v>-192838264.25105909</v>
      </c>
      <c r="L26" s="166"/>
      <c r="N26" s="170"/>
    </row>
    <row r="27" spans="1:14" x14ac:dyDescent="0.2">
      <c r="A27" s="164">
        <f>A26+1</f>
        <v>17</v>
      </c>
      <c r="C27" s="208" t="s">
        <v>65</v>
      </c>
      <c r="F27" t="s">
        <v>47</v>
      </c>
      <c r="H27" s="201" t="s">
        <v>479</v>
      </c>
      <c r="J27" s="170">
        <v>0</v>
      </c>
      <c r="L27" s="166"/>
      <c r="N27" s="170"/>
    </row>
    <row r="28" spans="1:14" x14ac:dyDescent="0.2">
      <c r="A28" s="164"/>
      <c r="C28" s="208"/>
      <c r="L28" s="166"/>
      <c r="N28" s="170"/>
    </row>
    <row r="29" spans="1:14" x14ac:dyDescent="0.2">
      <c r="A29" s="164">
        <f>A27+1</f>
        <v>18</v>
      </c>
      <c r="C29" t="s">
        <v>66</v>
      </c>
      <c r="H29" t="str">
        <f>"L"&amp;A6&amp;"+L"&amp;A7&amp;"+L"&amp;A8&amp;"+L"&amp;A9&amp;"+L"&amp;A15&amp;"+L"&amp;A21&amp;"+"</f>
        <v>L1+L2+L3+L4+L8+L12+</v>
      </c>
      <c r="J29" s="168">
        <f>J6+ J7+J8+J9+J15+J21+J23+J24+J25+J26+J27</f>
        <v>6086817913.76437</v>
      </c>
      <c r="L29" s="166"/>
      <c r="N29" s="170"/>
    </row>
    <row r="30" spans="1:14" x14ac:dyDescent="0.2">
      <c r="A30" s="164"/>
      <c r="H30" t="str">
        <f>"L"&amp;A23&amp;"+L"&amp;A24&amp;"+L"&amp;A25&amp;"+L"&amp;A26&amp;"+L"&amp;A27&amp;""</f>
        <v>L13+L14+L15+L16+L17</v>
      </c>
      <c r="J30" s="170"/>
      <c r="L30" s="166"/>
      <c r="N30" s="170"/>
    </row>
    <row r="31" spans="1:14" x14ac:dyDescent="0.2">
      <c r="A31" s="164"/>
      <c r="B31" s="159" t="s">
        <v>67</v>
      </c>
      <c r="J31" s="170"/>
      <c r="L31" s="166"/>
      <c r="N31" s="170"/>
    </row>
    <row r="32" spans="1:14" x14ac:dyDescent="0.2">
      <c r="A32" s="165" t="s">
        <v>39</v>
      </c>
      <c r="C32" s="159"/>
      <c r="J32" s="170"/>
      <c r="L32" s="166"/>
      <c r="N32" s="170"/>
    </row>
    <row r="33" spans="1:14" x14ac:dyDescent="0.2">
      <c r="A33" s="164">
        <f>A29+1</f>
        <v>19</v>
      </c>
      <c r="B33" s="169"/>
      <c r="C33" s="169" t="s">
        <v>68</v>
      </c>
      <c r="D33" s="169"/>
      <c r="E33" s="169"/>
      <c r="F33" s="169"/>
      <c r="G33" s="169" t="s">
        <v>69</v>
      </c>
      <c r="H33" s="169" t="str">
        <f>"Instruction 1, Line "&amp;B98&amp;""</f>
        <v>Instruction 1, Line j</v>
      </c>
      <c r="I33" s="169"/>
      <c r="J33" s="209">
        <f>E98</f>
        <v>7.5731353457413608E-2</v>
      </c>
      <c r="L33" s="166"/>
      <c r="M33" s="179"/>
      <c r="N33" s="170"/>
    </row>
    <row r="34" spans="1:14" x14ac:dyDescent="0.2">
      <c r="A34" s="164">
        <f>A33+1</f>
        <v>20</v>
      </c>
      <c r="C34" s="169" t="s">
        <v>70</v>
      </c>
      <c r="D34" s="169"/>
      <c r="E34" s="169"/>
      <c r="F34" s="169"/>
      <c r="G34" s="169"/>
      <c r="H34" t="str">
        <f>"Line "&amp;A29&amp;" * Line "&amp;A33&amp;""</f>
        <v>Line 18 * Line 19</v>
      </c>
      <c r="J34" s="174">
        <f>J29*J33</f>
        <v>460962958.85820639</v>
      </c>
      <c r="L34" s="166"/>
      <c r="N34" s="170"/>
    </row>
    <row r="35" spans="1:14" x14ac:dyDescent="0.2">
      <c r="A35" s="164"/>
      <c r="B35" s="180"/>
      <c r="L35" s="166"/>
      <c r="N35" s="170"/>
    </row>
    <row r="36" spans="1:14" x14ac:dyDescent="0.2">
      <c r="A36" s="164"/>
      <c r="B36" s="159" t="s">
        <v>71</v>
      </c>
      <c r="L36" s="166"/>
      <c r="N36" s="170"/>
    </row>
    <row r="37" spans="1:14" x14ac:dyDescent="0.2">
      <c r="A37" s="164"/>
      <c r="B37" s="180"/>
      <c r="L37" s="166"/>
      <c r="N37" s="170"/>
    </row>
    <row r="38" spans="1:14" x14ac:dyDescent="0.2">
      <c r="A38" s="164">
        <f>A34+1</f>
        <v>21</v>
      </c>
      <c r="C38" s="169" t="s">
        <v>72</v>
      </c>
      <c r="J38" s="168">
        <f>(((J29*J42) + J45) *(J43/(1-J43)))+(J44/(1-J43))</f>
        <v>91515958.009229451</v>
      </c>
      <c r="L38" s="166"/>
      <c r="N38" s="170"/>
    </row>
    <row r="39" spans="1:14" x14ac:dyDescent="0.2">
      <c r="A39" s="164"/>
      <c r="J39" s="169"/>
      <c r="L39" s="166"/>
      <c r="N39" s="170"/>
    </row>
    <row r="40" spans="1:14" x14ac:dyDescent="0.2">
      <c r="A40" s="164"/>
      <c r="D40" t="s">
        <v>73</v>
      </c>
      <c r="L40" s="166"/>
      <c r="N40" s="170"/>
    </row>
    <row r="41" spans="1:14" x14ac:dyDescent="0.2">
      <c r="A41" s="164">
        <f>A38+1</f>
        <v>22</v>
      </c>
      <c r="D41" s="180" t="s">
        <v>74</v>
      </c>
      <c r="H41" t="str">
        <f>"Line "&amp;A29&amp;""</f>
        <v>Line 18</v>
      </c>
      <c r="J41" s="168">
        <f>J29</f>
        <v>6086817913.76437</v>
      </c>
      <c r="L41" s="166"/>
      <c r="N41" s="170"/>
    </row>
    <row r="42" spans="1:14" x14ac:dyDescent="0.2">
      <c r="A42" s="164">
        <f>A41+1</f>
        <v>23</v>
      </c>
      <c r="D42" s="176" t="s">
        <v>75</v>
      </c>
      <c r="G42" s="169" t="s">
        <v>76</v>
      </c>
      <c r="H42" s="169" t="str">
        <f>"Instruction 1, Line "&amp;B103&amp;""</f>
        <v>Instruction 1, Line k</v>
      </c>
      <c r="J42" s="209">
        <f>E103</f>
        <v>5.3927439169434502E-2</v>
      </c>
      <c r="L42" s="166"/>
      <c r="M42" s="179"/>
      <c r="N42" s="170"/>
    </row>
    <row r="43" spans="1:14" x14ac:dyDescent="0.2">
      <c r="A43" s="164">
        <f>A42+1</f>
        <v>24</v>
      </c>
      <c r="D43" s="180" t="s">
        <v>77</v>
      </c>
      <c r="H43" t="s">
        <v>457</v>
      </c>
      <c r="J43" s="179">
        <v>0.27983599999999997</v>
      </c>
      <c r="L43" s="166"/>
      <c r="M43" s="179"/>
      <c r="N43" s="170"/>
    </row>
    <row r="44" spans="1:14" x14ac:dyDescent="0.2">
      <c r="A44" s="164">
        <f>A43+1</f>
        <v>25</v>
      </c>
      <c r="D44" s="180" t="s">
        <v>78</v>
      </c>
      <c r="H44" t="s">
        <v>458</v>
      </c>
      <c r="J44" s="170">
        <v>-27044842</v>
      </c>
      <c r="L44" s="166"/>
      <c r="N44" s="170"/>
    </row>
    <row r="45" spans="1:14" x14ac:dyDescent="0.2">
      <c r="A45" s="164">
        <f>A44+1</f>
        <v>26</v>
      </c>
      <c r="D45" s="180" t="s">
        <v>79</v>
      </c>
      <c r="H45" t="s">
        <v>459</v>
      </c>
      <c r="J45" s="187">
        <v>3917123</v>
      </c>
      <c r="L45" s="166"/>
      <c r="N45" s="170"/>
    </row>
    <row r="46" spans="1:14" x14ac:dyDescent="0.2">
      <c r="A46" s="164"/>
      <c r="B46" s="180"/>
      <c r="L46" s="166"/>
      <c r="N46" s="170"/>
    </row>
    <row r="47" spans="1:14" x14ac:dyDescent="0.2">
      <c r="A47" s="164"/>
      <c r="B47" s="159" t="s">
        <v>80</v>
      </c>
      <c r="L47" s="166"/>
      <c r="N47" s="170"/>
    </row>
    <row r="48" spans="1:14" x14ac:dyDescent="0.2">
      <c r="A48" s="164">
        <f>A45+1</f>
        <v>27</v>
      </c>
      <c r="B48" s="180"/>
      <c r="C48" t="s">
        <v>81</v>
      </c>
      <c r="H48" t="s">
        <v>460</v>
      </c>
      <c r="J48" s="170">
        <v>112781173.69267865</v>
      </c>
      <c r="L48" s="166"/>
      <c r="N48" s="170"/>
    </row>
    <row r="49" spans="1:14" x14ac:dyDescent="0.2">
      <c r="A49" s="164">
        <f t="shared" ref="A49:A59" si="0">A48+1</f>
        <v>28</v>
      </c>
      <c r="B49" s="180"/>
      <c r="C49" s="169" t="s">
        <v>82</v>
      </c>
      <c r="H49" t="s">
        <v>461</v>
      </c>
      <c r="J49" s="168">
        <v>88836487.198184073</v>
      </c>
      <c r="L49" s="166"/>
      <c r="N49" s="170"/>
    </row>
    <row r="50" spans="1:14" x14ac:dyDescent="0.2">
      <c r="A50" s="164">
        <f>A49+1</f>
        <v>29</v>
      </c>
      <c r="B50" s="180"/>
      <c r="C50" t="s">
        <v>83</v>
      </c>
      <c r="H50" t="s">
        <v>462</v>
      </c>
      <c r="J50" s="170">
        <v>4075483.5901751588</v>
      </c>
      <c r="L50" s="166"/>
      <c r="N50" s="170"/>
    </row>
    <row r="51" spans="1:14" x14ac:dyDescent="0.2">
      <c r="A51" s="164">
        <f t="shared" si="0"/>
        <v>30</v>
      </c>
      <c r="B51" s="180"/>
      <c r="C51" s="169" t="s">
        <v>84</v>
      </c>
      <c r="H51" t="s">
        <v>463</v>
      </c>
      <c r="J51" s="170">
        <v>255157633.3971031</v>
      </c>
      <c r="L51" s="166"/>
      <c r="N51" s="170"/>
    </row>
    <row r="52" spans="1:14" x14ac:dyDescent="0.2">
      <c r="A52" s="164">
        <f t="shared" si="0"/>
        <v>31</v>
      </c>
      <c r="B52" s="180"/>
      <c r="C52" s="169" t="s">
        <v>85</v>
      </c>
      <c r="H52" t="s">
        <v>464</v>
      </c>
      <c r="J52" s="170">
        <v>0</v>
      </c>
      <c r="L52" s="166"/>
      <c r="N52" s="170"/>
    </row>
    <row r="53" spans="1:14" x14ac:dyDescent="0.2">
      <c r="A53" s="164">
        <f t="shared" si="0"/>
        <v>32</v>
      </c>
      <c r="B53" s="180"/>
      <c r="C53" s="169" t="s">
        <v>86</v>
      </c>
      <c r="H53" t="s">
        <v>465</v>
      </c>
      <c r="J53" s="170">
        <v>66058181.16746673</v>
      </c>
      <c r="L53" s="166"/>
      <c r="N53" s="170"/>
    </row>
    <row r="54" spans="1:14" x14ac:dyDescent="0.2">
      <c r="A54" s="164">
        <f t="shared" si="0"/>
        <v>33</v>
      </c>
      <c r="B54" s="180"/>
      <c r="C54" t="s">
        <v>87</v>
      </c>
      <c r="G54" s="169"/>
      <c r="H54" t="s">
        <v>466</v>
      </c>
      <c r="J54" s="170">
        <v>-54094032.244774804</v>
      </c>
      <c r="L54" s="166"/>
      <c r="N54" s="170"/>
    </row>
    <row r="55" spans="1:14" x14ac:dyDescent="0.2">
      <c r="A55" s="164">
        <f t="shared" si="0"/>
        <v>34</v>
      </c>
      <c r="B55" s="180"/>
      <c r="C55" t="s">
        <v>88</v>
      </c>
      <c r="H55" t="str">
        <f>"Line "&amp;A34&amp;""</f>
        <v>Line 20</v>
      </c>
      <c r="J55" s="168">
        <f>J34</f>
        <v>460962958.85820639</v>
      </c>
      <c r="L55" s="166"/>
      <c r="N55" s="170"/>
    </row>
    <row r="56" spans="1:14" x14ac:dyDescent="0.2">
      <c r="A56" s="164">
        <f t="shared" si="0"/>
        <v>35</v>
      </c>
      <c r="B56" s="180"/>
      <c r="C56" t="s">
        <v>89</v>
      </c>
      <c r="H56" t="str">
        <f>"Line "&amp;A38&amp;""</f>
        <v>Line 21</v>
      </c>
      <c r="J56" s="174">
        <f>J38</f>
        <v>91515958.009229451</v>
      </c>
      <c r="L56" s="166"/>
      <c r="N56" s="170"/>
    </row>
    <row r="57" spans="1:14" x14ac:dyDescent="0.2">
      <c r="A57" s="164">
        <f t="shared" si="0"/>
        <v>36</v>
      </c>
      <c r="B57" s="180"/>
      <c r="C57" s="169" t="s">
        <v>90</v>
      </c>
      <c r="H57" t="s">
        <v>467</v>
      </c>
      <c r="J57" s="187">
        <v>0</v>
      </c>
      <c r="L57" s="166"/>
      <c r="N57" s="170"/>
    </row>
    <row r="58" spans="1:14" x14ac:dyDescent="0.2">
      <c r="A58" s="164">
        <f t="shared" si="0"/>
        <v>37</v>
      </c>
      <c r="B58" s="180"/>
      <c r="C58" s="48" t="s">
        <v>91</v>
      </c>
      <c r="D58" s="48"/>
      <c r="H58" t="s">
        <v>468</v>
      </c>
      <c r="J58" s="177">
        <v>0</v>
      </c>
      <c r="L58" s="166"/>
      <c r="N58" s="170"/>
    </row>
    <row r="59" spans="1:14" x14ac:dyDescent="0.2">
      <c r="A59" s="164">
        <f t="shared" si="0"/>
        <v>38</v>
      </c>
      <c r="B59" s="180"/>
      <c r="C59" s="169" t="s">
        <v>92</v>
      </c>
      <c r="H59" t="str">
        <f>"Sum Line "&amp;A48&amp;" to Line "&amp;A58&amp;""</f>
        <v>Sum Line 27 to Line 37</v>
      </c>
      <c r="J59" s="168">
        <f>SUM(J48:J58)</f>
        <v>1025293843.6682687</v>
      </c>
      <c r="L59" s="166"/>
      <c r="N59" s="170"/>
    </row>
    <row r="60" spans="1:14" x14ac:dyDescent="0.2">
      <c r="A60" s="164"/>
      <c r="B60" s="180"/>
      <c r="J60" s="170"/>
      <c r="L60" s="166"/>
      <c r="N60" s="170"/>
    </row>
    <row r="61" spans="1:14" ht="12.75" customHeight="1" x14ac:dyDescent="0.2">
      <c r="A61" s="164">
        <f>A59+1</f>
        <v>39</v>
      </c>
      <c r="B61" s="180"/>
      <c r="C61" s="169" t="s">
        <v>93</v>
      </c>
      <c r="H61" t="s">
        <v>480</v>
      </c>
      <c r="J61" s="170">
        <v>25263750.677767433</v>
      </c>
      <c r="L61" s="166"/>
      <c r="N61" s="170"/>
    </row>
    <row r="62" spans="1:14" ht="12.75" customHeight="1" x14ac:dyDescent="0.2">
      <c r="A62" s="164" t="s">
        <v>148</v>
      </c>
      <c r="B62" s="169"/>
      <c r="C62" s="169" t="s">
        <v>149</v>
      </c>
      <c r="D62" s="169"/>
      <c r="E62" s="169"/>
      <c r="F62" s="169"/>
      <c r="G62" s="169"/>
      <c r="H62" s="169" t="s">
        <v>150</v>
      </c>
      <c r="I62" s="169"/>
      <c r="J62" s="187">
        <f>-J61</f>
        <v>-25263750.677767433</v>
      </c>
      <c r="L62" s="166"/>
      <c r="N62" s="170"/>
    </row>
    <row r="63" spans="1:14" x14ac:dyDescent="0.2">
      <c r="A63" s="164"/>
      <c r="B63" s="180"/>
      <c r="C63" s="169"/>
      <c r="J63" s="170"/>
      <c r="L63" s="166"/>
      <c r="N63" s="170"/>
    </row>
    <row r="64" spans="1:14" x14ac:dyDescent="0.2">
      <c r="A64" s="164">
        <f>A61+1</f>
        <v>40</v>
      </c>
      <c r="B64" s="180"/>
      <c r="C64" s="169" t="s">
        <v>94</v>
      </c>
      <c r="H64" s="169" t="s">
        <v>151</v>
      </c>
      <c r="J64" s="168">
        <f>J59+J61+J62</f>
        <v>1025293843.6682687</v>
      </c>
      <c r="L64" s="166"/>
      <c r="N64" s="170"/>
    </row>
    <row r="65" spans="1:15" x14ac:dyDescent="0.2">
      <c r="A65" s="164"/>
      <c r="B65" s="180"/>
      <c r="C65" s="169"/>
      <c r="J65" s="170"/>
    </row>
    <row r="66" spans="1:15" x14ac:dyDescent="0.2">
      <c r="A66" s="164"/>
      <c r="B66" s="204" t="s">
        <v>95</v>
      </c>
      <c r="C66" s="169"/>
      <c r="J66" s="170"/>
      <c r="N66" s="164"/>
    </row>
    <row r="67" spans="1:15" ht="13.5" thickBot="1" x14ac:dyDescent="0.25">
      <c r="A67" s="165" t="s">
        <v>39</v>
      </c>
      <c r="B67" s="208"/>
      <c r="G67" s="188" t="s">
        <v>96</v>
      </c>
      <c r="N67" s="166"/>
    </row>
    <row r="68" spans="1:15" x14ac:dyDescent="0.2">
      <c r="A68" s="164">
        <f>A64+1</f>
        <v>41</v>
      </c>
      <c r="B68" s="208"/>
      <c r="D68" s="175" t="s">
        <v>97</v>
      </c>
      <c r="E68" s="168">
        <f>J64</f>
        <v>1025293843.6682687</v>
      </c>
      <c r="G68" t="str">
        <f>"Line "&amp;A64&amp;""</f>
        <v>Line 40</v>
      </c>
      <c r="J68" s="50" t="s">
        <v>98</v>
      </c>
      <c r="L68" s="170"/>
      <c r="N68" s="170"/>
    </row>
    <row r="69" spans="1:15" x14ac:dyDescent="0.2">
      <c r="A69" s="164">
        <f>A68+1</f>
        <v>42</v>
      </c>
      <c r="B69" s="208"/>
      <c r="D69" s="175" t="s">
        <v>99</v>
      </c>
      <c r="E69" s="210">
        <v>9.2480778683301894E-3</v>
      </c>
      <c r="G69" t="s">
        <v>481</v>
      </c>
      <c r="J69" s="52" t="s">
        <v>165</v>
      </c>
      <c r="L69" s="179"/>
      <c r="N69" s="179"/>
    </row>
    <row r="70" spans="1:15" x14ac:dyDescent="0.2">
      <c r="A70" s="164">
        <f>A69+1</f>
        <v>43</v>
      </c>
      <c r="B70" s="208"/>
      <c r="D70" s="173" t="s">
        <v>100</v>
      </c>
      <c r="E70" s="168">
        <v>9481997.3041637093</v>
      </c>
      <c r="G70" t="str">
        <f>"Line "&amp;A68&amp;" * Line "&amp;A69&amp;""</f>
        <v>Line 41 * Line 42</v>
      </c>
      <c r="J70" s="53">
        <f>E73</f>
        <v>1036963825.8120178</v>
      </c>
      <c r="L70" s="170"/>
      <c r="N70" s="170"/>
    </row>
    <row r="71" spans="1:15" ht="38.450000000000003" customHeight="1" x14ac:dyDescent="0.2">
      <c r="A71" s="164">
        <f>A70+1</f>
        <v>44</v>
      </c>
      <c r="B71" s="208"/>
      <c r="D71" s="175" t="s">
        <v>101</v>
      </c>
      <c r="E71" s="210">
        <v>2.134007585335019E-3</v>
      </c>
      <c r="G71" t="s">
        <v>481</v>
      </c>
      <c r="J71" s="54">
        <v>1036990439.4089098</v>
      </c>
      <c r="K71" s="367" t="s">
        <v>395</v>
      </c>
      <c r="L71" s="368"/>
      <c r="M71" s="368"/>
      <c r="N71" s="179"/>
    </row>
    <row r="72" spans="1:15" ht="13.5" thickBot="1" x14ac:dyDescent="0.25">
      <c r="A72" s="164">
        <f>A71+1</f>
        <v>45</v>
      </c>
      <c r="B72" s="208"/>
      <c r="D72" s="175" t="s">
        <v>102</v>
      </c>
      <c r="E72" s="168">
        <v>2187984.8395853825</v>
      </c>
      <c r="G72" t="str">
        <f>"Line "&amp;A70&amp;" * Line "&amp;A71&amp;""</f>
        <v>Line 43 * Line 44</v>
      </c>
      <c r="J72" s="55">
        <f>J70-J71</f>
        <v>-26613.596891999245</v>
      </c>
      <c r="L72" s="170"/>
      <c r="N72" s="170"/>
    </row>
    <row r="73" spans="1:15" x14ac:dyDescent="0.2">
      <c r="A73" s="164">
        <f>A72+1</f>
        <v>46</v>
      </c>
      <c r="B73" s="208"/>
      <c r="D73" s="175" t="s">
        <v>103</v>
      </c>
      <c r="E73" s="168">
        <f>E68+E70+E72</f>
        <v>1036963825.8120178</v>
      </c>
      <c r="G73" t="str">
        <f>"L "&amp;A68&amp;" + L "&amp;A70&amp;" + L "&amp;A72&amp;""</f>
        <v>L 41 + L 43 + L 45</v>
      </c>
      <c r="L73" s="170"/>
      <c r="N73" s="170"/>
    </row>
    <row r="74" spans="1:15" ht="12.95" customHeight="1" x14ac:dyDescent="0.2">
      <c r="B74" s="204" t="s">
        <v>104</v>
      </c>
      <c r="D74" s="173"/>
      <c r="E74" s="170"/>
      <c r="H74" s="56"/>
      <c r="L74" s="147">
        <f>315/365</f>
        <v>0.86301369863013699</v>
      </c>
      <c r="M74" s="369" t="s">
        <v>294</v>
      </c>
      <c r="N74" s="369"/>
    </row>
    <row r="75" spans="1:15" ht="12.95" customHeight="1" x14ac:dyDescent="0.2">
      <c r="A75" s="164"/>
      <c r="B75" s="169" t="s">
        <v>145</v>
      </c>
      <c r="C75" s="204"/>
      <c r="D75" s="173"/>
      <c r="E75" s="170"/>
      <c r="L75" s="45">
        <f>J72*L74</f>
        <v>-22967.898687615787</v>
      </c>
      <c r="M75" s="370" t="s">
        <v>408</v>
      </c>
      <c r="N75" s="370"/>
      <c r="O75" s="370"/>
    </row>
    <row r="76" spans="1:15" ht="12.95" customHeight="1" x14ac:dyDescent="0.2">
      <c r="A76" s="164"/>
      <c r="B76" s="169" t="s">
        <v>146</v>
      </c>
      <c r="C76" s="204"/>
      <c r="D76" s="173"/>
      <c r="E76" s="170"/>
      <c r="L76" s="138">
        <f>SUM(L75:L75)</f>
        <v>-22967.898687615787</v>
      </c>
      <c r="M76" s="135" t="s">
        <v>300</v>
      </c>
      <c r="N76" s="135"/>
    </row>
    <row r="77" spans="1:15" x14ac:dyDescent="0.2">
      <c r="A77" s="164"/>
      <c r="B77" s="201" t="s">
        <v>105</v>
      </c>
      <c r="C77" s="169"/>
      <c r="D77" s="173"/>
      <c r="E77" s="170"/>
      <c r="L77" s="187"/>
      <c r="M77" s="169"/>
    </row>
    <row r="78" spans="1:15" x14ac:dyDescent="0.2">
      <c r="A78" s="164"/>
      <c r="B78" s="201" t="s">
        <v>106</v>
      </c>
      <c r="D78" s="173"/>
      <c r="E78" s="170"/>
      <c r="L78" s="187"/>
      <c r="M78" s="169"/>
    </row>
    <row r="79" spans="1:15" x14ac:dyDescent="0.2">
      <c r="A79" s="164"/>
      <c r="L79" s="177"/>
      <c r="M79" s="169"/>
    </row>
    <row r="80" spans="1:15" x14ac:dyDescent="0.2">
      <c r="A80" s="164"/>
      <c r="B80" s="169" t="s">
        <v>107</v>
      </c>
      <c r="L80" s="170"/>
      <c r="M80" s="169"/>
    </row>
    <row r="81" spans="1:13" x14ac:dyDescent="0.2">
      <c r="A81" s="164"/>
      <c r="B81" s="169"/>
      <c r="C81" s="169" t="s">
        <v>108</v>
      </c>
      <c r="L81" s="170"/>
      <c r="M81" s="169"/>
    </row>
    <row r="82" spans="1:13" x14ac:dyDescent="0.2">
      <c r="A82" s="164"/>
      <c r="B82" s="169"/>
      <c r="J82" s="164" t="s">
        <v>109</v>
      </c>
      <c r="L82" s="170"/>
      <c r="M82" s="169"/>
    </row>
    <row r="83" spans="1:13" x14ac:dyDescent="0.2">
      <c r="A83" s="164"/>
      <c r="E83" s="166" t="s">
        <v>110</v>
      </c>
      <c r="F83" s="188" t="s">
        <v>96</v>
      </c>
      <c r="G83" s="166" t="s">
        <v>111</v>
      </c>
      <c r="H83" s="166" t="s">
        <v>112</v>
      </c>
      <c r="J83" s="166" t="s">
        <v>113</v>
      </c>
      <c r="L83" s="177"/>
      <c r="M83" s="178"/>
    </row>
    <row r="84" spans="1:13" x14ac:dyDescent="0.2">
      <c r="B84" s="198" t="s">
        <v>114</v>
      </c>
      <c r="C84" s="169" t="s">
        <v>115</v>
      </c>
      <c r="E84" s="211">
        <v>0.10299999999999999</v>
      </c>
      <c r="F84" s="169" t="s">
        <v>118</v>
      </c>
      <c r="G84" s="212">
        <v>43781</v>
      </c>
      <c r="H84" s="212">
        <v>43830</v>
      </c>
      <c r="I84" s="169"/>
      <c r="J84" s="202">
        <v>50</v>
      </c>
      <c r="K84" s="169"/>
      <c r="L84" s="170"/>
      <c r="M84" s="169"/>
    </row>
    <row r="85" spans="1:13" x14ac:dyDescent="0.2">
      <c r="B85" s="198" t="s">
        <v>116</v>
      </c>
      <c r="C85" s="169" t="s">
        <v>117</v>
      </c>
      <c r="E85" s="211">
        <v>0.112</v>
      </c>
      <c r="F85" s="169" t="s">
        <v>147</v>
      </c>
      <c r="G85" s="212">
        <v>43466</v>
      </c>
      <c r="H85" s="212">
        <v>43780</v>
      </c>
      <c r="I85" s="169"/>
      <c r="J85" s="202">
        <v>315</v>
      </c>
      <c r="K85" s="169"/>
    </row>
    <row r="86" spans="1:13" x14ac:dyDescent="0.2">
      <c r="B86" s="198" t="s">
        <v>119</v>
      </c>
      <c r="C86" s="169"/>
      <c r="E86" s="213"/>
      <c r="F86" s="169"/>
      <c r="G86" s="200"/>
      <c r="H86" s="200"/>
      <c r="I86" s="175" t="s">
        <v>120</v>
      </c>
      <c r="J86" s="199">
        <f>SUM(J84:J85)</f>
        <v>365</v>
      </c>
      <c r="K86" s="169"/>
    </row>
    <row r="87" spans="1:13" x14ac:dyDescent="0.2">
      <c r="B87" s="198" t="s">
        <v>121</v>
      </c>
      <c r="C87" s="169" t="s">
        <v>122</v>
      </c>
      <c r="E87" s="214">
        <f>((E84*J84) + (E85* J85)) / J86</f>
        <v>0.11076712328767123</v>
      </c>
      <c r="F87" s="169" t="s">
        <v>123</v>
      </c>
      <c r="H87" s="169"/>
      <c r="I87" s="169"/>
      <c r="J87" s="169"/>
      <c r="K87" s="169"/>
    </row>
    <row r="88" spans="1:13" x14ac:dyDescent="0.2">
      <c r="A88" s="164"/>
      <c r="B88" s="169"/>
      <c r="H88" s="169"/>
      <c r="I88" s="169"/>
      <c r="J88" s="169"/>
      <c r="K88" s="169"/>
      <c r="L88" s="169"/>
    </row>
    <row r="89" spans="1:13" x14ac:dyDescent="0.2">
      <c r="A89" s="164"/>
      <c r="B89" s="169" t="s">
        <v>124</v>
      </c>
      <c r="H89" s="169"/>
      <c r="I89" s="169"/>
      <c r="J89" s="169"/>
      <c r="K89" s="169"/>
      <c r="L89" s="169"/>
    </row>
    <row r="90" spans="1:13" x14ac:dyDescent="0.2">
      <c r="A90" s="164"/>
      <c r="B90" s="169"/>
      <c r="E90" s="188" t="s">
        <v>96</v>
      </c>
      <c r="H90" s="169"/>
      <c r="I90" s="169"/>
      <c r="J90" s="169"/>
      <c r="K90" s="169"/>
      <c r="L90" s="169"/>
    </row>
    <row r="91" spans="1:13" x14ac:dyDescent="0.2">
      <c r="B91" s="198" t="s">
        <v>125</v>
      </c>
      <c r="C91" s="169" t="s">
        <v>126</v>
      </c>
      <c r="E91" s="215" t="s">
        <v>166</v>
      </c>
      <c r="F91" s="161"/>
      <c r="G91" s="161"/>
      <c r="H91" s="181"/>
      <c r="I91" s="181"/>
      <c r="J91" s="181"/>
      <c r="K91" s="169"/>
      <c r="L91" s="169"/>
    </row>
    <row r="92" spans="1:13" x14ac:dyDescent="0.2">
      <c r="B92" s="198" t="s">
        <v>127</v>
      </c>
      <c r="C92" s="169" t="s">
        <v>128</v>
      </c>
      <c r="E92" s="215" t="s">
        <v>167</v>
      </c>
      <c r="F92" s="161"/>
      <c r="G92" s="161"/>
      <c r="H92" s="181"/>
      <c r="I92" s="181"/>
      <c r="J92" s="181"/>
      <c r="K92" s="169"/>
      <c r="L92" s="169"/>
    </row>
    <row r="93" spans="1:13" x14ac:dyDescent="0.2">
      <c r="C93" s="169"/>
      <c r="E93" s="200"/>
      <c r="I93" s="169"/>
      <c r="J93" s="169"/>
      <c r="K93" s="169"/>
      <c r="L93" s="169"/>
    </row>
    <row r="94" spans="1:13" x14ac:dyDescent="0.2">
      <c r="E94" s="166" t="s">
        <v>110</v>
      </c>
      <c r="F94" s="188" t="s">
        <v>96</v>
      </c>
      <c r="H94" s="169"/>
      <c r="I94" s="169"/>
      <c r="L94" s="169"/>
    </row>
    <row r="95" spans="1:13" x14ac:dyDescent="0.2">
      <c r="B95" s="198" t="s">
        <v>129</v>
      </c>
      <c r="C95" s="169" t="s">
        <v>130</v>
      </c>
      <c r="D95" s="169"/>
      <c r="E95" s="216">
        <v>2.1803914287979103E-2</v>
      </c>
      <c r="F95" t="s">
        <v>469</v>
      </c>
      <c r="H95" s="169"/>
      <c r="I95" s="169"/>
      <c r="L95" s="169"/>
    </row>
    <row r="96" spans="1:13" x14ac:dyDescent="0.2">
      <c r="B96" s="198" t="s">
        <v>131</v>
      </c>
      <c r="C96" s="169" t="s">
        <v>132</v>
      </c>
      <c r="E96" s="216">
        <v>4.1703636316651844E-3</v>
      </c>
      <c r="F96" t="s">
        <v>470</v>
      </c>
      <c r="H96" s="169"/>
      <c r="I96" s="169"/>
      <c r="L96" s="169"/>
    </row>
    <row r="97" spans="1:12" x14ac:dyDescent="0.2">
      <c r="B97" s="198" t="s">
        <v>133</v>
      </c>
      <c r="C97" s="169" t="s">
        <v>134</v>
      </c>
      <c r="E97" s="217">
        <v>4.975707553776932E-2</v>
      </c>
      <c r="F97" t="s">
        <v>471</v>
      </c>
      <c r="G97" s="169"/>
      <c r="H97" s="169"/>
      <c r="L97" s="169"/>
    </row>
    <row r="98" spans="1:12" x14ac:dyDescent="0.2">
      <c r="B98" s="164" t="s">
        <v>135</v>
      </c>
      <c r="C98" s="176" t="s">
        <v>68</v>
      </c>
      <c r="E98" s="218">
        <f>SUM(E95:E97)</f>
        <v>7.5731353457413608E-2</v>
      </c>
      <c r="F98" s="170" t="str">
        <f>"Sum of Lines "&amp;B95&amp;" to "&amp;B97&amp;""</f>
        <v>Sum of Lines g to i</v>
      </c>
      <c r="G98" s="199"/>
      <c r="J98" s="219"/>
    </row>
    <row r="99" spans="1:12" x14ac:dyDescent="0.2">
      <c r="A99" s="164"/>
      <c r="C99" s="65"/>
      <c r="D99" s="66"/>
      <c r="E99" s="170"/>
      <c r="F99" s="170"/>
      <c r="G99" s="199"/>
      <c r="H99" s="170"/>
      <c r="J99" s="219"/>
    </row>
    <row r="100" spans="1:12" x14ac:dyDescent="0.2">
      <c r="A100" s="164"/>
      <c r="B100" s="169" t="s">
        <v>136</v>
      </c>
    </row>
    <row r="101" spans="1:12" x14ac:dyDescent="0.2">
      <c r="A101" s="164"/>
    </row>
    <row r="102" spans="1:12" x14ac:dyDescent="0.2">
      <c r="A102" s="164"/>
      <c r="E102" s="166" t="s">
        <v>110</v>
      </c>
      <c r="F102" s="188" t="s">
        <v>96</v>
      </c>
    </row>
    <row r="103" spans="1:12" x14ac:dyDescent="0.2">
      <c r="B103" s="198" t="s">
        <v>137</v>
      </c>
      <c r="E103" s="216">
        <f>E96+E97</f>
        <v>5.3927439169434502E-2</v>
      </c>
      <c r="F103" s="170" t="str">
        <f>"Sum of Lines "&amp;B96&amp;" to "&amp;B97&amp;""</f>
        <v>Sum of Lines h to i</v>
      </c>
    </row>
    <row r="104" spans="1:12" x14ac:dyDescent="0.2">
      <c r="A104" s="164"/>
      <c r="E104" s="179"/>
      <c r="F104" s="170"/>
    </row>
    <row r="105" spans="1:12" x14ac:dyDescent="0.2">
      <c r="A105" s="164"/>
      <c r="B105" s="169" t="s">
        <v>152</v>
      </c>
      <c r="E105" s="199"/>
      <c r="F105" s="199"/>
      <c r="G105" s="199"/>
      <c r="H105" s="170"/>
    </row>
    <row r="106" spans="1:12" x14ac:dyDescent="0.2">
      <c r="A106" s="164"/>
      <c r="B106" s="169" t="s">
        <v>153</v>
      </c>
    </row>
    <row r="107" spans="1:12" x14ac:dyDescent="0.2">
      <c r="A107" s="164"/>
      <c r="B107" s="169" t="s">
        <v>154</v>
      </c>
      <c r="D107" s="164"/>
      <c r="E107" s="164"/>
      <c r="F107" s="164"/>
      <c r="G107" s="164"/>
      <c r="H107" s="164"/>
    </row>
    <row r="108" spans="1:12" x14ac:dyDescent="0.2">
      <c r="A108" s="164"/>
      <c r="B108" s="201"/>
      <c r="D108" s="164"/>
      <c r="E108" s="164"/>
      <c r="F108" s="164"/>
      <c r="G108" s="164"/>
      <c r="H108" s="164"/>
    </row>
    <row r="109" spans="1:12" x14ac:dyDescent="0.2">
      <c r="A109" s="164"/>
      <c r="C109" s="67"/>
      <c r="D109" s="67"/>
      <c r="E109" s="166"/>
      <c r="F109" s="166"/>
      <c r="G109" s="166"/>
      <c r="H109" s="166"/>
    </row>
    <row r="110" spans="1:12" x14ac:dyDescent="0.2">
      <c r="A110" s="164"/>
    </row>
    <row r="111" spans="1:12" x14ac:dyDescent="0.2">
      <c r="A111" s="164"/>
    </row>
    <row r="112" spans="1:12" x14ac:dyDescent="0.2">
      <c r="A112" s="164"/>
    </row>
    <row r="113" spans="1:10" x14ac:dyDescent="0.2">
      <c r="A113" s="164"/>
      <c r="C113" s="65"/>
      <c r="E113" s="170"/>
      <c r="F113" s="170"/>
      <c r="H113" s="170"/>
      <c r="J113" s="219"/>
    </row>
    <row r="114" spans="1:10" x14ac:dyDescent="0.2">
      <c r="A114" s="164"/>
      <c r="C114" s="65"/>
      <c r="E114" s="170"/>
      <c r="F114" s="170"/>
      <c r="H114" s="170"/>
      <c r="J114" s="219"/>
    </row>
    <row r="115" spans="1:10" x14ac:dyDescent="0.2">
      <c r="A115" s="165"/>
      <c r="C115" s="65"/>
      <c r="E115" s="170"/>
      <c r="F115" s="170"/>
      <c r="H115" s="170"/>
      <c r="J115" s="219"/>
    </row>
    <row r="116" spans="1:10" x14ac:dyDescent="0.2">
      <c r="A116" s="164"/>
      <c r="D116" s="68"/>
      <c r="E116" s="170"/>
      <c r="F116" s="170"/>
      <c r="G116" s="169"/>
      <c r="H116" s="170"/>
      <c r="J116" s="219"/>
    </row>
    <row r="117" spans="1:10" x14ac:dyDescent="0.2">
      <c r="A117" s="164"/>
      <c r="C117" s="65"/>
      <c r="D117" s="175"/>
      <c r="E117" s="177"/>
      <c r="F117" s="170"/>
      <c r="G117" s="169"/>
      <c r="H117" s="170"/>
      <c r="J117" s="219"/>
    </row>
    <row r="118" spans="1:10" x14ac:dyDescent="0.2">
      <c r="A118" s="164"/>
      <c r="C118" s="65"/>
      <c r="D118" s="175"/>
      <c r="E118" s="170"/>
      <c r="F118" s="170"/>
      <c r="G118" s="169"/>
      <c r="H118" s="170"/>
      <c r="J118" s="219"/>
    </row>
    <row r="119" spans="1:10" x14ac:dyDescent="0.2">
      <c r="A119" s="164"/>
    </row>
    <row r="120" spans="1:10" x14ac:dyDescent="0.2">
      <c r="A120" s="164"/>
      <c r="B120" s="159"/>
    </row>
    <row r="121" spans="1:10" x14ac:dyDescent="0.2">
      <c r="A121" s="164"/>
    </row>
    <row r="122" spans="1:10" x14ac:dyDescent="0.2">
      <c r="A122" s="164"/>
    </row>
    <row r="123" spans="1:10" x14ac:dyDescent="0.2">
      <c r="A123" s="164"/>
      <c r="F123" s="164"/>
    </row>
    <row r="124" spans="1:10" x14ac:dyDescent="0.2">
      <c r="A124" s="164"/>
      <c r="F124" s="164"/>
    </row>
    <row r="125" spans="1:10" x14ac:dyDescent="0.2">
      <c r="A125" s="164"/>
      <c r="D125" s="164"/>
      <c r="E125" s="164"/>
      <c r="F125" s="164"/>
      <c r="H125" s="164"/>
    </row>
    <row r="126" spans="1:10" x14ac:dyDescent="0.2">
      <c r="A126" s="164"/>
      <c r="D126" s="164"/>
      <c r="E126" s="164"/>
      <c r="F126" s="164"/>
      <c r="G126" s="164"/>
      <c r="H126" s="198"/>
    </row>
    <row r="127" spans="1:10" x14ac:dyDescent="0.2">
      <c r="A127" s="165"/>
      <c r="C127" s="67"/>
      <c r="D127" s="67"/>
      <c r="E127" s="166"/>
      <c r="F127" s="163"/>
      <c r="G127" s="166"/>
      <c r="H127" s="198"/>
    </row>
    <row r="128" spans="1:10" x14ac:dyDescent="0.2">
      <c r="A128" s="164"/>
      <c r="C128" s="65"/>
      <c r="D128" s="66"/>
      <c r="E128" s="170"/>
      <c r="F128" s="170"/>
      <c r="G128" s="214"/>
      <c r="H128" s="170"/>
    </row>
    <row r="129" spans="1:8" x14ac:dyDescent="0.2">
      <c r="A129" s="164"/>
      <c r="C129" s="65"/>
      <c r="D129" s="66"/>
      <c r="E129" s="170"/>
      <c r="F129" s="170"/>
      <c r="G129" s="214"/>
      <c r="H129" s="170"/>
    </row>
    <row r="130" spans="1:8" x14ac:dyDescent="0.2">
      <c r="A130" s="164"/>
      <c r="C130" s="65"/>
      <c r="D130" s="66"/>
      <c r="E130" s="170"/>
      <c r="F130" s="170"/>
      <c r="G130" s="214"/>
      <c r="H130" s="170"/>
    </row>
    <row r="131" spans="1:8" x14ac:dyDescent="0.2">
      <c r="A131" s="164"/>
      <c r="C131" s="65"/>
      <c r="D131" s="66"/>
      <c r="E131" s="170"/>
      <c r="F131" s="170"/>
      <c r="G131" s="214"/>
      <c r="H131" s="170"/>
    </row>
    <row r="132" spans="1:8" x14ac:dyDescent="0.2">
      <c r="A132" s="164"/>
      <c r="C132" s="65"/>
      <c r="D132" s="66"/>
      <c r="E132" s="170"/>
      <c r="F132" s="170"/>
      <c r="G132" s="214"/>
      <c r="H132" s="170"/>
    </row>
    <row r="133" spans="1:8" x14ac:dyDescent="0.2">
      <c r="A133" s="164"/>
      <c r="C133" s="65"/>
      <c r="D133" s="66"/>
      <c r="E133" s="170"/>
      <c r="F133" s="170"/>
      <c r="G133" s="214"/>
      <c r="H133" s="170"/>
    </row>
    <row r="134" spans="1:8" x14ac:dyDescent="0.2">
      <c r="A134" s="164"/>
      <c r="C134" s="65"/>
      <c r="D134" s="66"/>
      <c r="E134" s="170"/>
      <c r="F134" s="170"/>
      <c r="G134" s="214"/>
      <c r="H134" s="170"/>
    </row>
    <row r="135" spans="1:8" x14ac:dyDescent="0.2">
      <c r="A135" s="164"/>
      <c r="C135" s="65"/>
      <c r="D135" s="66"/>
      <c r="E135" s="170"/>
      <c r="F135" s="170"/>
      <c r="G135" s="214"/>
      <c r="H135" s="170"/>
    </row>
    <row r="136" spans="1:8" x14ac:dyDescent="0.2">
      <c r="A136" s="164"/>
      <c r="C136" s="65"/>
      <c r="D136" s="66"/>
      <c r="E136" s="170"/>
      <c r="F136" s="170"/>
      <c r="G136" s="214"/>
      <c r="H136" s="170"/>
    </row>
    <row r="137" spans="1:8" x14ac:dyDescent="0.2">
      <c r="A137" s="164"/>
      <c r="C137" s="65"/>
      <c r="D137" s="66"/>
      <c r="E137" s="170"/>
      <c r="F137" s="170"/>
      <c r="G137" s="214"/>
      <c r="H137" s="170"/>
    </row>
    <row r="138" spans="1:8" x14ac:dyDescent="0.2">
      <c r="A138" s="164"/>
      <c r="C138" s="65"/>
      <c r="D138" s="66"/>
      <c r="E138" s="170"/>
      <c r="F138" s="170"/>
      <c r="G138" s="214"/>
      <c r="H138" s="170"/>
    </row>
    <row r="139" spans="1:8" x14ac:dyDescent="0.2">
      <c r="A139" s="164"/>
      <c r="C139" s="65"/>
      <c r="D139" s="66"/>
      <c r="E139" s="170"/>
      <c r="F139" s="170"/>
      <c r="G139" s="214"/>
      <c r="H139" s="177"/>
    </row>
    <row r="140" spans="1:8" x14ac:dyDescent="0.2">
      <c r="A140" s="164"/>
      <c r="H140" s="170"/>
    </row>
    <row r="141" spans="1:8" x14ac:dyDescent="0.2">
      <c r="A141" s="164"/>
      <c r="C141" s="65"/>
      <c r="D141" s="66"/>
      <c r="F141" s="220"/>
      <c r="G141" s="214"/>
      <c r="H141" s="220"/>
    </row>
    <row r="142" spans="1:8" x14ac:dyDescent="0.2">
      <c r="A142" s="164"/>
      <c r="B142" s="159"/>
      <c r="C142" s="65"/>
      <c r="D142" s="66"/>
      <c r="F142" s="220"/>
      <c r="G142" s="214"/>
      <c r="H142" s="220"/>
    </row>
    <row r="143" spans="1:8" x14ac:dyDescent="0.2">
      <c r="A143" s="165"/>
      <c r="B143" s="159"/>
      <c r="C143" s="65"/>
      <c r="D143" s="66"/>
      <c r="F143" s="220"/>
      <c r="G143" s="214"/>
      <c r="H143" s="220"/>
    </row>
    <row r="144" spans="1:8" x14ac:dyDescent="0.2">
      <c r="A144" s="164"/>
      <c r="C144" s="65"/>
      <c r="D144" s="71"/>
      <c r="E144" s="170"/>
      <c r="F144" s="221"/>
      <c r="G144" s="214"/>
      <c r="H144" s="220"/>
    </row>
    <row r="145" spans="1:8" x14ac:dyDescent="0.2">
      <c r="A145" s="164"/>
      <c r="C145" s="65"/>
      <c r="D145" s="173"/>
      <c r="E145" s="170"/>
      <c r="F145" s="221"/>
      <c r="G145" s="214"/>
      <c r="H145" s="220"/>
    </row>
    <row r="146" spans="1:8" x14ac:dyDescent="0.2">
      <c r="A146" s="164"/>
      <c r="C146" s="65"/>
      <c r="D146" s="173"/>
      <c r="E146" s="177"/>
      <c r="F146" s="221"/>
      <c r="G146" s="214"/>
      <c r="H146" s="220"/>
    </row>
    <row r="147" spans="1:8" x14ac:dyDescent="0.2">
      <c r="A147" s="164"/>
      <c r="C147" s="65"/>
      <c r="D147" s="71"/>
      <c r="E147" s="170"/>
      <c r="F147" s="220"/>
      <c r="G147" s="214"/>
      <c r="H147" s="220"/>
    </row>
    <row r="148" spans="1:8" x14ac:dyDescent="0.2">
      <c r="A148" s="164"/>
      <c r="C148" s="65"/>
      <c r="D148" s="66"/>
      <c r="F148" s="220"/>
      <c r="G148" s="214"/>
      <c r="H148" s="220"/>
    </row>
    <row r="149" spans="1:8" x14ac:dyDescent="0.2">
      <c r="A149" s="164"/>
    </row>
    <row r="150" spans="1:8" x14ac:dyDescent="0.2">
      <c r="A150" s="164"/>
    </row>
    <row r="151" spans="1:8" x14ac:dyDescent="0.2">
      <c r="A151" s="164"/>
    </row>
    <row r="152" spans="1:8" x14ac:dyDescent="0.2">
      <c r="A152" s="164"/>
      <c r="B152" s="159"/>
    </row>
    <row r="153" spans="1:8" x14ac:dyDescent="0.2">
      <c r="A153" s="164"/>
      <c r="B153" s="169"/>
    </row>
    <row r="154" spans="1:8" x14ac:dyDescent="0.2">
      <c r="A154" s="164"/>
      <c r="B154" s="169"/>
    </row>
    <row r="155" spans="1:8" x14ac:dyDescent="0.2">
      <c r="A155" s="164"/>
      <c r="B155" s="169"/>
    </row>
    <row r="156" spans="1:8" x14ac:dyDescent="0.2">
      <c r="A156" s="164"/>
    </row>
    <row r="157" spans="1:8" x14ac:dyDescent="0.2">
      <c r="A157" s="164"/>
      <c r="B157" s="159"/>
    </row>
    <row r="158" spans="1:8" x14ac:dyDescent="0.2">
      <c r="A158" s="164"/>
    </row>
    <row r="159" spans="1:8" x14ac:dyDescent="0.2">
      <c r="A159" s="165"/>
      <c r="C159" s="67"/>
      <c r="D159" s="166"/>
    </row>
    <row r="160" spans="1:8" x14ac:dyDescent="0.2">
      <c r="A160" s="164"/>
      <c r="C160" s="65"/>
      <c r="D160" s="222"/>
      <c r="F160" s="179"/>
    </row>
    <row r="161" spans="1:6" x14ac:dyDescent="0.2">
      <c r="A161" s="164"/>
      <c r="C161" s="65"/>
      <c r="D161" s="222"/>
      <c r="F161" s="179"/>
    </row>
    <row r="162" spans="1:6" x14ac:dyDescent="0.2">
      <c r="A162" s="164"/>
      <c r="C162" s="65"/>
      <c r="D162" s="222"/>
      <c r="F162" s="179"/>
    </row>
    <row r="163" spans="1:6" x14ac:dyDescent="0.2">
      <c r="A163" s="164"/>
      <c r="C163" s="65"/>
      <c r="D163" s="222"/>
      <c r="F163" s="179"/>
    </row>
    <row r="164" spans="1:6" x14ac:dyDescent="0.2">
      <c r="A164" s="164"/>
      <c r="C164" s="65"/>
      <c r="D164" s="222"/>
      <c r="F164" s="179"/>
    </row>
    <row r="165" spans="1:6" x14ac:dyDescent="0.2">
      <c r="A165" s="164"/>
      <c r="C165" s="65"/>
      <c r="D165" s="222"/>
      <c r="F165" s="179"/>
    </row>
    <row r="166" spans="1:6" x14ac:dyDescent="0.2">
      <c r="A166" s="164"/>
      <c r="C166" s="65"/>
      <c r="D166" s="222"/>
      <c r="F166" s="179"/>
    </row>
    <row r="167" spans="1:6" x14ac:dyDescent="0.2">
      <c r="A167" s="164"/>
      <c r="C167" s="65"/>
      <c r="D167" s="222"/>
      <c r="F167" s="179"/>
    </row>
    <row r="168" spans="1:6" x14ac:dyDescent="0.2">
      <c r="A168" s="164"/>
      <c r="C168" s="65"/>
      <c r="D168" s="222"/>
      <c r="F168" s="179"/>
    </row>
    <row r="169" spans="1:6" x14ac:dyDescent="0.2">
      <c r="A169" s="164"/>
      <c r="C169" s="65"/>
      <c r="D169" s="222"/>
      <c r="F169" s="179"/>
    </row>
    <row r="170" spans="1:6" x14ac:dyDescent="0.2">
      <c r="A170" s="164"/>
      <c r="C170" s="65"/>
      <c r="D170" s="222"/>
      <c r="F170" s="179"/>
    </row>
    <row r="171" spans="1:6" x14ac:dyDescent="0.2">
      <c r="A171" s="164"/>
      <c r="C171" s="65"/>
      <c r="D171" s="223"/>
      <c r="F171" s="178"/>
    </row>
    <row r="172" spans="1:6" x14ac:dyDescent="0.2">
      <c r="A172" s="164"/>
      <c r="C172" s="68"/>
      <c r="D172" s="222"/>
    </row>
  </sheetData>
  <mergeCells count="3">
    <mergeCell ref="K71:M71"/>
    <mergeCell ref="M74:N74"/>
    <mergeCell ref="M75:O75"/>
  </mergeCells>
  <pageMargins left="0.75" right="0.75" top="1" bottom="1" header="0.5" footer="0.5"/>
  <pageSetup scale="67" orientation="landscape" cellComments="asDisplayed" r:id="rId1"/>
  <headerFooter alignWithMargins="0">
    <oddHeader>&amp;CSchedule 4
True Up TRR
(Revised 2019 
TO2018 True Up TRR)&amp;RTO2024 Annual Update
Attachment 4
WP-Schedule 3-One Time Adj Prior Period
Page &amp;P of &amp;N</oddHeader>
    <oddFooter>&amp;R&amp;A</oddFooter>
  </headerFooter>
  <rowBreaks count="4" manualBreakCount="4">
    <brk id="45" max="14" man="1"/>
    <brk id="73" max="16383" man="1"/>
    <brk id="119" max="9" man="1"/>
    <brk id="151"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B3323-121C-4D8C-A0A4-62E4E4F8D881}">
  <sheetPr>
    <tabColor rgb="FF99CCFF"/>
  </sheetPr>
  <dimension ref="A1:X105"/>
  <sheetViews>
    <sheetView zoomScaleNormal="100" workbookViewId="0"/>
  </sheetViews>
  <sheetFormatPr defaultColWidth="8.7109375" defaultRowHeight="12.75" x14ac:dyDescent="0.2"/>
  <cols>
    <col min="1" max="1" width="4.5703125" style="30" customWidth="1"/>
    <col min="2" max="2" width="2.5703125" style="30" customWidth="1"/>
    <col min="3" max="3" width="8.5703125" style="30" customWidth="1"/>
    <col min="4" max="4" width="32.5703125" style="30" customWidth="1"/>
    <col min="5" max="5" width="14.5703125" style="30" customWidth="1"/>
    <col min="6" max="6" width="15.5703125" style="30" customWidth="1"/>
    <col min="7" max="8" width="14.5703125" style="30" customWidth="1"/>
    <col min="9" max="9" width="20" style="30" customWidth="1"/>
    <col min="10" max="10" width="15.5703125" style="30" customWidth="1"/>
    <col min="11" max="11" width="11" style="30" bestFit="1" customWidth="1"/>
    <col min="12" max="16384" width="8.7109375" style="30"/>
  </cols>
  <sheetData>
    <row r="1" spans="1:24" x14ac:dyDescent="0.2">
      <c r="A1" s="29" t="s">
        <v>170</v>
      </c>
      <c r="F1" s="117" t="s">
        <v>171</v>
      </c>
      <c r="G1" s="59"/>
      <c r="H1" s="63"/>
      <c r="I1" s="63"/>
    </row>
    <row r="2" spans="1:24" x14ac:dyDescent="0.2">
      <c r="E2" s="69" t="s">
        <v>172</v>
      </c>
      <c r="F2" s="69" t="s">
        <v>173</v>
      </c>
      <c r="G2" s="69" t="s">
        <v>174</v>
      </c>
      <c r="H2" s="69" t="s">
        <v>175</v>
      </c>
      <c r="I2" s="63"/>
    </row>
    <row r="3" spans="1:24" x14ac:dyDescent="0.2">
      <c r="G3" s="63" t="s">
        <v>176</v>
      </c>
    </row>
    <row r="4" spans="1:24" x14ac:dyDescent="0.2">
      <c r="E4" s="33" t="s">
        <v>177</v>
      </c>
      <c r="F4" s="110" t="s">
        <v>178</v>
      </c>
      <c r="G4" s="33" t="s">
        <v>179</v>
      </c>
      <c r="I4" s="33"/>
    </row>
    <row r="5" spans="1:24" x14ac:dyDescent="0.2">
      <c r="A5" s="34" t="s">
        <v>39</v>
      </c>
      <c r="B5" s="37"/>
      <c r="C5" s="37" t="s">
        <v>180</v>
      </c>
      <c r="D5" s="37" t="s">
        <v>31</v>
      </c>
      <c r="E5" s="37" t="s">
        <v>32</v>
      </c>
      <c r="F5" s="67" t="s">
        <v>33</v>
      </c>
      <c r="G5" s="37" t="s">
        <v>181</v>
      </c>
      <c r="H5" s="37" t="s">
        <v>82</v>
      </c>
      <c r="I5" s="37" t="s">
        <v>42</v>
      </c>
      <c r="K5" s="37"/>
      <c r="L5" s="37"/>
      <c r="M5" s="37"/>
      <c r="N5" s="37"/>
      <c r="O5" s="37"/>
      <c r="P5" s="37"/>
      <c r="Q5" s="37"/>
      <c r="R5" s="37"/>
      <c r="S5" s="37"/>
      <c r="T5" s="37"/>
      <c r="U5" s="37"/>
      <c r="V5" s="37"/>
      <c r="W5" s="37"/>
      <c r="X5" s="37"/>
    </row>
    <row r="6" spans="1:24" x14ac:dyDescent="0.2">
      <c r="A6" s="33">
        <v>1</v>
      </c>
      <c r="C6" s="63">
        <v>920</v>
      </c>
      <c r="D6" s="30" t="s">
        <v>182</v>
      </c>
      <c r="E6" s="118">
        <v>413850310</v>
      </c>
      <c r="F6" s="63" t="s">
        <v>183</v>
      </c>
      <c r="G6" s="39">
        <f>D37</f>
        <v>126252220.2528477</v>
      </c>
      <c r="H6" s="39">
        <f t="shared" ref="H6:H19" si="0">E6-G6</f>
        <v>287598089.74715233</v>
      </c>
    </row>
    <row r="7" spans="1:24" x14ac:dyDescent="0.2">
      <c r="A7" s="33">
        <f>A6+1</f>
        <v>2</v>
      </c>
      <c r="C7" s="63">
        <v>921</v>
      </c>
      <c r="D7" s="30" t="s">
        <v>184</v>
      </c>
      <c r="E7" s="118">
        <v>250234425</v>
      </c>
      <c r="F7" s="63" t="s">
        <v>185</v>
      </c>
      <c r="G7" s="39">
        <f t="shared" ref="G7:G19" si="1">D38</f>
        <v>2352483.834740696</v>
      </c>
      <c r="H7" s="39">
        <f t="shared" si="0"/>
        <v>247881941.1652593</v>
      </c>
    </row>
    <row r="8" spans="1:24" x14ac:dyDescent="0.2">
      <c r="A8" s="33">
        <f>A7+1</f>
        <v>3</v>
      </c>
      <c r="C8" s="63">
        <v>922</v>
      </c>
      <c r="D8" s="30" t="s">
        <v>186</v>
      </c>
      <c r="E8" s="118">
        <v>-225318190</v>
      </c>
      <c r="F8" s="63" t="s">
        <v>187</v>
      </c>
      <c r="G8" s="39">
        <f t="shared" si="1"/>
        <v>-77722052.712449998</v>
      </c>
      <c r="H8" s="39">
        <f>E8-G8</f>
        <v>-147596137.28755</v>
      </c>
      <c r="I8" s="35" t="s">
        <v>188</v>
      </c>
    </row>
    <row r="9" spans="1:24" x14ac:dyDescent="0.2">
      <c r="A9" s="33">
        <f t="shared" ref="A9:A20" si="2">A8+1</f>
        <v>4</v>
      </c>
      <c r="B9" s="33"/>
      <c r="C9" s="63">
        <v>923</v>
      </c>
      <c r="D9" s="30" t="s">
        <v>189</v>
      </c>
      <c r="E9" s="118">
        <v>59887693</v>
      </c>
      <c r="F9" s="63" t="s">
        <v>190</v>
      </c>
      <c r="G9" s="42">
        <f t="shared" si="1"/>
        <v>9399151.0778677836</v>
      </c>
      <c r="H9" s="42">
        <f t="shared" si="0"/>
        <v>50488541.922132216</v>
      </c>
    </row>
    <row r="10" spans="1:24" x14ac:dyDescent="0.2">
      <c r="A10" s="33">
        <f t="shared" si="2"/>
        <v>5</v>
      </c>
      <c r="B10" s="33"/>
      <c r="C10" s="63">
        <v>924</v>
      </c>
      <c r="D10" s="30" t="s">
        <v>191</v>
      </c>
      <c r="E10" s="118">
        <v>15607270</v>
      </c>
      <c r="F10" s="63" t="s">
        <v>192</v>
      </c>
      <c r="G10" s="39">
        <f t="shared" si="1"/>
        <v>0</v>
      </c>
      <c r="H10" s="39">
        <f t="shared" si="0"/>
        <v>15607270</v>
      </c>
    </row>
    <row r="11" spans="1:24" x14ac:dyDescent="0.2">
      <c r="A11" s="33">
        <f t="shared" si="2"/>
        <v>6</v>
      </c>
      <c r="B11" s="33"/>
      <c r="C11" s="63">
        <v>925</v>
      </c>
      <c r="D11" s="30" t="s">
        <v>193</v>
      </c>
      <c r="E11" s="118">
        <v>902073996</v>
      </c>
      <c r="F11" s="63" t="s">
        <v>194</v>
      </c>
      <c r="G11" s="39">
        <f t="shared" si="1"/>
        <v>154247327.52000001</v>
      </c>
      <c r="H11" s="39">
        <f t="shared" si="0"/>
        <v>747826668.48000002</v>
      </c>
    </row>
    <row r="12" spans="1:24" x14ac:dyDescent="0.2">
      <c r="A12" s="33">
        <f t="shared" si="2"/>
        <v>7</v>
      </c>
      <c r="B12" s="33"/>
      <c r="C12" s="63">
        <v>926</v>
      </c>
      <c r="D12" s="30" t="s">
        <v>195</v>
      </c>
      <c r="E12" s="118">
        <v>82906034</v>
      </c>
      <c r="F12" s="63" t="s">
        <v>196</v>
      </c>
      <c r="G12" s="39">
        <f t="shared" si="1"/>
        <v>4180354.9770550355</v>
      </c>
      <c r="H12" s="39">
        <f t="shared" si="0"/>
        <v>78725679.022944957</v>
      </c>
    </row>
    <row r="13" spans="1:24" x14ac:dyDescent="0.2">
      <c r="A13" s="33">
        <f t="shared" si="2"/>
        <v>8</v>
      </c>
      <c r="B13" s="33"/>
      <c r="C13" s="63">
        <v>927</v>
      </c>
      <c r="D13" s="30" t="s">
        <v>197</v>
      </c>
      <c r="E13" s="118">
        <v>104335318</v>
      </c>
      <c r="F13" s="63" t="s">
        <v>198</v>
      </c>
      <c r="G13" s="39">
        <f t="shared" si="1"/>
        <v>104335318</v>
      </c>
      <c r="H13" s="39">
        <f t="shared" si="0"/>
        <v>0</v>
      </c>
    </row>
    <row r="14" spans="1:24" x14ac:dyDescent="0.2">
      <c r="A14" s="33">
        <f t="shared" si="2"/>
        <v>9</v>
      </c>
      <c r="B14" s="33"/>
      <c r="C14" s="63">
        <v>928</v>
      </c>
      <c r="D14" s="30" t="s">
        <v>199</v>
      </c>
      <c r="E14" s="118">
        <v>11713250</v>
      </c>
      <c r="F14" s="63" t="s">
        <v>200</v>
      </c>
      <c r="G14" s="39">
        <f t="shared" si="1"/>
        <v>9979027.6099999994</v>
      </c>
      <c r="H14" s="39">
        <f t="shared" si="0"/>
        <v>1734222.3900000006</v>
      </c>
    </row>
    <row r="15" spans="1:24" x14ac:dyDescent="0.2">
      <c r="A15" s="33">
        <f t="shared" si="2"/>
        <v>10</v>
      </c>
      <c r="B15" s="33"/>
      <c r="C15" s="63">
        <v>929</v>
      </c>
      <c r="D15" s="30" t="s">
        <v>201</v>
      </c>
      <c r="E15" s="118">
        <v>0</v>
      </c>
      <c r="F15" s="63" t="s">
        <v>202</v>
      </c>
      <c r="G15" s="39">
        <f t="shared" si="1"/>
        <v>0</v>
      </c>
      <c r="H15" s="39">
        <f t="shared" si="0"/>
        <v>0</v>
      </c>
    </row>
    <row r="16" spans="1:24" x14ac:dyDescent="0.2">
      <c r="A16" s="33">
        <f t="shared" si="2"/>
        <v>11</v>
      </c>
      <c r="B16" s="33"/>
      <c r="C16" s="63">
        <v>930.1</v>
      </c>
      <c r="D16" s="30" t="s">
        <v>203</v>
      </c>
      <c r="E16" s="118">
        <v>11245961</v>
      </c>
      <c r="F16" s="63" t="s">
        <v>204</v>
      </c>
      <c r="G16" s="39">
        <f t="shared" si="1"/>
        <v>0</v>
      </c>
      <c r="H16" s="39">
        <f t="shared" si="0"/>
        <v>11245961</v>
      </c>
    </row>
    <row r="17" spans="1:8" x14ac:dyDescent="0.2">
      <c r="A17" s="33">
        <f t="shared" si="2"/>
        <v>12</v>
      </c>
      <c r="B17" s="33"/>
      <c r="C17" s="63">
        <v>930.2</v>
      </c>
      <c r="D17" s="30" t="s">
        <v>205</v>
      </c>
      <c r="E17" s="118">
        <v>14071912</v>
      </c>
      <c r="F17" s="63" t="s">
        <v>206</v>
      </c>
      <c r="G17" s="39">
        <f t="shared" si="1"/>
        <v>5999239.1899999976</v>
      </c>
      <c r="H17" s="39">
        <f t="shared" si="0"/>
        <v>8072672.8100000024</v>
      </c>
    </row>
    <row r="18" spans="1:8" x14ac:dyDescent="0.2">
      <c r="A18" s="33">
        <f t="shared" si="2"/>
        <v>13</v>
      </c>
      <c r="B18" s="33"/>
      <c r="C18" s="63">
        <v>931</v>
      </c>
      <c r="D18" s="30" t="s">
        <v>207</v>
      </c>
      <c r="E18" s="118">
        <v>8581490</v>
      </c>
      <c r="F18" s="63" t="s">
        <v>208</v>
      </c>
      <c r="G18" s="39">
        <f t="shared" si="1"/>
        <v>12016812.699999999</v>
      </c>
      <c r="H18" s="39">
        <f t="shared" si="0"/>
        <v>-3435322.6999999993</v>
      </c>
    </row>
    <row r="19" spans="1:8" x14ac:dyDescent="0.2">
      <c r="A19" s="33">
        <f t="shared" si="2"/>
        <v>14</v>
      </c>
      <c r="B19" s="33"/>
      <c r="C19" s="63">
        <v>935</v>
      </c>
      <c r="D19" s="30" t="s">
        <v>209</v>
      </c>
      <c r="E19" s="119">
        <v>26158179</v>
      </c>
      <c r="F19" s="63" t="s">
        <v>210</v>
      </c>
      <c r="G19" s="39">
        <f t="shared" si="1"/>
        <v>769627.75</v>
      </c>
      <c r="H19" s="45">
        <f t="shared" si="0"/>
        <v>25388551.25</v>
      </c>
    </row>
    <row r="20" spans="1:8" x14ac:dyDescent="0.2">
      <c r="A20" s="33">
        <f t="shared" si="2"/>
        <v>15</v>
      </c>
      <c r="E20" s="39">
        <f>SUM(E6:E19)</f>
        <v>1675347648</v>
      </c>
      <c r="G20" s="49" t="s">
        <v>211</v>
      </c>
      <c r="H20" s="42">
        <f>SUM(H6:H19)</f>
        <v>1323538137.7999387</v>
      </c>
    </row>
    <row r="22" spans="1:8" x14ac:dyDescent="0.2">
      <c r="F22" s="37" t="s">
        <v>32</v>
      </c>
      <c r="G22" s="37" t="s">
        <v>33</v>
      </c>
    </row>
    <row r="23" spans="1:8" x14ac:dyDescent="0.2">
      <c r="A23" s="33">
        <f>A20+1</f>
        <v>16</v>
      </c>
      <c r="E23" s="49" t="s">
        <v>212</v>
      </c>
      <c r="F23" s="42">
        <f>H20</f>
        <v>1323538137.7999387</v>
      </c>
      <c r="G23" s="35" t="str">
        <f>"Line "&amp;A20&amp;""</f>
        <v>Line 15</v>
      </c>
    </row>
    <row r="24" spans="1:8" x14ac:dyDescent="0.2">
      <c r="A24" s="33">
        <f t="shared" ref="A24:A30" si="3">A23+1</f>
        <v>17</v>
      </c>
      <c r="E24" s="49" t="s">
        <v>213</v>
      </c>
      <c r="F24" s="45">
        <f>E10</f>
        <v>15607270</v>
      </c>
      <c r="G24" s="35" t="str">
        <f>"Line "&amp;A10&amp;""</f>
        <v>Line 5</v>
      </c>
    </row>
    <row r="25" spans="1:8" x14ac:dyDescent="0.2">
      <c r="A25" s="33">
        <f t="shared" si="3"/>
        <v>18</v>
      </c>
      <c r="E25" s="49" t="s">
        <v>214</v>
      </c>
      <c r="F25" s="42">
        <f>F23-F24</f>
        <v>1307930867.7999387</v>
      </c>
      <c r="G25" s="35" t="str">
        <f>"Line "&amp;A23&amp;" - Line "&amp;A24&amp;""</f>
        <v>Line 16 - Line 17</v>
      </c>
    </row>
    <row r="26" spans="1:8" x14ac:dyDescent="0.2">
      <c r="A26" s="33">
        <f t="shared" si="3"/>
        <v>19</v>
      </c>
      <c r="E26" s="49" t="s">
        <v>215</v>
      </c>
      <c r="F26" s="62">
        <v>6.5693761162178274E-2</v>
      </c>
      <c r="G26" s="35" t="s">
        <v>216</v>
      </c>
    </row>
    <row r="27" spans="1:8" x14ac:dyDescent="0.2">
      <c r="A27" s="33">
        <f t="shared" si="3"/>
        <v>20</v>
      </c>
      <c r="E27" s="49" t="s">
        <v>217</v>
      </c>
      <c r="F27" s="42">
        <f>F25*F26</f>
        <v>85922898.045889735</v>
      </c>
      <c r="G27" s="35" t="str">
        <f>"Line "&amp;A25&amp;" * Line "&amp;A26&amp;""</f>
        <v>Line 18 * Line 19</v>
      </c>
    </row>
    <row r="28" spans="1:8" x14ac:dyDescent="0.2">
      <c r="A28" s="33">
        <f t="shared" si="3"/>
        <v>21</v>
      </c>
      <c r="E28" s="49" t="s">
        <v>218</v>
      </c>
      <c r="F28" s="47">
        <v>0.18668153702052509</v>
      </c>
      <c r="G28" s="35" t="s">
        <v>219</v>
      </c>
    </row>
    <row r="29" spans="1:8" x14ac:dyDescent="0.2">
      <c r="A29" s="33">
        <f t="shared" si="3"/>
        <v>22</v>
      </c>
      <c r="E29" s="49" t="s">
        <v>220</v>
      </c>
      <c r="F29" s="45">
        <f>H10*F28</f>
        <v>2913589.1522943308</v>
      </c>
      <c r="G29" s="35" t="str">
        <f>"Line "&amp;A10&amp;" Col 4 * Line "&amp;A28&amp;""</f>
        <v>Line 5 Col 4 * Line 21</v>
      </c>
    </row>
    <row r="30" spans="1:8" x14ac:dyDescent="0.2">
      <c r="A30" s="33">
        <f t="shared" si="3"/>
        <v>23</v>
      </c>
      <c r="E30" s="49" t="s">
        <v>221</v>
      </c>
      <c r="F30" s="42">
        <f>F27+F29</f>
        <v>88836487.198184073</v>
      </c>
      <c r="G30" s="35" t="str">
        <f>"Line "&amp;A27&amp;" + Line "&amp;A29&amp;""</f>
        <v>Line 20 + Line 22</v>
      </c>
    </row>
    <row r="32" spans="1:8" x14ac:dyDescent="0.2">
      <c r="B32" s="29" t="s">
        <v>222</v>
      </c>
      <c r="E32" s="69" t="s">
        <v>172</v>
      </c>
      <c r="F32" s="69" t="s">
        <v>173</v>
      </c>
      <c r="G32" s="69" t="s">
        <v>174</v>
      </c>
      <c r="H32" s="69" t="s">
        <v>175</v>
      </c>
    </row>
    <row r="33" spans="1:11" x14ac:dyDescent="0.2">
      <c r="B33" s="29"/>
      <c r="E33" s="33" t="s">
        <v>223</v>
      </c>
      <c r="F33" s="69"/>
      <c r="G33" s="69"/>
      <c r="H33" s="69"/>
    </row>
    <row r="34" spans="1:11" x14ac:dyDescent="0.2">
      <c r="E34" s="33" t="s">
        <v>224</v>
      </c>
    </row>
    <row r="35" spans="1:11" x14ac:dyDescent="0.2">
      <c r="D35" s="33" t="s">
        <v>225</v>
      </c>
      <c r="E35" s="33" t="s">
        <v>226</v>
      </c>
      <c r="F35" s="33" t="s">
        <v>227</v>
      </c>
      <c r="G35" s="33"/>
      <c r="H35" s="33"/>
    </row>
    <row r="36" spans="1:11" x14ac:dyDescent="0.2">
      <c r="C36" s="37" t="s">
        <v>180</v>
      </c>
      <c r="D36" s="69" t="s">
        <v>228</v>
      </c>
      <c r="E36" s="37" t="s">
        <v>229</v>
      </c>
      <c r="F36" s="37" t="s">
        <v>230</v>
      </c>
      <c r="G36" s="37" t="s">
        <v>231</v>
      </c>
      <c r="H36" s="37" t="s">
        <v>232</v>
      </c>
      <c r="I36" s="37" t="s">
        <v>42</v>
      </c>
    </row>
    <row r="37" spans="1:11" x14ac:dyDescent="0.2">
      <c r="A37" s="33">
        <f>A30+1</f>
        <v>24</v>
      </c>
      <c r="C37" s="63">
        <v>920</v>
      </c>
      <c r="D37" s="123">
        <f>SUM(E37:H37)</f>
        <v>126252220.2528477</v>
      </c>
      <c r="E37" s="122">
        <v>-7717820.8747406974</v>
      </c>
      <c r="F37" s="122"/>
      <c r="G37" s="39">
        <f>G59</f>
        <v>133970041.12758839</v>
      </c>
      <c r="H37" s="122"/>
      <c r="I37" s="35" t="s">
        <v>233</v>
      </c>
    </row>
    <row r="38" spans="1:11" x14ac:dyDescent="0.2">
      <c r="A38" s="33">
        <f>A37+1</f>
        <v>25</v>
      </c>
      <c r="C38" s="63">
        <v>921</v>
      </c>
      <c r="D38" s="123">
        <f t="shared" ref="D38:D50" si="4">SUM(E38:H38)</f>
        <v>2352483.834740696</v>
      </c>
      <c r="E38" s="122">
        <v>2352483.834740696</v>
      </c>
      <c r="F38" s="122"/>
      <c r="G38" s="122">
        <v>0</v>
      </c>
      <c r="H38" s="122"/>
      <c r="I38" s="35"/>
    </row>
    <row r="39" spans="1:11" ht="13.5" thickBot="1" x14ac:dyDescent="0.25">
      <c r="A39" s="33">
        <f t="shared" ref="A39:A50" si="5">A38+1</f>
        <v>26</v>
      </c>
      <c r="C39" s="63">
        <v>922</v>
      </c>
      <c r="D39" s="123">
        <f t="shared" si="4"/>
        <v>-77722052.712449998</v>
      </c>
      <c r="E39" s="122">
        <v>-10359095.712450001</v>
      </c>
      <c r="F39" s="122"/>
      <c r="G39" s="111">
        <v>-67362957</v>
      </c>
      <c r="H39" s="122"/>
      <c r="I39" s="35"/>
    </row>
    <row r="40" spans="1:11" ht="13.5" thickBot="1" x14ac:dyDescent="0.25">
      <c r="A40" s="33">
        <f t="shared" si="5"/>
        <v>27</v>
      </c>
      <c r="C40" s="63">
        <v>923</v>
      </c>
      <c r="D40" s="120">
        <f t="shared" si="4"/>
        <v>9399151.0778677836</v>
      </c>
      <c r="E40" s="121">
        <v>9399151.0778677836</v>
      </c>
      <c r="F40" s="122"/>
      <c r="G40" s="122">
        <v>0</v>
      </c>
      <c r="H40" s="122"/>
      <c r="I40" s="35"/>
      <c r="J40" s="37"/>
      <c r="K40" s="37"/>
    </row>
    <row r="41" spans="1:11" x14ac:dyDescent="0.2">
      <c r="A41" s="33">
        <f t="shared" si="5"/>
        <v>28</v>
      </c>
      <c r="C41" s="63">
        <v>924</v>
      </c>
      <c r="D41" s="123">
        <f t="shared" si="4"/>
        <v>0</v>
      </c>
      <c r="E41" s="122">
        <v>0</v>
      </c>
      <c r="F41" s="122"/>
      <c r="G41" s="122">
        <v>0</v>
      </c>
      <c r="H41" s="122"/>
      <c r="I41" s="35"/>
      <c r="K41" s="39"/>
    </row>
    <row r="42" spans="1:11" x14ac:dyDescent="0.2">
      <c r="A42" s="33">
        <f t="shared" si="5"/>
        <v>29</v>
      </c>
      <c r="C42" s="63">
        <v>925</v>
      </c>
      <c r="D42" s="123">
        <f t="shared" si="4"/>
        <v>154247327.52000001</v>
      </c>
      <c r="E42" s="122">
        <v>154247327.52000001</v>
      </c>
      <c r="F42" s="122"/>
      <c r="G42" s="122">
        <v>0</v>
      </c>
      <c r="H42" s="122"/>
      <c r="I42" s="35"/>
      <c r="K42" s="39"/>
    </row>
    <row r="43" spans="1:11" x14ac:dyDescent="0.2">
      <c r="A43" s="33">
        <f t="shared" si="5"/>
        <v>30</v>
      </c>
      <c r="C43" s="63">
        <v>926</v>
      </c>
      <c r="D43" s="123">
        <f t="shared" si="4"/>
        <v>4180354.9770550355</v>
      </c>
      <c r="E43" s="122">
        <v>16070354.977055036</v>
      </c>
      <c r="F43" s="122"/>
      <c r="G43" s="122">
        <v>0</v>
      </c>
      <c r="H43" s="39">
        <f>E72</f>
        <v>-11890000</v>
      </c>
      <c r="I43" s="35" t="s">
        <v>234</v>
      </c>
      <c r="K43" s="39"/>
    </row>
    <row r="44" spans="1:11" x14ac:dyDescent="0.2">
      <c r="A44" s="33">
        <f t="shared" si="5"/>
        <v>31</v>
      </c>
      <c r="C44" s="63">
        <v>927</v>
      </c>
      <c r="D44" s="123">
        <f t="shared" si="4"/>
        <v>104335318</v>
      </c>
      <c r="E44" s="39">
        <v>0</v>
      </c>
      <c r="F44" s="39">
        <f>E13</f>
        <v>104335318</v>
      </c>
      <c r="G44" s="39">
        <v>0</v>
      </c>
      <c r="H44" s="39">
        <v>0</v>
      </c>
      <c r="I44" s="35" t="s">
        <v>235</v>
      </c>
      <c r="K44" s="39"/>
    </row>
    <row r="45" spans="1:11" x14ac:dyDescent="0.2">
      <c r="A45" s="33">
        <f t="shared" si="5"/>
        <v>32</v>
      </c>
      <c r="C45" s="63">
        <v>928</v>
      </c>
      <c r="D45" s="123">
        <f t="shared" si="4"/>
        <v>9979027.6099999994</v>
      </c>
      <c r="E45" s="122">
        <v>9979027.6099999994</v>
      </c>
      <c r="F45" s="122"/>
      <c r="G45" s="122">
        <v>0</v>
      </c>
      <c r="H45" s="122"/>
      <c r="I45" s="35"/>
      <c r="K45" s="39"/>
    </row>
    <row r="46" spans="1:11" x14ac:dyDescent="0.2">
      <c r="A46" s="33">
        <f t="shared" si="5"/>
        <v>33</v>
      </c>
      <c r="C46" s="63">
        <v>929</v>
      </c>
      <c r="D46" s="123">
        <f t="shared" si="4"/>
        <v>0</v>
      </c>
      <c r="E46" s="122">
        <v>0</v>
      </c>
      <c r="F46" s="122"/>
      <c r="G46" s="122">
        <v>0</v>
      </c>
      <c r="H46" s="122"/>
      <c r="I46" s="35"/>
      <c r="K46" s="39"/>
    </row>
    <row r="47" spans="1:11" x14ac:dyDescent="0.2">
      <c r="A47" s="33">
        <f t="shared" si="5"/>
        <v>34</v>
      </c>
      <c r="C47" s="63">
        <v>930.1</v>
      </c>
      <c r="D47" s="123">
        <f t="shared" si="4"/>
        <v>0</v>
      </c>
      <c r="E47" s="122">
        <v>0</v>
      </c>
      <c r="F47" s="122"/>
      <c r="G47" s="122">
        <v>0</v>
      </c>
      <c r="H47" s="122"/>
      <c r="I47" s="35"/>
      <c r="K47" s="39"/>
    </row>
    <row r="48" spans="1:11" x14ac:dyDescent="0.2">
      <c r="A48" s="33">
        <f t="shared" si="5"/>
        <v>35</v>
      </c>
      <c r="C48" s="63">
        <v>930.2</v>
      </c>
      <c r="D48" s="123">
        <f t="shared" si="4"/>
        <v>5999239.1899999976</v>
      </c>
      <c r="E48" s="122">
        <v>5999239.1899999976</v>
      </c>
      <c r="F48" s="122"/>
      <c r="G48" s="122">
        <v>0</v>
      </c>
      <c r="H48" s="122"/>
      <c r="I48" s="35"/>
      <c r="J48" s="39"/>
    </row>
    <row r="49" spans="1:10" x14ac:dyDescent="0.2">
      <c r="A49" s="33">
        <f t="shared" si="5"/>
        <v>36</v>
      </c>
      <c r="C49" s="63">
        <v>931</v>
      </c>
      <c r="D49" s="123">
        <f t="shared" si="4"/>
        <v>12016812.699999999</v>
      </c>
      <c r="E49" s="122">
        <v>12016812.699999999</v>
      </c>
      <c r="F49" s="122"/>
      <c r="G49" s="122">
        <v>0</v>
      </c>
      <c r="H49" s="122"/>
      <c r="I49" s="35"/>
      <c r="J49" s="39"/>
    </row>
    <row r="50" spans="1:10" x14ac:dyDescent="0.2">
      <c r="A50" s="33">
        <f t="shared" si="5"/>
        <v>37</v>
      </c>
      <c r="C50" s="63">
        <v>935</v>
      </c>
      <c r="D50" s="123">
        <f t="shared" si="4"/>
        <v>769627.75</v>
      </c>
      <c r="E50" s="122">
        <v>769627.75</v>
      </c>
      <c r="F50" s="122"/>
      <c r="G50" s="122">
        <v>0</v>
      </c>
      <c r="H50" s="122"/>
      <c r="I50" s="35"/>
    </row>
    <row r="51" spans="1:10" x14ac:dyDescent="0.2">
      <c r="A51" s="33"/>
      <c r="C51" s="63"/>
      <c r="D51" s="123"/>
      <c r="E51" s="39"/>
      <c r="F51" s="39"/>
      <c r="G51" s="39"/>
      <c r="H51" s="39"/>
      <c r="I51" s="35"/>
    </row>
    <row r="52" spans="1:10" x14ac:dyDescent="0.2">
      <c r="A52" s="33"/>
      <c r="C52" s="63"/>
      <c r="D52" s="123"/>
      <c r="E52" s="39"/>
      <c r="F52" s="39"/>
      <c r="G52" s="39"/>
      <c r="H52" s="39"/>
      <c r="I52" s="35"/>
    </row>
    <row r="53" spans="1:10" x14ac:dyDescent="0.2">
      <c r="B53" s="29" t="s">
        <v>236</v>
      </c>
    </row>
    <row r="54" spans="1:10" x14ac:dyDescent="0.2">
      <c r="B54" s="29"/>
      <c r="C54" s="30" t="s">
        <v>237</v>
      </c>
      <c r="G54" s="33"/>
      <c r="H54" s="33"/>
    </row>
    <row r="55" spans="1:10" x14ac:dyDescent="0.2">
      <c r="B55" s="29"/>
      <c r="C55" s="56" t="s">
        <v>238</v>
      </c>
      <c r="D55" s="56"/>
      <c r="E55" s="56"/>
      <c r="G55" s="33"/>
      <c r="H55" s="33"/>
    </row>
    <row r="56" spans="1:10" x14ac:dyDescent="0.2">
      <c r="B56" s="29"/>
      <c r="G56" s="37" t="s">
        <v>32</v>
      </c>
      <c r="H56" s="37" t="s">
        <v>33</v>
      </c>
    </row>
    <row r="57" spans="1:10" x14ac:dyDescent="0.2">
      <c r="A57" s="33"/>
      <c r="B57" s="33" t="s">
        <v>114</v>
      </c>
      <c r="F57" s="49" t="s">
        <v>239</v>
      </c>
      <c r="G57" s="122">
        <v>148050456</v>
      </c>
      <c r="H57" s="35" t="s">
        <v>240</v>
      </c>
    </row>
    <row r="58" spans="1:10" x14ac:dyDescent="0.2">
      <c r="A58" s="33"/>
      <c r="B58" s="33" t="s">
        <v>116</v>
      </c>
      <c r="F58" s="49" t="s">
        <v>241</v>
      </c>
      <c r="G58" s="45">
        <f>E62</f>
        <v>14080414.872411605</v>
      </c>
      <c r="H58" s="35" t="str">
        <f>"Note 2, "&amp;B62&amp;""</f>
        <v>Note 2, d</v>
      </c>
    </row>
    <row r="59" spans="1:10" x14ac:dyDescent="0.2">
      <c r="A59" s="33"/>
      <c r="B59" s="33" t="s">
        <v>119</v>
      </c>
      <c r="F59" s="49" t="s">
        <v>242</v>
      </c>
      <c r="G59" s="39">
        <f>G57-G58</f>
        <v>133970041.12758839</v>
      </c>
    </row>
    <row r="60" spans="1:10" x14ac:dyDescent="0.2">
      <c r="A60" s="33"/>
      <c r="C60" s="56" t="s">
        <v>243</v>
      </c>
      <c r="D60" s="56"/>
      <c r="E60" s="56"/>
      <c r="G60" s="39"/>
    </row>
    <row r="61" spans="1:10" x14ac:dyDescent="0.2">
      <c r="A61" s="33"/>
      <c r="D61" s="36" t="s">
        <v>244</v>
      </c>
      <c r="E61" s="37" t="s">
        <v>32</v>
      </c>
      <c r="F61" s="37" t="s">
        <v>33</v>
      </c>
      <c r="G61" s="39"/>
    </row>
    <row r="62" spans="1:10" x14ac:dyDescent="0.2">
      <c r="A62" s="33"/>
      <c r="B62" s="33" t="s">
        <v>121</v>
      </c>
      <c r="D62" s="30" t="s">
        <v>245</v>
      </c>
      <c r="E62" s="111">
        <v>14080414.872411605</v>
      </c>
      <c r="F62" s="35" t="s">
        <v>246</v>
      </c>
      <c r="G62" s="39"/>
    </row>
    <row r="63" spans="1:10" x14ac:dyDescent="0.2">
      <c r="A63" s="33"/>
      <c r="B63" s="33" t="s">
        <v>125</v>
      </c>
      <c r="D63" s="30" t="s">
        <v>247</v>
      </c>
      <c r="E63" s="111">
        <v>6519087.5034648124</v>
      </c>
      <c r="F63" s="35" t="s">
        <v>246</v>
      </c>
      <c r="G63" s="39"/>
      <c r="I63" s="112"/>
    </row>
    <row r="64" spans="1:10" x14ac:dyDescent="0.2">
      <c r="A64" s="33"/>
      <c r="B64" s="33" t="s">
        <v>127</v>
      </c>
      <c r="D64" s="30" t="s">
        <v>248</v>
      </c>
      <c r="E64" s="113">
        <v>22710657.624123573</v>
      </c>
      <c r="F64" s="35" t="s">
        <v>246</v>
      </c>
      <c r="G64" s="39"/>
      <c r="I64" s="39"/>
    </row>
    <row r="65" spans="1:7" x14ac:dyDescent="0.2">
      <c r="A65" s="33"/>
      <c r="B65" s="33" t="s">
        <v>129</v>
      </c>
      <c r="D65" s="49" t="s">
        <v>249</v>
      </c>
      <c r="E65" s="39">
        <f>SUM(E62:E64)</f>
        <v>43310159.999999993</v>
      </c>
      <c r="F65" s="35" t="str">
        <f>"Sum of "&amp;B62&amp;" to "&amp;B64&amp;""</f>
        <v>Sum of d to f</v>
      </c>
      <c r="G65" s="39"/>
    </row>
    <row r="67" spans="1:7" x14ac:dyDescent="0.2">
      <c r="B67" s="29" t="s">
        <v>250</v>
      </c>
    </row>
    <row r="68" spans="1:7" x14ac:dyDescent="0.2">
      <c r="E68" s="37" t="s">
        <v>32</v>
      </c>
      <c r="F68" s="36" t="s">
        <v>251</v>
      </c>
    </row>
    <row r="69" spans="1:7" x14ac:dyDescent="0.2">
      <c r="A69" s="33"/>
      <c r="B69" s="33" t="s">
        <v>114</v>
      </c>
      <c r="D69" s="49" t="s">
        <v>252</v>
      </c>
      <c r="E69" s="39">
        <v>6329000</v>
      </c>
      <c r="F69" s="35" t="s">
        <v>253</v>
      </c>
      <c r="G69" s="249"/>
    </row>
    <row r="70" spans="1:7" x14ac:dyDescent="0.2">
      <c r="A70" s="33"/>
      <c r="B70" s="33" t="s">
        <v>116</v>
      </c>
      <c r="D70" s="49" t="s">
        <v>254</v>
      </c>
      <c r="E70" s="125">
        <v>18219000</v>
      </c>
      <c r="F70" s="35" t="s">
        <v>255</v>
      </c>
    </row>
    <row r="71" spans="1:7" x14ac:dyDescent="0.2">
      <c r="A71" s="33"/>
      <c r="B71" s="33" t="s">
        <v>119</v>
      </c>
      <c r="D71" s="49" t="s">
        <v>256</v>
      </c>
      <c r="E71" s="126">
        <v>6329000</v>
      </c>
      <c r="F71" s="35" t="s">
        <v>240</v>
      </c>
    </row>
    <row r="72" spans="1:7" x14ac:dyDescent="0.2">
      <c r="A72" s="33"/>
      <c r="B72" s="33" t="s">
        <v>121</v>
      </c>
      <c r="D72" s="49" t="s">
        <v>257</v>
      </c>
      <c r="E72" s="39">
        <f>E71-E70</f>
        <v>-11890000</v>
      </c>
      <c r="F72" s="35" t="str">
        <f>""&amp;B71&amp;" - "&amp;B70&amp;""</f>
        <v>c - b</v>
      </c>
    </row>
    <row r="73" spans="1:7" x14ac:dyDescent="0.2">
      <c r="A73" s="33"/>
      <c r="B73" s="29" t="s">
        <v>258</v>
      </c>
      <c r="D73" s="49"/>
      <c r="E73" s="39"/>
      <c r="F73" s="35"/>
    </row>
    <row r="74" spans="1:7" x14ac:dyDescent="0.2">
      <c r="A74" s="33"/>
      <c r="B74" s="29"/>
      <c r="C74" s="30" t="str">
        <f>"Amount in Line "&amp;A44&amp;", column 2 equals amount in Line "&amp;A13&amp;", column 1 because all Franchise Requirements Expenses are excluded"</f>
        <v>Amount in Line 31, column 2 equals amount in Line 8, column 1 because all Franchise Requirements Expenses are excluded</v>
      </c>
      <c r="D74" s="49"/>
      <c r="E74" s="39"/>
      <c r="F74" s="35"/>
    </row>
    <row r="75" spans="1:7" x14ac:dyDescent="0.2">
      <c r="A75" s="33"/>
      <c r="B75" s="29"/>
      <c r="C75" s="30" t="s">
        <v>259</v>
      </c>
      <c r="D75" s="49"/>
      <c r="E75" s="39"/>
      <c r="F75" s="35"/>
    </row>
    <row r="77" spans="1:7" x14ac:dyDescent="0.2">
      <c r="B77" s="29" t="s">
        <v>104</v>
      </c>
    </row>
    <row r="78" spans="1:7" x14ac:dyDescent="0.2">
      <c r="C78" s="30" t="str">
        <f>"1) Enter amounts of A&amp;G expenses from FERC Form 1 in Lines "&amp;A6&amp;" to "&amp;A19&amp;"."</f>
        <v>1) Enter amounts of A&amp;G expenses from FERC Form 1 in Lines 1 to 14.</v>
      </c>
    </row>
    <row r="79" spans="1:7" x14ac:dyDescent="0.2">
      <c r="C79" s="30" t="s">
        <v>260</v>
      </c>
      <c r="G79" s="30" t="str">
        <f>"Column 3, Line "&amp;A37&amp;""</f>
        <v>Column 3, Line 24</v>
      </c>
    </row>
    <row r="80" spans="1:7" x14ac:dyDescent="0.2">
      <c r="C80" s="35" t="str">
        <f>"is calculated in Note 2.  The PBOPs exclusion in Column 4, Line "&amp;A43&amp;" is calculated in Note 3."</f>
        <v>is calculated in Note 2.  The PBOPs exclusion in Column 4, Line 30 is calculated in Note 3.</v>
      </c>
    </row>
    <row r="81" spans="3:7" x14ac:dyDescent="0.2">
      <c r="C81" s="35" t="s">
        <v>261</v>
      </c>
    </row>
    <row r="82" spans="3:7" x14ac:dyDescent="0.2">
      <c r="C82" s="35" t="s">
        <v>262</v>
      </c>
      <c r="D82" s="49"/>
      <c r="E82" s="39"/>
      <c r="F82" s="35"/>
    </row>
    <row r="83" spans="3:7" x14ac:dyDescent="0.2">
      <c r="C83" s="35" t="s">
        <v>263</v>
      </c>
      <c r="D83" s="49"/>
      <c r="E83" s="39"/>
      <c r="F83" s="35"/>
    </row>
    <row r="84" spans="3:7" x14ac:dyDescent="0.2">
      <c r="C84" s="35" t="s">
        <v>264</v>
      </c>
    </row>
    <row r="85" spans="3:7" x14ac:dyDescent="0.2">
      <c r="C85" s="35" t="s">
        <v>265</v>
      </c>
    </row>
    <row r="86" spans="3:7" x14ac:dyDescent="0.2">
      <c r="C86" s="35" t="s">
        <v>266</v>
      </c>
    </row>
    <row r="87" spans="3:7" x14ac:dyDescent="0.2">
      <c r="C87" s="35" t="s">
        <v>267</v>
      </c>
    </row>
    <row r="88" spans="3:7" x14ac:dyDescent="0.2">
      <c r="C88" s="35" t="s">
        <v>268</v>
      </c>
    </row>
    <row r="89" spans="3:7" x14ac:dyDescent="0.2">
      <c r="C89" s="35" t="s">
        <v>269</v>
      </c>
      <c r="E89" s="127"/>
      <c r="F89" s="127"/>
      <c r="G89" s="127"/>
    </row>
    <row r="90" spans="3:7" x14ac:dyDescent="0.2">
      <c r="C90" s="128" t="s">
        <v>270</v>
      </c>
      <c r="E90" s="127"/>
      <c r="F90" s="127"/>
      <c r="G90" s="127"/>
    </row>
    <row r="91" spans="3:7" x14ac:dyDescent="0.2">
      <c r="C91" s="128" t="s">
        <v>271</v>
      </c>
      <c r="E91" s="127"/>
      <c r="F91" s="127"/>
      <c r="G91" s="127"/>
    </row>
    <row r="92" spans="3:7" x14ac:dyDescent="0.2">
      <c r="C92" s="128" t="s">
        <v>272</v>
      </c>
      <c r="E92" s="127"/>
      <c r="F92" s="127"/>
      <c r="G92" s="127"/>
    </row>
    <row r="93" spans="3:7" x14ac:dyDescent="0.2">
      <c r="C93" s="35" t="s">
        <v>273</v>
      </c>
      <c r="E93" s="127"/>
      <c r="F93" s="127"/>
      <c r="G93" s="127"/>
    </row>
    <row r="94" spans="3:7" x14ac:dyDescent="0.2">
      <c r="C94" s="128" t="s">
        <v>274</v>
      </c>
      <c r="E94" s="127"/>
      <c r="F94" s="127"/>
      <c r="G94" s="127"/>
    </row>
    <row r="95" spans="3:7" x14ac:dyDescent="0.2">
      <c r="C95" s="128" t="s">
        <v>275</v>
      </c>
      <c r="E95" s="127"/>
      <c r="F95" s="127"/>
      <c r="G95" s="127"/>
    </row>
    <row r="96" spans="3:7" x14ac:dyDescent="0.2">
      <c r="C96" s="128" t="s">
        <v>276</v>
      </c>
      <c r="E96" s="127"/>
      <c r="F96" s="127"/>
      <c r="G96" s="127"/>
    </row>
    <row r="97" spans="3:10" x14ac:dyDescent="0.2">
      <c r="C97" s="128" t="s">
        <v>277</v>
      </c>
      <c r="E97" s="127"/>
      <c r="F97" s="127"/>
      <c r="G97" s="127"/>
    </row>
    <row r="98" spans="3:10" x14ac:dyDescent="0.2">
      <c r="C98" s="65" t="s">
        <v>278</v>
      </c>
      <c r="D98" s="56"/>
      <c r="E98" s="56"/>
      <c r="F98" s="56"/>
      <c r="G98" s="56"/>
      <c r="H98" s="56"/>
      <c r="I98" s="56"/>
      <c r="J98" s="56"/>
    </row>
    <row r="99" spans="3:10" x14ac:dyDescent="0.2">
      <c r="C99" s="30" t="s">
        <v>279</v>
      </c>
    </row>
    <row r="100" spans="3:10" x14ac:dyDescent="0.2">
      <c r="C100" s="65" t="s">
        <v>280</v>
      </c>
      <c r="D100" s="56"/>
      <c r="E100" s="56"/>
      <c r="F100" s="56"/>
      <c r="G100" s="56"/>
      <c r="H100" s="56"/>
      <c r="I100" s="56"/>
    </row>
    <row r="101" spans="3:10" x14ac:dyDescent="0.2">
      <c r="C101" s="30" t="str">
        <f>"4) Determine the PBOPs exclusion.  The authorized amount of PBOPs expense (line "&amp;B69&amp;") may only be revised"</f>
        <v>4) Determine the PBOPs exclusion.  The authorized amount of PBOPs expense (line a) may only be revised</v>
      </c>
    </row>
    <row r="102" spans="3:10" x14ac:dyDescent="0.2">
      <c r="C102" s="30" t="s">
        <v>281</v>
      </c>
    </row>
    <row r="103" spans="3:10" x14ac:dyDescent="0.2">
      <c r="C103" s="30" t="s">
        <v>282</v>
      </c>
    </row>
    <row r="104" spans="3:10" x14ac:dyDescent="0.2">
      <c r="C104" s="30" t="s">
        <v>283</v>
      </c>
      <c r="I104" s="59" t="s">
        <v>288</v>
      </c>
      <c r="J104" s="59"/>
    </row>
    <row r="105" spans="3:10" x14ac:dyDescent="0.2">
      <c r="C105" s="30" t="s">
        <v>284</v>
      </c>
    </row>
  </sheetData>
  <pageMargins left="0.75" right="0.75" top="1" bottom="1" header="0.5" footer="0.5"/>
  <pageSetup scale="70" orientation="landscape" cellComments="asDisplayed" r:id="rId1"/>
  <headerFooter alignWithMargins="0">
    <oddHeader>&amp;CSchedule 20
Administrative and General Expenses
(Revised 2019 
TO2018 True Up TRR)&amp;RTO2024 Annual Update
Attachment 4
WP-Schedule 3-One Time Adj Prior Period
Page &amp;P of &amp;N</oddHeader>
    <oddFooter>&amp;R&amp;A</oddFooter>
  </headerFooter>
  <rowBreaks count="2" manualBreakCount="2">
    <brk id="51" max="9" man="1"/>
    <brk id="76"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97E39-B923-4CF4-B5DF-06368197E33D}">
  <sheetPr>
    <tabColor rgb="FFCCFFCC"/>
  </sheetPr>
  <dimension ref="A1:O172"/>
  <sheetViews>
    <sheetView zoomScaleNormal="100" workbookViewId="0"/>
  </sheetViews>
  <sheetFormatPr defaultColWidth="8.7109375" defaultRowHeight="12.75" x14ac:dyDescent="0.2"/>
  <cols>
    <col min="1" max="2" width="4.5703125" style="30" customWidth="1"/>
    <col min="3" max="3" width="18.5703125" style="30" customWidth="1"/>
    <col min="4" max="4" width="10.42578125" style="30" bestFit="1" customWidth="1"/>
    <col min="5" max="7" width="15.5703125" style="30" customWidth="1"/>
    <col min="8" max="8" width="24.5703125" style="30" customWidth="1"/>
    <col min="9" max="9" width="4.5703125" style="30" customWidth="1"/>
    <col min="10" max="10" width="15.5703125" style="30" customWidth="1"/>
    <col min="11" max="11" width="2.5703125" style="30" customWidth="1"/>
    <col min="12" max="12" width="14.42578125" style="30" customWidth="1"/>
    <col min="13" max="13" width="4.42578125" style="30" customWidth="1"/>
    <col min="14" max="14" width="20.5703125" style="30" customWidth="1"/>
    <col min="15" max="16384" width="8.7109375" style="30"/>
  </cols>
  <sheetData>
    <row r="1" spans="1:14" x14ac:dyDescent="0.2">
      <c r="A1" s="29" t="s">
        <v>35</v>
      </c>
    </row>
    <row r="3" spans="1:14" x14ac:dyDescent="0.2">
      <c r="B3" s="31" t="s">
        <v>36</v>
      </c>
      <c r="L3" s="33"/>
    </row>
    <row r="4" spans="1:14" x14ac:dyDescent="0.2">
      <c r="B4" s="32"/>
      <c r="F4" s="33" t="s">
        <v>37</v>
      </c>
      <c r="G4" s="33"/>
      <c r="H4" s="33" t="s">
        <v>38</v>
      </c>
      <c r="L4" s="33"/>
      <c r="N4" s="33"/>
    </row>
    <row r="5" spans="1:14" x14ac:dyDescent="0.2">
      <c r="A5" s="34" t="s">
        <v>39</v>
      </c>
      <c r="B5" s="35"/>
      <c r="C5" s="36" t="s">
        <v>40</v>
      </c>
      <c r="F5" s="37" t="s">
        <v>41</v>
      </c>
      <c r="G5" s="37" t="s">
        <v>42</v>
      </c>
      <c r="H5" s="37" t="s">
        <v>43</v>
      </c>
      <c r="J5" s="37" t="s">
        <v>32</v>
      </c>
      <c r="L5" s="37"/>
      <c r="N5" s="37"/>
    </row>
    <row r="6" spans="1:14" x14ac:dyDescent="0.2">
      <c r="A6" s="33">
        <v>1</v>
      </c>
      <c r="C6" s="38" t="s">
        <v>44</v>
      </c>
      <c r="F6" s="30" t="s">
        <v>45</v>
      </c>
      <c r="H6" s="38" t="s">
        <v>450</v>
      </c>
      <c r="J6" s="39">
        <v>8939630709.3337479</v>
      </c>
      <c r="L6" s="39"/>
      <c r="N6" s="39"/>
    </row>
    <row r="7" spans="1:14" x14ac:dyDescent="0.2">
      <c r="A7" s="33">
        <f>A6+1</f>
        <v>2</v>
      </c>
      <c r="C7" s="38" t="s">
        <v>46</v>
      </c>
      <c r="F7" s="30" t="s">
        <v>47</v>
      </c>
      <c r="H7" s="38" t="s">
        <v>451</v>
      </c>
      <c r="J7" s="39">
        <v>288986135.3460899</v>
      </c>
      <c r="L7" s="39"/>
      <c r="N7" s="39"/>
    </row>
    <row r="8" spans="1:14" x14ac:dyDescent="0.2">
      <c r="A8" s="33">
        <f>A7+1</f>
        <v>3</v>
      </c>
      <c r="C8" s="38" t="s">
        <v>48</v>
      </c>
      <c r="F8" s="30" t="s">
        <v>47</v>
      </c>
      <c r="H8" s="30" t="s">
        <v>452</v>
      </c>
      <c r="J8" s="39">
        <v>9942155</v>
      </c>
      <c r="L8" s="39"/>
      <c r="N8" s="39"/>
    </row>
    <row r="9" spans="1:14" x14ac:dyDescent="0.2">
      <c r="A9" s="33">
        <f>A8+1</f>
        <v>4</v>
      </c>
      <c r="C9" s="38" t="s">
        <v>49</v>
      </c>
      <c r="F9" s="30" t="s">
        <v>47</v>
      </c>
      <c r="H9" s="30" t="s">
        <v>453</v>
      </c>
      <c r="J9" s="39">
        <v>0</v>
      </c>
      <c r="L9" s="39"/>
      <c r="N9" s="39"/>
    </row>
    <row r="10" spans="1:14" x14ac:dyDescent="0.2">
      <c r="A10" s="33"/>
      <c r="C10" s="38"/>
      <c r="J10" s="39"/>
      <c r="L10" s="39"/>
      <c r="N10" s="39"/>
    </row>
    <row r="11" spans="1:14" x14ac:dyDescent="0.2">
      <c r="A11" s="33"/>
      <c r="C11" s="40" t="s">
        <v>50</v>
      </c>
      <c r="J11" s="39"/>
      <c r="L11" s="39"/>
      <c r="N11" s="39"/>
    </row>
    <row r="12" spans="1:14" x14ac:dyDescent="0.2">
      <c r="A12" s="33">
        <f>A9+1</f>
        <v>5</v>
      </c>
      <c r="C12" s="35" t="s">
        <v>51</v>
      </c>
      <c r="F12" s="30" t="s">
        <v>45</v>
      </c>
      <c r="H12" s="38" t="s">
        <v>454</v>
      </c>
      <c r="J12" s="39">
        <v>21476899.868948326</v>
      </c>
      <c r="L12" s="39"/>
      <c r="N12" s="39"/>
    </row>
    <row r="13" spans="1:14" x14ac:dyDescent="0.2">
      <c r="A13" s="33">
        <f>A12+1</f>
        <v>6</v>
      </c>
      <c r="C13" s="35" t="s">
        <v>52</v>
      </c>
      <c r="F13" s="30" t="s">
        <v>45</v>
      </c>
      <c r="H13" s="38" t="s">
        <v>455</v>
      </c>
      <c r="J13" s="39">
        <v>21286307.043254811</v>
      </c>
      <c r="L13" s="39"/>
      <c r="N13" s="39"/>
    </row>
    <row r="14" spans="1:14" x14ac:dyDescent="0.2">
      <c r="A14" s="33">
        <f>A13+1</f>
        <v>7</v>
      </c>
      <c r="C14" s="35" t="s">
        <v>53</v>
      </c>
      <c r="F14" s="30" t="s">
        <v>144</v>
      </c>
      <c r="H14" s="30" t="s">
        <v>456</v>
      </c>
      <c r="J14" s="41">
        <v>24803722.738200035</v>
      </c>
      <c r="L14" s="45"/>
      <c r="N14" s="39"/>
    </row>
    <row r="15" spans="1:14" x14ac:dyDescent="0.2">
      <c r="A15" s="33">
        <f>A14+1</f>
        <v>8</v>
      </c>
      <c r="C15" s="35" t="s">
        <v>54</v>
      </c>
      <c r="H15" s="30" t="str">
        <f>"Line "&amp;A12&amp;" + Line "&amp;A13&amp;" + Line "&amp;A14&amp;""</f>
        <v>Line 5 + Line 6 + Line 7</v>
      </c>
      <c r="J15" s="42">
        <f>SUM(J12:J14)</f>
        <v>67566929.650403172</v>
      </c>
      <c r="L15" s="39"/>
      <c r="N15" s="39"/>
    </row>
    <row r="16" spans="1:14" x14ac:dyDescent="0.2">
      <c r="A16" s="33"/>
      <c r="C16" s="35"/>
      <c r="J16" s="39"/>
      <c r="L16" s="39"/>
      <c r="N16" s="39"/>
    </row>
    <row r="17" spans="1:14" x14ac:dyDescent="0.2">
      <c r="A17" s="33"/>
      <c r="C17" s="43" t="s">
        <v>55</v>
      </c>
      <c r="J17" s="39"/>
      <c r="L17" s="39"/>
      <c r="N17" s="39"/>
    </row>
    <row r="18" spans="1:14" x14ac:dyDescent="0.2">
      <c r="A18" s="33">
        <f>A15+1</f>
        <v>9</v>
      </c>
      <c r="C18" s="35" t="s">
        <v>56</v>
      </c>
      <c r="F18" s="30" t="s">
        <v>45</v>
      </c>
      <c r="G18" s="30" t="s">
        <v>57</v>
      </c>
      <c r="H18" s="38" t="s">
        <v>472</v>
      </c>
      <c r="J18" s="39">
        <v>-1839774172.2805853</v>
      </c>
      <c r="L18" s="39"/>
      <c r="N18" s="39"/>
    </row>
    <row r="19" spans="1:14" x14ac:dyDescent="0.2">
      <c r="A19" s="33">
        <f>A18+1</f>
        <v>10</v>
      </c>
      <c r="C19" s="35" t="s">
        <v>58</v>
      </c>
      <c r="F19" s="30" t="s">
        <v>47</v>
      </c>
      <c r="G19" s="30" t="s">
        <v>57</v>
      </c>
      <c r="H19" s="38" t="s">
        <v>473</v>
      </c>
      <c r="J19" s="39">
        <v>0</v>
      </c>
      <c r="L19" s="39"/>
      <c r="N19" s="39"/>
    </row>
    <row r="20" spans="1:14" x14ac:dyDescent="0.2">
      <c r="A20" s="33">
        <f>A19+1</f>
        <v>11</v>
      </c>
      <c r="C20" s="35" t="s">
        <v>59</v>
      </c>
      <c r="D20" s="44"/>
      <c r="F20" s="30" t="s">
        <v>47</v>
      </c>
      <c r="G20" s="30" t="s">
        <v>57</v>
      </c>
      <c r="H20" s="38" t="s">
        <v>474</v>
      </c>
      <c r="J20" s="45">
        <v>-105809932.94764221</v>
      </c>
      <c r="L20" s="39"/>
      <c r="N20" s="39"/>
    </row>
    <row r="21" spans="1:14" x14ac:dyDescent="0.2">
      <c r="A21" s="33">
        <f>A20+1</f>
        <v>12</v>
      </c>
      <c r="C21" s="46" t="s">
        <v>60</v>
      </c>
      <c r="D21" s="44"/>
      <c r="H21" s="30" t="str">
        <f>"Line "&amp;A18&amp;" + Line "&amp;A19&amp;" + Line "&amp;A20&amp;""</f>
        <v>Line 9 + Line 10 + Line 11</v>
      </c>
      <c r="J21" s="39">
        <f>SUM(J18:J20)</f>
        <v>-1945584105.2282276</v>
      </c>
      <c r="L21" s="39"/>
      <c r="N21" s="39"/>
    </row>
    <row r="22" spans="1:14" x14ac:dyDescent="0.2">
      <c r="A22" s="33"/>
      <c r="J22" s="39"/>
      <c r="L22" s="39"/>
      <c r="N22" s="39"/>
    </row>
    <row r="23" spans="1:14" x14ac:dyDescent="0.2">
      <c r="A23" s="33">
        <f>A21+1</f>
        <v>13</v>
      </c>
      <c r="C23" s="38" t="s">
        <v>61</v>
      </c>
      <c r="F23" s="38" t="s">
        <v>47</v>
      </c>
      <c r="H23" s="38" t="s">
        <v>494</v>
      </c>
      <c r="J23" s="39">
        <v>-1632145854.7122164</v>
      </c>
      <c r="L23" s="39"/>
      <c r="N23" s="39"/>
    </row>
    <row r="24" spans="1:14" x14ac:dyDescent="0.2">
      <c r="A24" s="33">
        <f>A23+1</f>
        <v>14</v>
      </c>
      <c r="C24" s="38" t="s">
        <v>62</v>
      </c>
      <c r="F24" s="30" t="s">
        <v>45</v>
      </c>
      <c r="H24" s="38" t="s">
        <v>489</v>
      </c>
      <c r="J24" s="39">
        <v>602185189.09144735</v>
      </c>
      <c r="L24" s="39"/>
      <c r="N24" s="39"/>
    </row>
    <row r="25" spans="1:14" x14ac:dyDescent="0.2">
      <c r="A25" s="33">
        <f>A24+1</f>
        <v>15</v>
      </c>
      <c r="C25" s="38" t="s">
        <v>63</v>
      </c>
      <c r="F25" s="30" t="s">
        <v>47</v>
      </c>
      <c r="G25" s="30" t="s">
        <v>57</v>
      </c>
      <c r="H25" s="38" t="s">
        <v>477</v>
      </c>
      <c r="J25" s="39">
        <v>-50661304.942000374</v>
      </c>
      <c r="L25" s="39"/>
      <c r="N25" s="39"/>
    </row>
    <row r="26" spans="1:14" x14ac:dyDescent="0.2">
      <c r="A26" s="33">
        <f t="shared" ref="A26:A27" si="0">A25+1</f>
        <v>16</v>
      </c>
      <c r="C26" s="38" t="s">
        <v>64</v>
      </c>
      <c r="H26" s="30" t="s">
        <v>478</v>
      </c>
      <c r="J26" s="39">
        <v>-192258245.62261316</v>
      </c>
      <c r="L26" s="39"/>
      <c r="N26" s="39"/>
    </row>
    <row r="27" spans="1:14" x14ac:dyDescent="0.2">
      <c r="A27" s="33">
        <f t="shared" si="0"/>
        <v>17</v>
      </c>
      <c r="C27" s="38" t="s">
        <v>65</v>
      </c>
      <c r="F27" s="30" t="s">
        <v>47</v>
      </c>
      <c r="H27" s="38" t="s">
        <v>479</v>
      </c>
      <c r="J27" s="39">
        <v>0</v>
      </c>
      <c r="L27" s="39"/>
      <c r="N27" s="39"/>
    </row>
    <row r="28" spans="1:14" x14ac:dyDescent="0.2">
      <c r="A28" s="33"/>
      <c r="C28" s="38"/>
      <c r="L28" s="39"/>
      <c r="N28" s="39"/>
    </row>
    <row r="29" spans="1:14" x14ac:dyDescent="0.2">
      <c r="A29" s="33">
        <f>A27+1</f>
        <v>18</v>
      </c>
      <c r="C29" s="30" t="s">
        <v>66</v>
      </c>
      <c r="H29" s="30" t="str">
        <f>"L"&amp;A6&amp;"+L"&amp;A7&amp;"+L"&amp;A8&amp;"+L"&amp;A9&amp;"+L"&amp;A15&amp;"+L"&amp;A21&amp;"+"</f>
        <v>L1+L2+L3+L4+L8+L12+</v>
      </c>
      <c r="J29" s="42">
        <f>J6+ J7+J8+J9+J15+J21+J23+J24+J25+J26+J27</f>
        <v>6087661607.9166317</v>
      </c>
      <c r="L29" s="39"/>
      <c r="N29" s="39"/>
    </row>
    <row r="30" spans="1:14" x14ac:dyDescent="0.2">
      <c r="A30" s="33"/>
      <c r="H30" s="30" t="str">
        <f>"L"&amp;A23&amp;"+L"&amp;A24&amp;"+L"&amp;A25&amp;"+L"&amp;A26&amp;"+L"&amp;A27&amp;""</f>
        <v>L13+L14+L15+L16+L17</v>
      </c>
      <c r="J30" s="39"/>
      <c r="L30" s="39"/>
      <c r="N30" s="39"/>
    </row>
    <row r="31" spans="1:14" x14ac:dyDescent="0.2">
      <c r="A31" s="33"/>
      <c r="B31" s="29" t="s">
        <v>67</v>
      </c>
      <c r="J31" s="39"/>
      <c r="L31" s="39"/>
      <c r="N31" s="39"/>
    </row>
    <row r="32" spans="1:14" x14ac:dyDescent="0.2">
      <c r="A32" s="34" t="s">
        <v>39</v>
      </c>
      <c r="C32" s="29"/>
      <c r="J32" s="39"/>
      <c r="L32" s="39"/>
      <c r="N32" s="39"/>
    </row>
    <row r="33" spans="1:14" x14ac:dyDescent="0.2">
      <c r="A33" s="33">
        <f>A29+1</f>
        <v>19</v>
      </c>
      <c r="C33" s="30" t="s">
        <v>68</v>
      </c>
      <c r="G33" s="30" t="s">
        <v>69</v>
      </c>
      <c r="H33" s="30" t="str">
        <f>"Instruction 1, Line "&amp;B98&amp;""</f>
        <v>Instruction 1, Line j</v>
      </c>
      <c r="J33" s="47">
        <f>E98</f>
        <v>7.7411713785852182E-2</v>
      </c>
      <c r="L33" s="47"/>
      <c r="M33" s="47"/>
      <c r="N33" s="47"/>
    </row>
    <row r="34" spans="1:14" x14ac:dyDescent="0.2">
      <c r="A34" s="33">
        <f>A33+1</f>
        <v>20</v>
      </c>
      <c r="C34" s="30" t="s">
        <v>70</v>
      </c>
      <c r="H34" s="30" t="str">
        <f>"Line "&amp;A29&amp;" * Line "&amp;A33&amp;""</f>
        <v>Line 18 * Line 19</v>
      </c>
      <c r="J34" s="42">
        <f>J29*J33</f>
        <v>471256318.01716298</v>
      </c>
      <c r="L34" s="39"/>
      <c r="N34" s="39"/>
    </row>
    <row r="35" spans="1:14" x14ac:dyDescent="0.2">
      <c r="A35" s="33"/>
      <c r="B35" s="35"/>
      <c r="L35" s="39"/>
      <c r="N35" s="39"/>
    </row>
    <row r="36" spans="1:14" x14ac:dyDescent="0.2">
      <c r="A36" s="33"/>
      <c r="B36" s="29" t="s">
        <v>71</v>
      </c>
      <c r="L36" s="39"/>
      <c r="N36" s="39"/>
    </row>
    <row r="37" spans="1:14" x14ac:dyDescent="0.2">
      <c r="A37" s="33"/>
      <c r="B37" s="35"/>
      <c r="L37" s="39"/>
      <c r="N37" s="39"/>
    </row>
    <row r="38" spans="1:14" x14ac:dyDescent="0.2">
      <c r="A38" s="33">
        <f>A34+1</f>
        <v>21</v>
      </c>
      <c r="C38" s="30" t="s">
        <v>72</v>
      </c>
      <c r="J38" s="42">
        <f>(((J29*J42) + J45) *(J43/(1-J43)))+(J44/(1-J43))</f>
        <v>98292595.280514717</v>
      </c>
      <c r="L38" s="39"/>
      <c r="N38" s="39"/>
    </row>
    <row r="39" spans="1:14" x14ac:dyDescent="0.2">
      <c r="A39" s="33"/>
      <c r="L39" s="39"/>
      <c r="N39" s="39"/>
    </row>
    <row r="40" spans="1:14" x14ac:dyDescent="0.2">
      <c r="A40" s="33"/>
      <c r="D40" s="30" t="s">
        <v>73</v>
      </c>
      <c r="L40" s="39"/>
      <c r="N40" s="39"/>
    </row>
    <row r="41" spans="1:14" x14ac:dyDescent="0.2">
      <c r="A41" s="33">
        <f>A38+1</f>
        <v>22</v>
      </c>
      <c r="D41" s="35" t="s">
        <v>74</v>
      </c>
      <c r="H41" s="30" t="str">
        <f>"Line "&amp;A29&amp;""</f>
        <v>Line 18</v>
      </c>
      <c r="J41" s="42">
        <f>J29</f>
        <v>6087661607.9166317</v>
      </c>
      <c r="L41" s="39"/>
      <c r="N41" s="39"/>
    </row>
    <row r="42" spans="1:14" x14ac:dyDescent="0.2">
      <c r="A42" s="33">
        <f>A41+1</f>
        <v>23</v>
      </c>
      <c r="D42" s="35" t="s">
        <v>75</v>
      </c>
      <c r="G42" s="30" t="s">
        <v>76</v>
      </c>
      <c r="H42" s="30" t="str">
        <f>"Instruction 1, Line "&amp;B103&amp;""</f>
        <v>Instruction 1, Line k</v>
      </c>
      <c r="J42" s="47">
        <f>E103</f>
        <v>5.6784747193324485E-2</v>
      </c>
      <c r="L42" s="47"/>
      <c r="M42" s="47"/>
      <c r="N42" s="47"/>
    </row>
    <row r="43" spans="1:14" x14ac:dyDescent="0.2">
      <c r="A43" s="33">
        <f>A42+1</f>
        <v>24</v>
      </c>
      <c r="D43" s="35" t="s">
        <v>77</v>
      </c>
      <c r="H43" s="30" t="s">
        <v>457</v>
      </c>
      <c r="J43" s="47">
        <v>0.27983599999999997</v>
      </c>
      <c r="L43" s="47"/>
      <c r="M43" s="47"/>
      <c r="N43" s="47"/>
    </row>
    <row r="44" spans="1:14" x14ac:dyDescent="0.2">
      <c r="A44" s="33">
        <f>A43+1</f>
        <v>25</v>
      </c>
      <c r="D44" s="35" t="s">
        <v>78</v>
      </c>
      <c r="H44" s="30" t="s">
        <v>458</v>
      </c>
      <c r="J44" s="39">
        <v>-27044842</v>
      </c>
      <c r="L44" s="39"/>
      <c r="N44" s="39"/>
    </row>
    <row r="45" spans="1:14" x14ac:dyDescent="0.2">
      <c r="A45" s="33">
        <f>A44+1</f>
        <v>26</v>
      </c>
      <c r="D45" s="35" t="s">
        <v>79</v>
      </c>
      <c r="H45" s="30" t="s">
        <v>459</v>
      </c>
      <c r="J45" s="39">
        <v>3917123</v>
      </c>
      <c r="L45" s="39"/>
      <c r="N45" s="39"/>
    </row>
    <row r="46" spans="1:14" x14ac:dyDescent="0.2">
      <c r="A46" s="33"/>
      <c r="B46" s="35"/>
      <c r="L46" s="39"/>
      <c r="N46" s="39"/>
    </row>
    <row r="47" spans="1:14" x14ac:dyDescent="0.2">
      <c r="A47" s="33"/>
      <c r="B47" s="29" t="s">
        <v>80</v>
      </c>
      <c r="L47" s="39"/>
      <c r="N47" s="39"/>
    </row>
    <row r="48" spans="1:14" x14ac:dyDescent="0.2">
      <c r="A48" s="33">
        <f>A45+1</f>
        <v>27</v>
      </c>
      <c r="B48" s="35"/>
      <c r="C48" s="30" t="s">
        <v>81</v>
      </c>
      <c r="H48" s="30" t="s">
        <v>460</v>
      </c>
      <c r="J48" s="39">
        <v>110879588.38578117</v>
      </c>
      <c r="L48" s="39"/>
      <c r="N48" s="39"/>
    </row>
    <row r="49" spans="1:14" x14ac:dyDescent="0.2">
      <c r="A49" s="33">
        <f t="shared" ref="A49:A59" si="1">A48+1</f>
        <v>28</v>
      </c>
      <c r="B49" s="35"/>
      <c r="C49" s="30" t="s">
        <v>82</v>
      </c>
      <c r="H49" s="30" t="s">
        <v>461</v>
      </c>
      <c r="J49" s="42">
        <v>87550193.519819111</v>
      </c>
      <c r="L49" s="39"/>
      <c r="N49" s="39"/>
    </row>
    <row r="50" spans="1:14" x14ac:dyDescent="0.2">
      <c r="A50" s="33">
        <f>A49+1</f>
        <v>29</v>
      </c>
      <c r="B50" s="35"/>
      <c r="C50" s="30" t="s">
        <v>83</v>
      </c>
      <c r="H50" s="30" t="s">
        <v>462</v>
      </c>
      <c r="J50" s="39">
        <v>4075483.5901751588</v>
      </c>
      <c r="L50" s="39"/>
      <c r="N50" s="39"/>
    </row>
    <row r="51" spans="1:14" x14ac:dyDescent="0.2">
      <c r="A51" s="33">
        <f t="shared" si="1"/>
        <v>30</v>
      </c>
      <c r="B51" s="35"/>
      <c r="C51" s="30" t="s">
        <v>84</v>
      </c>
      <c r="H51" s="30" t="s">
        <v>463</v>
      </c>
      <c r="J51" s="39">
        <v>255151988.45508885</v>
      </c>
      <c r="L51" s="39"/>
      <c r="N51" s="39"/>
    </row>
    <row r="52" spans="1:14" x14ac:dyDescent="0.2">
      <c r="A52" s="33">
        <f t="shared" si="1"/>
        <v>31</v>
      </c>
      <c r="B52" s="35"/>
      <c r="C52" s="30" t="s">
        <v>85</v>
      </c>
      <c r="H52" s="30" t="s">
        <v>464</v>
      </c>
      <c r="J52" s="39">
        <v>0</v>
      </c>
      <c r="L52" s="39"/>
      <c r="N52" s="39"/>
    </row>
    <row r="53" spans="1:14" x14ac:dyDescent="0.2">
      <c r="A53" s="33">
        <f t="shared" si="1"/>
        <v>32</v>
      </c>
      <c r="B53" s="35"/>
      <c r="C53" s="30" t="s">
        <v>86</v>
      </c>
      <c r="H53" s="30" t="s">
        <v>465</v>
      </c>
      <c r="J53" s="39">
        <v>66056888.527829707</v>
      </c>
      <c r="L53" s="39"/>
      <c r="N53" s="39"/>
    </row>
    <row r="54" spans="1:14" x14ac:dyDescent="0.2">
      <c r="A54" s="33">
        <f t="shared" si="1"/>
        <v>33</v>
      </c>
      <c r="B54" s="35"/>
      <c r="C54" s="30" t="s">
        <v>87</v>
      </c>
      <c r="H54" s="30" t="s">
        <v>466</v>
      </c>
      <c r="J54" s="39">
        <v>-54094032.244774804</v>
      </c>
      <c r="L54" s="39"/>
      <c r="N54" s="39"/>
    </row>
    <row r="55" spans="1:14" x14ac:dyDescent="0.2">
      <c r="A55" s="33">
        <f t="shared" si="1"/>
        <v>34</v>
      </c>
      <c r="B55" s="35"/>
      <c r="C55" s="30" t="s">
        <v>88</v>
      </c>
      <c r="H55" s="30" t="str">
        <f>"Line "&amp;A34&amp;""</f>
        <v>Line 20</v>
      </c>
      <c r="J55" s="42">
        <f>J34</f>
        <v>471256318.01716298</v>
      </c>
      <c r="L55" s="39"/>
      <c r="N55" s="39"/>
    </row>
    <row r="56" spans="1:14" x14ac:dyDescent="0.2">
      <c r="A56" s="33">
        <f t="shared" si="1"/>
        <v>35</v>
      </c>
      <c r="B56" s="35"/>
      <c r="C56" s="30" t="s">
        <v>89</v>
      </c>
      <c r="H56" s="30" t="str">
        <f>"Line "&amp;A38&amp;""</f>
        <v>Line 21</v>
      </c>
      <c r="J56" s="42">
        <f>J38</f>
        <v>98292595.280514717</v>
      </c>
      <c r="L56" s="39"/>
      <c r="N56" s="39"/>
    </row>
    <row r="57" spans="1:14" x14ac:dyDescent="0.2">
      <c r="A57" s="33">
        <f t="shared" si="1"/>
        <v>36</v>
      </c>
      <c r="B57" s="35"/>
      <c r="C57" s="30" t="s">
        <v>90</v>
      </c>
      <c r="H57" s="30" t="s">
        <v>467</v>
      </c>
      <c r="J57" s="39">
        <v>0</v>
      </c>
      <c r="L57" s="39"/>
      <c r="N57" s="39"/>
    </row>
    <row r="58" spans="1:14" x14ac:dyDescent="0.2">
      <c r="A58" s="33">
        <f t="shared" si="1"/>
        <v>37</v>
      </c>
      <c r="B58" s="35"/>
      <c r="C58" s="48" t="s">
        <v>91</v>
      </c>
      <c r="D58" s="48"/>
      <c r="H58" s="30" t="s">
        <v>468</v>
      </c>
      <c r="J58" s="45">
        <v>0</v>
      </c>
      <c r="L58" s="39"/>
      <c r="N58" s="39"/>
    </row>
    <row r="59" spans="1:14" x14ac:dyDescent="0.2">
      <c r="A59" s="33">
        <f t="shared" si="1"/>
        <v>38</v>
      </c>
      <c r="B59" s="35"/>
      <c r="C59" s="30" t="s">
        <v>92</v>
      </c>
      <c r="H59" s="30" t="str">
        <f>"Sum Line "&amp;A48&amp;" to Line "&amp;A58&amp;""</f>
        <v>Sum Line 27 to Line 37</v>
      </c>
      <c r="J59" s="42">
        <f>SUM(J48:J58)</f>
        <v>1039169023.5315969</v>
      </c>
      <c r="L59" s="39"/>
      <c r="N59" s="39"/>
    </row>
    <row r="60" spans="1:14" x14ac:dyDescent="0.2">
      <c r="A60" s="33"/>
      <c r="B60" s="35"/>
      <c r="J60" s="39"/>
      <c r="L60" s="39"/>
      <c r="N60" s="39"/>
    </row>
    <row r="61" spans="1:14" ht="12.75" customHeight="1" x14ac:dyDescent="0.2">
      <c r="A61" s="33">
        <f>A59+1</f>
        <v>39</v>
      </c>
      <c r="B61" s="35"/>
      <c r="C61" s="30" t="s">
        <v>93</v>
      </c>
      <c r="H61" s="30" t="s">
        <v>480</v>
      </c>
      <c r="J61" s="39">
        <v>26714525.602631234</v>
      </c>
      <c r="L61" s="39"/>
      <c r="N61" s="39"/>
    </row>
    <row r="62" spans="1:14" ht="12.75" customHeight="1" x14ac:dyDescent="0.2">
      <c r="A62" s="33" t="s">
        <v>148</v>
      </c>
      <c r="B62" s="35"/>
      <c r="C62" s="30" t="s">
        <v>149</v>
      </c>
      <c r="H62" s="30" t="s">
        <v>150</v>
      </c>
      <c r="J62" s="39">
        <f>-J61</f>
        <v>-26714525.602631234</v>
      </c>
      <c r="L62" s="39"/>
      <c r="N62" s="39"/>
    </row>
    <row r="63" spans="1:14" x14ac:dyDescent="0.2">
      <c r="A63" s="33"/>
      <c r="B63" s="35"/>
      <c r="J63" s="39"/>
      <c r="L63" s="39"/>
      <c r="N63" s="39"/>
    </row>
    <row r="64" spans="1:14" x14ac:dyDescent="0.2">
      <c r="A64" s="33">
        <f>A61+1</f>
        <v>40</v>
      </c>
      <c r="B64" s="35"/>
      <c r="C64" s="30" t="s">
        <v>94</v>
      </c>
      <c r="H64" s="30" t="str">
        <f>"Sum of Lines "&amp;A59&amp;" to "&amp;A62&amp;""</f>
        <v>Sum of Lines 38 to 39a</v>
      </c>
      <c r="J64" s="42">
        <f>J59+J61+J62</f>
        <v>1039169023.5315969</v>
      </c>
      <c r="L64" s="39"/>
      <c r="N64" s="39"/>
    </row>
    <row r="65" spans="1:15" x14ac:dyDescent="0.2">
      <c r="A65" s="33"/>
      <c r="B65" s="35"/>
      <c r="J65" s="39"/>
    </row>
    <row r="66" spans="1:15" x14ac:dyDescent="0.2">
      <c r="A66" s="33"/>
      <c r="B66" s="31" t="s">
        <v>95</v>
      </c>
      <c r="J66" s="39"/>
      <c r="N66" s="33"/>
    </row>
    <row r="67" spans="1:15" ht="13.5" thickBot="1" x14ac:dyDescent="0.25">
      <c r="A67" s="34" t="s">
        <v>39</v>
      </c>
      <c r="B67" s="38"/>
      <c r="G67" s="36" t="s">
        <v>96</v>
      </c>
      <c r="N67" s="37"/>
    </row>
    <row r="68" spans="1:15" x14ac:dyDescent="0.2">
      <c r="A68" s="33">
        <f>A64+1</f>
        <v>41</v>
      </c>
      <c r="B68" s="38"/>
      <c r="D68" s="49" t="s">
        <v>97</v>
      </c>
      <c r="E68" s="42">
        <f>J64</f>
        <v>1039169023.5315969</v>
      </c>
      <c r="G68" s="30" t="str">
        <f>"Line "&amp;A64&amp;""</f>
        <v>Line 40</v>
      </c>
      <c r="J68" s="50" t="s">
        <v>98</v>
      </c>
      <c r="N68" s="39"/>
    </row>
    <row r="69" spans="1:15" x14ac:dyDescent="0.2">
      <c r="A69" s="33">
        <f>A68+1</f>
        <v>42</v>
      </c>
      <c r="B69" s="38"/>
      <c r="D69" s="49" t="s">
        <v>99</v>
      </c>
      <c r="E69" s="51">
        <v>9.2480778683301876E-3</v>
      </c>
      <c r="G69" s="30" t="s">
        <v>481</v>
      </c>
      <c r="J69" s="52" t="s">
        <v>165</v>
      </c>
      <c r="N69" s="47"/>
    </row>
    <row r="70" spans="1:15" x14ac:dyDescent="0.2">
      <c r="A70" s="33">
        <f>A69+1</f>
        <v>43</v>
      </c>
      <c r="B70" s="38"/>
      <c r="D70" s="49" t="s">
        <v>100</v>
      </c>
      <c r="E70" s="42">
        <f>E68*E69</f>
        <v>9610316.0479768533</v>
      </c>
      <c r="G70" s="30" t="str">
        <f>"Line "&amp;A68&amp;" * Line "&amp;A69&amp;""</f>
        <v>Line 41 * Line 42</v>
      </c>
      <c r="J70" s="53">
        <f>E73</f>
        <v>1050996934.1582353</v>
      </c>
      <c r="N70" s="39"/>
    </row>
    <row r="71" spans="1:15" ht="25.5" customHeight="1" x14ac:dyDescent="0.2">
      <c r="A71" s="33">
        <f>A70+1</f>
        <v>44</v>
      </c>
      <c r="B71" s="38"/>
      <c r="D71" s="49" t="s">
        <v>101</v>
      </c>
      <c r="E71" s="51">
        <v>2.1340075853350199E-3</v>
      </c>
      <c r="G71" s="30" t="s">
        <v>481</v>
      </c>
      <c r="J71" s="54">
        <v>1051023551.6159867</v>
      </c>
      <c r="K71" s="367" t="s">
        <v>396</v>
      </c>
      <c r="L71" s="368"/>
      <c r="M71" s="368"/>
      <c r="N71" s="368"/>
    </row>
    <row r="72" spans="1:15" ht="13.5" thickBot="1" x14ac:dyDescent="0.25">
      <c r="A72" s="33">
        <f>A71+1</f>
        <v>45</v>
      </c>
      <c r="B72" s="38"/>
      <c r="D72" s="49" t="s">
        <v>102</v>
      </c>
      <c r="E72" s="42">
        <f>E68*E71</f>
        <v>2217594.5786616136</v>
      </c>
      <c r="G72" s="30" t="str">
        <f>"Line "&amp;A68&amp;" * Line "&amp;A71&amp;""</f>
        <v>Line 41 * Line 44</v>
      </c>
      <c r="J72" s="55">
        <f>J70-J71</f>
        <v>-26617.457751393318</v>
      </c>
      <c r="K72" s="76"/>
      <c r="L72" s="77"/>
      <c r="N72" s="39"/>
    </row>
    <row r="73" spans="1:15" x14ac:dyDescent="0.2">
      <c r="A73" s="33">
        <f>A72+1</f>
        <v>46</v>
      </c>
      <c r="B73" s="38"/>
      <c r="D73" s="49" t="s">
        <v>103</v>
      </c>
      <c r="E73" s="42">
        <f>E68+E70+E72</f>
        <v>1050996934.1582353</v>
      </c>
      <c r="G73" s="30" t="str">
        <f>"L "&amp;A68&amp;" + L "&amp;A70&amp;" + L "&amp;A72&amp;""</f>
        <v>L 41 + L 43 + L 45</v>
      </c>
      <c r="L73" s="39"/>
      <c r="N73" s="39"/>
    </row>
    <row r="74" spans="1:15" x14ac:dyDescent="0.2">
      <c r="B74" s="31" t="s">
        <v>104</v>
      </c>
      <c r="D74" s="49"/>
      <c r="E74" s="39"/>
      <c r="H74" s="56"/>
      <c r="L74" s="136">
        <f>50/365</f>
        <v>0.13698630136986301</v>
      </c>
      <c r="M74" s="137" t="s">
        <v>295</v>
      </c>
      <c r="N74" s="137"/>
      <c r="O74"/>
    </row>
    <row r="75" spans="1:15" ht="27.95" customHeight="1" x14ac:dyDescent="0.2">
      <c r="A75" s="33"/>
      <c r="B75" s="30" t="s">
        <v>145</v>
      </c>
      <c r="C75" s="31"/>
      <c r="D75" s="49"/>
      <c r="E75" s="39"/>
      <c r="L75" s="45">
        <f>J72*L74</f>
        <v>-3646.2270892319611</v>
      </c>
      <c r="M75" s="370" t="s">
        <v>403</v>
      </c>
      <c r="N75" s="370"/>
      <c r="O75"/>
    </row>
    <row r="76" spans="1:15" ht="12.95" customHeight="1" x14ac:dyDescent="0.2">
      <c r="A76" s="33"/>
      <c r="B76" s="30" t="s">
        <v>146</v>
      </c>
      <c r="C76" s="31"/>
      <c r="D76" s="49"/>
      <c r="E76" s="39"/>
      <c r="L76" s="139">
        <f>SUM(L75:L75)</f>
        <v>-3646.2270892319611</v>
      </c>
      <c r="M76" s="137" t="s">
        <v>169</v>
      </c>
      <c r="N76" s="137"/>
      <c r="O76"/>
    </row>
    <row r="77" spans="1:15" x14ac:dyDescent="0.2">
      <c r="A77" s="33"/>
      <c r="B77" s="38" t="s">
        <v>105</v>
      </c>
      <c r="D77" s="49"/>
      <c r="E77" s="39"/>
      <c r="L77" s="45"/>
      <c r="M77" s="40"/>
      <c r="N77" s="40"/>
    </row>
    <row r="78" spans="1:15" x14ac:dyDescent="0.2">
      <c r="A78" s="33"/>
      <c r="B78" s="38" t="s">
        <v>106</v>
      </c>
      <c r="D78" s="49"/>
      <c r="E78" s="39"/>
      <c r="L78" s="39"/>
    </row>
    <row r="79" spans="1:15" x14ac:dyDescent="0.2">
      <c r="A79" s="33"/>
    </row>
    <row r="80" spans="1:15" x14ac:dyDescent="0.2">
      <c r="A80" s="33"/>
      <c r="B80" s="30" t="s">
        <v>107</v>
      </c>
    </row>
    <row r="81" spans="1:10" x14ac:dyDescent="0.2">
      <c r="A81" s="33"/>
      <c r="C81" s="30" t="s">
        <v>108</v>
      </c>
    </row>
    <row r="82" spans="1:10" x14ac:dyDescent="0.2">
      <c r="A82" s="33"/>
      <c r="J82" s="33" t="s">
        <v>109</v>
      </c>
    </row>
    <row r="83" spans="1:10" x14ac:dyDescent="0.2">
      <c r="A83" s="33"/>
      <c r="E83" s="37" t="s">
        <v>110</v>
      </c>
      <c r="F83" s="36" t="s">
        <v>96</v>
      </c>
      <c r="G83" s="37" t="s">
        <v>111</v>
      </c>
      <c r="H83" s="37" t="s">
        <v>112</v>
      </c>
      <c r="J83" s="37" t="s">
        <v>113</v>
      </c>
    </row>
    <row r="84" spans="1:10" x14ac:dyDescent="0.2">
      <c r="B84" s="57" t="s">
        <v>114</v>
      </c>
      <c r="C84" s="30" t="s">
        <v>115</v>
      </c>
      <c r="E84" s="148">
        <v>0.10299999999999999</v>
      </c>
      <c r="F84" s="30" t="s">
        <v>118</v>
      </c>
      <c r="G84" s="75">
        <v>43781</v>
      </c>
      <c r="H84" s="75">
        <v>43830</v>
      </c>
      <c r="J84" s="149">
        <v>50</v>
      </c>
    </row>
    <row r="85" spans="1:10" x14ac:dyDescent="0.2">
      <c r="B85" s="57" t="s">
        <v>116</v>
      </c>
      <c r="C85" s="30" t="s">
        <v>117</v>
      </c>
      <c r="E85" s="148">
        <v>0.112</v>
      </c>
      <c r="F85" s="30" t="s">
        <v>147</v>
      </c>
      <c r="G85" s="75">
        <v>43466</v>
      </c>
      <c r="H85" s="75">
        <v>43780</v>
      </c>
      <c r="J85" s="149">
        <v>315</v>
      </c>
    </row>
    <row r="86" spans="1:10" x14ac:dyDescent="0.2">
      <c r="B86" s="57" t="s">
        <v>119</v>
      </c>
      <c r="E86" s="60"/>
      <c r="G86" s="61"/>
      <c r="H86" s="61"/>
      <c r="I86" s="49" t="s">
        <v>120</v>
      </c>
      <c r="J86" s="63">
        <f>SUM(J84:J85)</f>
        <v>365</v>
      </c>
    </row>
    <row r="87" spans="1:10" x14ac:dyDescent="0.2">
      <c r="B87" s="57" t="s">
        <v>121</v>
      </c>
      <c r="C87" s="30" t="s">
        <v>122</v>
      </c>
      <c r="E87" s="58">
        <f>((E84*J84) + (E85* J85)) / J86</f>
        <v>0.11076712328767123</v>
      </c>
      <c r="F87" s="30" t="s">
        <v>123</v>
      </c>
    </row>
    <row r="88" spans="1:10" x14ac:dyDescent="0.2">
      <c r="A88" s="33"/>
    </row>
    <row r="89" spans="1:10" x14ac:dyDescent="0.2">
      <c r="A89" s="33"/>
      <c r="B89" s="30" t="s">
        <v>124</v>
      </c>
    </row>
    <row r="90" spans="1:10" x14ac:dyDescent="0.2">
      <c r="A90" s="33"/>
      <c r="E90" s="36" t="s">
        <v>96</v>
      </c>
    </row>
    <row r="91" spans="1:10" x14ac:dyDescent="0.2">
      <c r="B91" s="57" t="s">
        <v>125</v>
      </c>
      <c r="C91" s="30" t="s">
        <v>126</v>
      </c>
      <c r="E91" s="150" t="s">
        <v>166</v>
      </c>
      <c r="F91" s="59"/>
      <c r="G91" s="59"/>
      <c r="H91" s="59"/>
      <c r="I91" s="59"/>
      <c r="J91" s="59"/>
    </row>
    <row r="92" spans="1:10" x14ac:dyDescent="0.2">
      <c r="B92" s="57" t="s">
        <v>127</v>
      </c>
      <c r="C92" s="30" t="s">
        <v>128</v>
      </c>
      <c r="E92" s="150" t="s">
        <v>167</v>
      </c>
      <c r="F92" s="59"/>
      <c r="G92" s="59"/>
      <c r="H92" s="59"/>
      <c r="I92" s="59"/>
      <c r="J92" s="59"/>
    </row>
    <row r="93" spans="1:10" x14ac:dyDescent="0.2">
      <c r="E93" s="61"/>
    </row>
    <row r="94" spans="1:10" x14ac:dyDescent="0.2">
      <c r="E94" s="37" t="s">
        <v>110</v>
      </c>
      <c r="F94" s="36" t="s">
        <v>96</v>
      </c>
    </row>
    <row r="95" spans="1:10" x14ac:dyDescent="0.2">
      <c r="B95" s="57" t="s">
        <v>129</v>
      </c>
      <c r="C95" s="30" t="s">
        <v>130</v>
      </c>
      <c r="E95" s="151">
        <v>2.0626966592527701E-2</v>
      </c>
      <c r="F95" s="30" t="s">
        <v>469</v>
      </c>
    </row>
    <row r="96" spans="1:10" x14ac:dyDescent="0.2">
      <c r="B96" s="57" t="s">
        <v>131</v>
      </c>
      <c r="C96" s="30" t="s">
        <v>132</v>
      </c>
      <c r="E96" s="151">
        <v>4.1703636316806555E-3</v>
      </c>
      <c r="F96" s="30" t="s">
        <v>470</v>
      </c>
    </row>
    <row r="97" spans="1:10" x14ac:dyDescent="0.2">
      <c r="B97" s="57" t="s">
        <v>133</v>
      </c>
      <c r="C97" s="30" t="s">
        <v>134</v>
      </c>
      <c r="E97" s="152">
        <v>5.2614383561643829E-2</v>
      </c>
      <c r="F97" s="30" t="s">
        <v>471</v>
      </c>
    </row>
    <row r="98" spans="1:10" x14ac:dyDescent="0.2">
      <c r="B98" s="33" t="s">
        <v>135</v>
      </c>
      <c r="C98" s="35" t="s">
        <v>68</v>
      </c>
      <c r="E98" s="151">
        <f>SUM(E95:E97)</f>
        <v>7.7411713785852182E-2</v>
      </c>
      <c r="F98" s="39" t="str">
        <f>"Sum of Lines "&amp;B95&amp;" to "&amp;B97&amp;""</f>
        <v>Sum of Lines g to i</v>
      </c>
      <c r="G98" s="63"/>
      <c r="J98" s="64"/>
    </row>
    <row r="99" spans="1:10" x14ac:dyDescent="0.2">
      <c r="A99" s="33"/>
      <c r="C99" s="65"/>
      <c r="D99" s="66"/>
      <c r="E99" s="39"/>
      <c r="F99" s="39"/>
      <c r="G99" s="63"/>
      <c r="H99" s="39"/>
      <c r="J99" s="64"/>
    </row>
    <row r="100" spans="1:10" x14ac:dyDescent="0.2">
      <c r="A100" s="33"/>
      <c r="B100" s="30" t="s">
        <v>136</v>
      </c>
    </row>
    <row r="101" spans="1:10" x14ac:dyDescent="0.2">
      <c r="A101" s="33"/>
    </row>
    <row r="102" spans="1:10" x14ac:dyDescent="0.2">
      <c r="A102" s="33"/>
      <c r="E102" s="37" t="s">
        <v>110</v>
      </c>
      <c r="F102" s="36" t="s">
        <v>96</v>
      </c>
    </row>
    <row r="103" spans="1:10" x14ac:dyDescent="0.2">
      <c r="B103" s="57" t="s">
        <v>137</v>
      </c>
      <c r="E103" s="151">
        <f>E96+E97</f>
        <v>5.6784747193324485E-2</v>
      </c>
      <c r="F103" s="39" t="str">
        <f>"Sum of Lines "&amp;B96&amp;" to "&amp;B97&amp;""</f>
        <v>Sum of Lines h to i</v>
      </c>
    </row>
    <row r="104" spans="1:10" x14ac:dyDescent="0.2">
      <c r="A104" s="33"/>
      <c r="E104" s="47"/>
      <c r="F104" s="39"/>
    </row>
    <row r="105" spans="1:10" x14ac:dyDescent="0.2">
      <c r="A105" s="33"/>
      <c r="B105" s="34" t="s">
        <v>152</v>
      </c>
      <c r="E105" s="63"/>
      <c r="F105" s="63"/>
      <c r="G105" s="63"/>
      <c r="H105" s="39"/>
    </row>
    <row r="106" spans="1:10" x14ac:dyDescent="0.2">
      <c r="A106" s="33"/>
      <c r="B106" s="30" t="s">
        <v>153</v>
      </c>
    </row>
    <row r="107" spans="1:10" x14ac:dyDescent="0.2">
      <c r="A107" s="33"/>
      <c r="B107" s="35" t="s">
        <v>168</v>
      </c>
      <c r="D107" s="33"/>
      <c r="E107" s="33"/>
      <c r="F107" s="33"/>
      <c r="G107" s="33"/>
      <c r="H107" s="33"/>
    </row>
    <row r="108" spans="1:10" x14ac:dyDescent="0.2">
      <c r="A108" s="33"/>
      <c r="B108" s="38"/>
      <c r="D108" s="33"/>
      <c r="E108" s="33"/>
      <c r="F108" s="33"/>
      <c r="G108" s="33"/>
      <c r="H108" s="33"/>
    </row>
    <row r="109" spans="1:10" x14ac:dyDescent="0.2">
      <c r="A109" s="33"/>
      <c r="C109" s="67"/>
      <c r="D109" s="67"/>
      <c r="E109" s="37"/>
      <c r="F109" s="37"/>
      <c r="G109" s="37"/>
      <c r="H109" s="37"/>
    </row>
    <row r="110" spans="1:10" x14ac:dyDescent="0.2">
      <c r="A110" s="33"/>
    </row>
    <row r="111" spans="1:10" x14ac:dyDescent="0.2">
      <c r="A111" s="33"/>
    </row>
    <row r="112" spans="1:10" x14ac:dyDescent="0.2">
      <c r="A112" s="33"/>
    </row>
    <row r="113" spans="1:10" x14ac:dyDescent="0.2">
      <c r="A113" s="33"/>
      <c r="C113" s="65"/>
      <c r="E113" s="39"/>
      <c r="F113" s="39"/>
      <c r="H113" s="39"/>
      <c r="J113" s="64"/>
    </row>
    <row r="114" spans="1:10" x14ac:dyDescent="0.2">
      <c r="A114" s="33"/>
      <c r="C114" s="65"/>
      <c r="E114" s="39"/>
      <c r="F114" s="39"/>
      <c r="H114" s="39"/>
      <c r="J114" s="64"/>
    </row>
    <row r="115" spans="1:10" x14ac:dyDescent="0.2">
      <c r="A115" s="34"/>
      <c r="C115" s="65"/>
      <c r="E115" s="39"/>
      <c r="F115" s="39"/>
      <c r="H115" s="39"/>
      <c r="J115" s="64"/>
    </row>
    <row r="116" spans="1:10" x14ac:dyDescent="0.2">
      <c r="A116" s="33"/>
      <c r="D116" s="68"/>
      <c r="E116" s="39"/>
      <c r="F116" s="39"/>
      <c r="H116" s="39"/>
      <c r="J116" s="64"/>
    </row>
    <row r="117" spans="1:10" x14ac:dyDescent="0.2">
      <c r="A117" s="33"/>
      <c r="C117" s="65"/>
      <c r="D117" s="49"/>
      <c r="E117" s="45"/>
      <c r="F117" s="39"/>
      <c r="H117" s="39"/>
      <c r="J117" s="64"/>
    </row>
    <row r="118" spans="1:10" x14ac:dyDescent="0.2">
      <c r="A118" s="33"/>
      <c r="C118" s="65"/>
      <c r="D118" s="49"/>
      <c r="E118" s="39"/>
      <c r="F118" s="39"/>
      <c r="H118" s="39"/>
      <c r="J118" s="64"/>
    </row>
    <row r="119" spans="1:10" x14ac:dyDescent="0.2">
      <c r="A119" s="33"/>
    </row>
    <row r="120" spans="1:10" x14ac:dyDescent="0.2">
      <c r="A120" s="33"/>
      <c r="B120" s="29"/>
    </row>
    <row r="121" spans="1:10" x14ac:dyDescent="0.2">
      <c r="A121" s="33"/>
    </row>
    <row r="122" spans="1:10" x14ac:dyDescent="0.2">
      <c r="A122" s="33"/>
    </row>
    <row r="123" spans="1:10" x14ac:dyDescent="0.2">
      <c r="A123" s="33"/>
      <c r="F123" s="33"/>
    </row>
    <row r="124" spans="1:10" x14ac:dyDescent="0.2">
      <c r="A124" s="33"/>
      <c r="F124" s="33"/>
    </row>
    <row r="125" spans="1:10" x14ac:dyDescent="0.2">
      <c r="A125" s="33"/>
      <c r="D125" s="33"/>
      <c r="E125" s="33"/>
      <c r="F125" s="33"/>
      <c r="H125" s="33"/>
    </row>
    <row r="126" spans="1:10" x14ac:dyDescent="0.2">
      <c r="A126" s="33"/>
      <c r="D126" s="33"/>
      <c r="E126" s="33"/>
      <c r="F126" s="33"/>
      <c r="G126" s="33"/>
      <c r="H126" s="57"/>
    </row>
    <row r="127" spans="1:10" x14ac:dyDescent="0.2">
      <c r="A127" s="34"/>
      <c r="C127" s="67"/>
      <c r="D127" s="67"/>
      <c r="E127" s="37"/>
      <c r="F127" s="69"/>
      <c r="G127" s="37"/>
      <c r="H127" s="57"/>
    </row>
    <row r="128" spans="1:10" x14ac:dyDescent="0.2">
      <c r="A128" s="33"/>
      <c r="C128" s="65"/>
      <c r="D128" s="66"/>
      <c r="E128" s="39"/>
      <c r="F128" s="39"/>
      <c r="G128" s="58"/>
      <c r="H128" s="39"/>
    </row>
    <row r="129" spans="1:8" x14ac:dyDescent="0.2">
      <c r="A129" s="33"/>
      <c r="C129" s="65"/>
      <c r="D129" s="66"/>
      <c r="E129" s="39"/>
      <c r="F129" s="39"/>
      <c r="G129" s="58"/>
      <c r="H129" s="39"/>
    </row>
    <row r="130" spans="1:8" x14ac:dyDescent="0.2">
      <c r="A130" s="33"/>
      <c r="C130" s="65"/>
      <c r="D130" s="66"/>
      <c r="E130" s="39"/>
      <c r="F130" s="39"/>
      <c r="G130" s="58"/>
      <c r="H130" s="39"/>
    </row>
    <row r="131" spans="1:8" x14ac:dyDescent="0.2">
      <c r="A131" s="33"/>
      <c r="C131" s="65"/>
      <c r="D131" s="66"/>
      <c r="E131" s="39"/>
      <c r="F131" s="39"/>
      <c r="G131" s="58"/>
      <c r="H131" s="39"/>
    </row>
    <row r="132" spans="1:8" x14ac:dyDescent="0.2">
      <c r="A132" s="33"/>
      <c r="C132" s="65"/>
      <c r="D132" s="66"/>
      <c r="E132" s="39"/>
      <c r="F132" s="39"/>
      <c r="G132" s="58"/>
      <c r="H132" s="39"/>
    </row>
    <row r="133" spans="1:8" x14ac:dyDescent="0.2">
      <c r="A133" s="33"/>
      <c r="C133" s="65"/>
      <c r="D133" s="66"/>
      <c r="E133" s="39"/>
      <c r="F133" s="39"/>
      <c r="G133" s="58"/>
      <c r="H133" s="39"/>
    </row>
    <row r="134" spans="1:8" x14ac:dyDescent="0.2">
      <c r="A134" s="33"/>
      <c r="C134" s="65"/>
      <c r="D134" s="66"/>
      <c r="E134" s="39"/>
      <c r="F134" s="39"/>
      <c r="G134" s="58"/>
      <c r="H134" s="39"/>
    </row>
    <row r="135" spans="1:8" x14ac:dyDescent="0.2">
      <c r="A135" s="33"/>
      <c r="C135" s="65"/>
      <c r="D135" s="66"/>
      <c r="E135" s="39"/>
      <c r="F135" s="39"/>
      <c r="G135" s="58"/>
      <c r="H135" s="39"/>
    </row>
    <row r="136" spans="1:8" x14ac:dyDescent="0.2">
      <c r="A136" s="33"/>
      <c r="C136" s="65"/>
      <c r="D136" s="66"/>
      <c r="E136" s="39"/>
      <c r="F136" s="39"/>
      <c r="G136" s="58"/>
      <c r="H136" s="39"/>
    </row>
    <row r="137" spans="1:8" x14ac:dyDescent="0.2">
      <c r="A137" s="33"/>
      <c r="C137" s="65"/>
      <c r="D137" s="66"/>
      <c r="E137" s="39"/>
      <c r="F137" s="39"/>
      <c r="G137" s="58"/>
      <c r="H137" s="39"/>
    </row>
    <row r="138" spans="1:8" x14ac:dyDescent="0.2">
      <c r="A138" s="33"/>
      <c r="C138" s="65"/>
      <c r="D138" s="66"/>
      <c r="E138" s="39"/>
      <c r="F138" s="39"/>
      <c r="G138" s="58"/>
      <c r="H138" s="39"/>
    </row>
    <row r="139" spans="1:8" x14ac:dyDescent="0.2">
      <c r="A139" s="33"/>
      <c r="C139" s="65"/>
      <c r="D139" s="66"/>
      <c r="E139" s="39"/>
      <c r="F139" s="39"/>
      <c r="G139" s="58"/>
      <c r="H139" s="45"/>
    </row>
    <row r="140" spans="1:8" x14ac:dyDescent="0.2">
      <c r="A140" s="33"/>
      <c r="H140" s="39"/>
    </row>
    <row r="141" spans="1:8" x14ac:dyDescent="0.2">
      <c r="A141" s="33"/>
      <c r="C141" s="65"/>
      <c r="D141" s="66"/>
      <c r="F141" s="70"/>
      <c r="G141" s="58"/>
      <c r="H141" s="70"/>
    </row>
    <row r="142" spans="1:8" x14ac:dyDescent="0.2">
      <c r="A142" s="33"/>
      <c r="B142" s="29"/>
      <c r="C142" s="65"/>
      <c r="D142" s="66"/>
      <c r="F142" s="70"/>
      <c r="G142" s="58"/>
      <c r="H142" s="70"/>
    </row>
    <row r="143" spans="1:8" x14ac:dyDescent="0.2">
      <c r="A143" s="34"/>
      <c r="B143" s="29"/>
      <c r="C143" s="65"/>
      <c r="D143" s="66"/>
      <c r="F143" s="70"/>
      <c r="G143" s="58"/>
      <c r="H143" s="70"/>
    </row>
    <row r="144" spans="1:8" x14ac:dyDescent="0.2">
      <c r="A144" s="33"/>
      <c r="C144" s="65"/>
      <c r="D144" s="71"/>
      <c r="E144" s="39"/>
      <c r="F144" s="72"/>
      <c r="G144" s="58"/>
      <c r="H144" s="70"/>
    </row>
    <row r="145" spans="1:8" x14ac:dyDescent="0.2">
      <c r="A145" s="33"/>
      <c r="C145" s="65"/>
      <c r="D145" s="49"/>
      <c r="E145" s="39"/>
      <c r="F145" s="72"/>
      <c r="G145" s="58"/>
      <c r="H145" s="70"/>
    </row>
    <row r="146" spans="1:8" x14ac:dyDescent="0.2">
      <c r="A146" s="33"/>
      <c r="C146" s="65"/>
      <c r="D146" s="49"/>
      <c r="E146" s="45"/>
      <c r="F146" s="72"/>
      <c r="G146" s="58"/>
      <c r="H146" s="70"/>
    </row>
    <row r="147" spans="1:8" x14ac:dyDescent="0.2">
      <c r="A147" s="33"/>
      <c r="C147" s="65"/>
      <c r="D147" s="71"/>
      <c r="E147" s="39"/>
      <c r="F147" s="70"/>
      <c r="G147" s="58"/>
      <c r="H147" s="70"/>
    </row>
    <row r="148" spans="1:8" x14ac:dyDescent="0.2">
      <c r="A148" s="33"/>
      <c r="C148" s="65"/>
      <c r="D148" s="66"/>
      <c r="F148" s="70"/>
      <c r="G148" s="58"/>
      <c r="H148" s="70"/>
    </row>
    <row r="149" spans="1:8" x14ac:dyDescent="0.2">
      <c r="A149" s="33"/>
    </row>
    <row r="150" spans="1:8" x14ac:dyDescent="0.2">
      <c r="A150" s="33"/>
    </row>
    <row r="151" spans="1:8" x14ac:dyDescent="0.2">
      <c r="A151" s="33"/>
    </row>
    <row r="152" spans="1:8" x14ac:dyDescent="0.2">
      <c r="A152" s="33"/>
      <c r="B152" s="29"/>
    </row>
    <row r="153" spans="1:8" x14ac:dyDescent="0.2">
      <c r="A153" s="33"/>
    </row>
    <row r="154" spans="1:8" x14ac:dyDescent="0.2">
      <c r="A154" s="33"/>
    </row>
    <row r="155" spans="1:8" x14ac:dyDescent="0.2">
      <c r="A155" s="33"/>
    </row>
    <row r="156" spans="1:8" x14ac:dyDescent="0.2">
      <c r="A156" s="33"/>
    </row>
    <row r="157" spans="1:8" x14ac:dyDescent="0.2">
      <c r="A157" s="33"/>
      <c r="B157" s="29"/>
    </row>
    <row r="158" spans="1:8" x14ac:dyDescent="0.2">
      <c r="A158" s="33"/>
    </row>
    <row r="159" spans="1:8" x14ac:dyDescent="0.2">
      <c r="A159" s="34"/>
      <c r="C159" s="67"/>
      <c r="D159" s="37"/>
    </row>
    <row r="160" spans="1:8" x14ac:dyDescent="0.2">
      <c r="A160" s="33"/>
      <c r="C160" s="65"/>
      <c r="D160" s="73"/>
      <c r="F160" s="47"/>
    </row>
    <row r="161" spans="1:6" x14ac:dyDescent="0.2">
      <c r="A161" s="33"/>
      <c r="C161" s="65"/>
      <c r="D161" s="73"/>
      <c r="F161" s="47"/>
    </row>
    <row r="162" spans="1:6" x14ac:dyDescent="0.2">
      <c r="A162" s="33"/>
      <c r="C162" s="65"/>
      <c r="D162" s="73"/>
      <c r="F162" s="47"/>
    </row>
    <row r="163" spans="1:6" x14ac:dyDescent="0.2">
      <c r="A163" s="33"/>
      <c r="C163" s="65"/>
      <c r="D163" s="73"/>
      <c r="F163" s="47"/>
    </row>
    <row r="164" spans="1:6" x14ac:dyDescent="0.2">
      <c r="A164" s="33"/>
      <c r="C164" s="65"/>
      <c r="D164" s="73"/>
      <c r="F164" s="47"/>
    </row>
    <row r="165" spans="1:6" x14ac:dyDescent="0.2">
      <c r="A165" s="33"/>
      <c r="C165" s="65"/>
      <c r="D165" s="73"/>
      <c r="F165" s="47"/>
    </row>
    <row r="166" spans="1:6" x14ac:dyDescent="0.2">
      <c r="A166" s="33"/>
      <c r="C166" s="65"/>
      <c r="D166" s="73"/>
      <c r="F166" s="47"/>
    </row>
    <row r="167" spans="1:6" x14ac:dyDescent="0.2">
      <c r="A167" s="33"/>
      <c r="C167" s="65"/>
      <c r="D167" s="73"/>
      <c r="F167" s="47"/>
    </row>
    <row r="168" spans="1:6" x14ac:dyDescent="0.2">
      <c r="A168" s="33"/>
      <c r="C168" s="65"/>
      <c r="D168" s="73"/>
      <c r="F168" s="47"/>
    </row>
    <row r="169" spans="1:6" x14ac:dyDescent="0.2">
      <c r="A169" s="33"/>
      <c r="C169" s="65"/>
      <c r="D169" s="73"/>
      <c r="F169" s="47"/>
    </row>
    <row r="170" spans="1:6" x14ac:dyDescent="0.2">
      <c r="A170" s="33"/>
      <c r="C170" s="65"/>
      <c r="D170" s="73"/>
      <c r="F170" s="47"/>
    </row>
    <row r="171" spans="1:6" x14ac:dyDescent="0.2">
      <c r="A171" s="33"/>
      <c r="C171" s="65"/>
      <c r="D171" s="74"/>
      <c r="F171" s="62"/>
    </row>
    <row r="172" spans="1:6" x14ac:dyDescent="0.2">
      <c r="A172" s="33"/>
      <c r="C172" s="68"/>
      <c r="D172" s="73"/>
    </row>
  </sheetData>
  <mergeCells count="2">
    <mergeCell ref="K71:N71"/>
    <mergeCell ref="M75:N75"/>
  </mergeCells>
  <pageMargins left="0.75" right="0.75" top="1" bottom="1" header="0.5" footer="0.5"/>
  <pageSetup scale="72" orientation="landscape" cellComments="asDisplayed" r:id="rId1"/>
  <headerFooter alignWithMargins="0">
    <oddHeader>&amp;CSchedule 4
True Up TRR
(Revised 2019 
TO2021 True Up TRR)&amp;RTO2024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B6F49-057F-479F-81EE-206C49969DD4}">
  <sheetPr>
    <tabColor rgb="FFCCFFCC"/>
  </sheetPr>
  <dimension ref="A1:X110"/>
  <sheetViews>
    <sheetView zoomScaleNormal="100" workbookViewId="0"/>
  </sheetViews>
  <sheetFormatPr defaultColWidth="8.7109375" defaultRowHeight="12.75" x14ac:dyDescent="0.2"/>
  <cols>
    <col min="1" max="1" width="4.5703125" style="30" customWidth="1"/>
    <col min="2" max="2" width="2.5703125" style="30" customWidth="1"/>
    <col min="3" max="3" width="8.5703125" style="30" customWidth="1"/>
    <col min="4" max="4" width="32.5703125" style="30" customWidth="1"/>
    <col min="5" max="5" width="14.5703125" style="30" customWidth="1"/>
    <col min="6" max="6" width="15.5703125" style="30" customWidth="1"/>
    <col min="7" max="8" width="14.5703125" style="30" customWidth="1"/>
    <col min="9" max="9" width="20" style="30" customWidth="1"/>
    <col min="10" max="10" width="15.5703125" style="30" customWidth="1"/>
    <col min="11" max="11" width="11" style="30" bestFit="1" customWidth="1"/>
    <col min="12" max="16384" width="8.7109375" style="30"/>
  </cols>
  <sheetData>
    <row r="1" spans="1:24" x14ac:dyDescent="0.2">
      <c r="A1" s="29" t="s">
        <v>170</v>
      </c>
      <c r="F1" s="117" t="s">
        <v>171</v>
      </c>
      <c r="G1" s="59"/>
      <c r="H1" s="63"/>
      <c r="I1" s="63"/>
    </row>
    <row r="2" spans="1:24" x14ac:dyDescent="0.2">
      <c r="E2" s="69" t="s">
        <v>172</v>
      </c>
      <c r="F2" s="69" t="s">
        <v>173</v>
      </c>
      <c r="G2" s="69" t="s">
        <v>174</v>
      </c>
      <c r="H2" s="69" t="s">
        <v>175</v>
      </c>
      <c r="I2" s="63"/>
    </row>
    <row r="3" spans="1:24" x14ac:dyDescent="0.2">
      <c r="G3" s="63" t="s">
        <v>176</v>
      </c>
    </row>
    <row r="4" spans="1:24" x14ac:dyDescent="0.2">
      <c r="E4" s="33" t="s">
        <v>177</v>
      </c>
      <c r="F4" s="110" t="s">
        <v>178</v>
      </c>
      <c r="G4" s="33" t="s">
        <v>179</v>
      </c>
      <c r="I4" s="33"/>
    </row>
    <row r="5" spans="1:24" x14ac:dyDescent="0.2">
      <c r="A5" s="34" t="s">
        <v>39</v>
      </c>
      <c r="B5" s="37"/>
      <c r="C5" s="37" t="s">
        <v>180</v>
      </c>
      <c r="D5" s="37" t="s">
        <v>31</v>
      </c>
      <c r="E5" s="37" t="s">
        <v>32</v>
      </c>
      <c r="F5" s="67" t="s">
        <v>33</v>
      </c>
      <c r="G5" s="37" t="s">
        <v>181</v>
      </c>
      <c r="H5" s="37" t="s">
        <v>82</v>
      </c>
      <c r="I5" s="37" t="s">
        <v>42</v>
      </c>
      <c r="K5" s="37"/>
      <c r="L5" s="37"/>
      <c r="M5" s="37"/>
      <c r="N5" s="37"/>
      <c r="O5" s="37"/>
      <c r="P5" s="37"/>
      <c r="Q5" s="37"/>
      <c r="R5" s="37"/>
      <c r="S5" s="37"/>
      <c r="T5" s="37"/>
      <c r="U5" s="37"/>
      <c r="V5" s="37"/>
      <c r="W5" s="37"/>
      <c r="X5" s="37"/>
    </row>
    <row r="6" spans="1:24" x14ac:dyDescent="0.2">
      <c r="A6" s="33">
        <v>1</v>
      </c>
      <c r="C6" s="63">
        <v>920</v>
      </c>
      <c r="D6" s="30" t="s">
        <v>182</v>
      </c>
      <c r="E6" s="118">
        <v>413850310</v>
      </c>
      <c r="F6" s="63" t="s">
        <v>183</v>
      </c>
      <c r="G6" s="39">
        <f>D37</f>
        <v>130478539.62525931</v>
      </c>
      <c r="H6" s="39">
        <f t="shared" ref="H6:H19" si="0">E6-G6</f>
        <v>283371770.37474072</v>
      </c>
    </row>
    <row r="7" spans="1:24" x14ac:dyDescent="0.2">
      <c r="A7" s="33">
        <f>A6+1</f>
        <v>2</v>
      </c>
      <c r="C7" s="63">
        <v>921</v>
      </c>
      <c r="D7" s="30" t="s">
        <v>184</v>
      </c>
      <c r="E7" s="118">
        <v>250234425</v>
      </c>
      <c r="F7" s="63" t="s">
        <v>185</v>
      </c>
      <c r="G7" s="39">
        <f t="shared" ref="G7:G19" si="1">D38</f>
        <v>2352483.834740696</v>
      </c>
      <c r="H7" s="39">
        <f t="shared" si="0"/>
        <v>247881941.1652593</v>
      </c>
    </row>
    <row r="8" spans="1:24" x14ac:dyDescent="0.2">
      <c r="A8" s="33">
        <f>A7+1</f>
        <v>3</v>
      </c>
      <c r="C8" s="63">
        <v>922</v>
      </c>
      <c r="D8" s="30" t="s">
        <v>186</v>
      </c>
      <c r="E8" s="118">
        <v>-225318190</v>
      </c>
      <c r="F8" s="63" t="s">
        <v>187</v>
      </c>
      <c r="G8" s="39">
        <f t="shared" si="1"/>
        <v>-77722052.712449998</v>
      </c>
      <c r="H8" s="39">
        <f t="shared" si="0"/>
        <v>-147596137.28755</v>
      </c>
      <c r="I8" s="63" t="s">
        <v>188</v>
      </c>
    </row>
    <row r="9" spans="1:24" x14ac:dyDescent="0.2">
      <c r="A9" s="33">
        <f t="shared" ref="A9:A20" si="2">A8+1</f>
        <v>4</v>
      </c>
      <c r="B9" s="33"/>
      <c r="C9" s="63">
        <v>923</v>
      </c>
      <c r="D9" s="30" t="s">
        <v>189</v>
      </c>
      <c r="E9" s="118">
        <v>59887693</v>
      </c>
      <c r="F9" s="63" t="s">
        <v>190</v>
      </c>
      <c r="G9" s="42">
        <f t="shared" si="1"/>
        <v>9386901.0778677817</v>
      </c>
      <c r="H9" s="42">
        <f t="shared" si="0"/>
        <v>50500791.922132216</v>
      </c>
    </row>
    <row r="10" spans="1:24" x14ac:dyDescent="0.2">
      <c r="A10" s="33">
        <f t="shared" si="2"/>
        <v>5</v>
      </c>
      <c r="B10" s="33"/>
      <c r="C10" s="63">
        <v>924</v>
      </c>
      <c r="D10" s="30" t="s">
        <v>191</v>
      </c>
      <c r="E10" s="118">
        <v>15607270</v>
      </c>
      <c r="F10" s="63" t="s">
        <v>192</v>
      </c>
      <c r="G10" s="39">
        <f t="shared" si="1"/>
        <v>0</v>
      </c>
      <c r="H10" s="39">
        <f t="shared" si="0"/>
        <v>15607270</v>
      </c>
    </row>
    <row r="11" spans="1:24" x14ac:dyDescent="0.2">
      <c r="A11" s="33">
        <f t="shared" si="2"/>
        <v>6</v>
      </c>
      <c r="B11" s="33"/>
      <c r="C11" s="63">
        <v>925</v>
      </c>
      <c r="D11" s="30" t="s">
        <v>193</v>
      </c>
      <c r="E11" s="118">
        <v>902073996</v>
      </c>
      <c r="F11" s="63" t="s">
        <v>194</v>
      </c>
      <c r="G11" s="39">
        <f t="shared" si="1"/>
        <v>170732327.52000001</v>
      </c>
      <c r="H11" s="39">
        <f t="shared" si="0"/>
        <v>731341668.48000002</v>
      </c>
    </row>
    <row r="12" spans="1:24" x14ac:dyDescent="0.2">
      <c r="A12" s="33">
        <f t="shared" si="2"/>
        <v>7</v>
      </c>
      <c r="B12" s="33"/>
      <c r="C12" s="63">
        <v>926</v>
      </c>
      <c r="D12" s="30" t="s">
        <v>195</v>
      </c>
      <c r="E12" s="118">
        <v>82906034</v>
      </c>
      <c r="F12" s="63" t="s">
        <v>196</v>
      </c>
      <c r="G12" s="39">
        <f t="shared" si="1"/>
        <v>2802913.9770550355</v>
      </c>
      <c r="H12" s="39">
        <f t="shared" si="0"/>
        <v>80103120.022944957</v>
      </c>
    </row>
    <row r="13" spans="1:24" x14ac:dyDescent="0.2">
      <c r="A13" s="33">
        <f t="shared" si="2"/>
        <v>8</v>
      </c>
      <c r="B13" s="33"/>
      <c r="C13" s="63">
        <v>927</v>
      </c>
      <c r="D13" s="30" t="s">
        <v>197</v>
      </c>
      <c r="E13" s="118">
        <v>104335318</v>
      </c>
      <c r="F13" s="63" t="s">
        <v>198</v>
      </c>
      <c r="G13" s="39">
        <f t="shared" si="1"/>
        <v>104335318</v>
      </c>
      <c r="H13" s="39">
        <f t="shared" si="0"/>
        <v>0</v>
      </c>
    </row>
    <row r="14" spans="1:24" x14ac:dyDescent="0.2">
      <c r="A14" s="33">
        <f t="shared" si="2"/>
        <v>9</v>
      </c>
      <c r="B14" s="33"/>
      <c r="C14" s="63">
        <v>928</v>
      </c>
      <c r="D14" s="30" t="s">
        <v>199</v>
      </c>
      <c r="E14" s="118">
        <v>11713250</v>
      </c>
      <c r="F14" s="63" t="s">
        <v>200</v>
      </c>
      <c r="G14" s="39">
        <f t="shared" si="1"/>
        <v>9979027.6099999994</v>
      </c>
      <c r="H14" s="39">
        <f t="shared" si="0"/>
        <v>1734222.3900000006</v>
      </c>
    </row>
    <row r="15" spans="1:24" x14ac:dyDescent="0.2">
      <c r="A15" s="33">
        <f t="shared" si="2"/>
        <v>10</v>
      </c>
      <c r="B15" s="33"/>
      <c r="C15" s="63">
        <v>929</v>
      </c>
      <c r="D15" s="30" t="s">
        <v>201</v>
      </c>
      <c r="E15" s="118">
        <v>0</v>
      </c>
      <c r="F15" s="63" t="s">
        <v>202</v>
      </c>
      <c r="G15" s="39">
        <f t="shared" si="1"/>
        <v>0</v>
      </c>
      <c r="H15" s="39">
        <f t="shared" si="0"/>
        <v>0</v>
      </c>
    </row>
    <row r="16" spans="1:24" x14ac:dyDescent="0.2">
      <c r="A16" s="33">
        <f t="shared" si="2"/>
        <v>11</v>
      </c>
      <c r="B16" s="33"/>
      <c r="C16" s="63">
        <v>930.1</v>
      </c>
      <c r="D16" s="30" t="s">
        <v>203</v>
      </c>
      <c r="E16" s="118">
        <v>11245961</v>
      </c>
      <c r="F16" s="63" t="s">
        <v>204</v>
      </c>
      <c r="G16" s="39">
        <f t="shared" si="1"/>
        <v>0</v>
      </c>
      <c r="H16" s="39">
        <f t="shared" si="0"/>
        <v>11245961</v>
      </c>
    </row>
    <row r="17" spans="1:8" x14ac:dyDescent="0.2">
      <c r="A17" s="33">
        <f t="shared" si="2"/>
        <v>12</v>
      </c>
      <c r="B17" s="33"/>
      <c r="C17" s="63">
        <v>930.2</v>
      </c>
      <c r="D17" s="30" t="s">
        <v>205</v>
      </c>
      <c r="E17" s="118">
        <v>14071912</v>
      </c>
      <c r="F17" s="63" t="s">
        <v>206</v>
      </c>
      <c r="G17" s="39">
        <f t="shared" si="1"/>
        <v>5999239.1899999976</v>
      </c>
      <c r="H17" s="39">
        <f t="shared" si="0"/>
        <v>8072672.8100000024</v>
      </c>
    </row>
    <row r="18" spans="1:8" x14ac:dyDescent="0.2">
      <c r="A18" s="33">
        <f t="shared" si="2"/>
        <v>13</v>
      </c>
      <c r="B18" s="33"/>
      <c r="C18" s="63">
        <v>931</v>
      </c>
      <c r="D18" s="30" t="s">
        <v>207</v>
      </c>
      <c r="E18" s="118">
        <v>8581490</v>
      </c>
      <c r="F18" s="63" t="s">
        <v>208</v>
      </c>
      <c r="G18" s="39">
        <f t="shared" si="1"/>
        <v>12016812.699999999</v>
      </c>
      <c r="H18" s="39">
        <f t="shared" si="0"/>
        <v>-3435322.6999999993</v>
      </c>
    </row>
    <row r="19" spans="1:8" x14ac:dyDescent="0.2">
      <c r="A19" s="33">
        <f t="shared" si="2"/>
        <v>14</v>
      </c>
      <c r="B19" s="33"/>
      <c r="C19" s="63">
        <v>935</v>
      </c>
      <c r="D19" s="30" t="s">
        <v>209</v>
      </c>
      <c r="E19" s="119">
        <v>26158179</v>
      </c>
      <c r="F19" s="63" t="s">
        <v>210</v>
      </c>
      <c r="G19" s="39">
        <f t="shared" si="1"/>
        <v>769627.75</v>
      </c>
      <c r="H19" s="45">
        <f t="shared" si="0"/>
        <v>25388551.25</v>
      </c>
    </row>
    <row r="20" spans="1:8" x14ac:dyDescent="0.2">
      <c r="A20" s="33">
        <f t="shared" si="2"/>
        <v>15</v>
      </c>
      <c r="E20" s="39">
        <f>SUM(E6:E19)</f>
        <v>1675347648</v>
      </c>
      <c r="G20" s="49" t="s">
        <v>211</v>
      </c>
      <c r="H20" s="42">
        <f>SUM(H6:H19)</f>
        <v>1304216509.4275272</v>
      </c>
    </row>
    <row r="22" spans="1:8" x14ac:dyDescent="0.2">
      <c r="F22" s="37" t="s">
        <v>32</v>
      </c>
      <c r="G22" s="37" t="s">
        <v>33</v>
      </c>
    </row>
    <row r="23" spans="1:8" x14ac:dyDescent="0.2">
      <c r="A23" s="33">
        <f>A20+1</f>
        <v>16</v>
      </c>
      <c r="E23" s="49" t="s">
        <v>212</v>
      </c>
      <c r="F23" s="42">
        <f>H20</f>
        <v>1304216509.4275272</v>
      </c>
      <c r="G23" s="35" t="str">
        <f>"Line "&amp;A20&amp;""</f>
        <v>Line 15</v>
      </c>
    </row>
    <row r="24" spans="1:8" x14ac:dyDescent="0.2">
      <c r="A24" s="33">
        <f t="shared" ref="A24:A30" si="3">A23+1</f>
        <v>17</v>
      </c>
      <c r="E24" s="49" t="s">
        <v>213</v>
      </c>
      <c r="F24" s="45">
        <f>E10</f>
        <v>15607270</v>
      </c>
      <c r="G24" s="35" t="str">
        <f>"Line "&amp;A10&amp;""</f>
        <v>Line 5</v>
      </c>
    </row>
    <row r="25" spans="1:8" x14ac:dyDescent="0.2">
      <c r="A25" s="33">
        <f t="shared" si="3"/>
        <v>18</v>
      </c>
      <c r="E25" s="49" t="s">
        <v>214</v>
      </c>
      <c r="F25" s="42">
        <f>F23-F24</f>
        <v>1288609239.4275272</v>
      </c>
      <c r="G25" s="35" t="str">
        <f>"Line "&amp;A23&amp;" - Line "&amp;A24&amp;""</f>
        <v>Line 16 - Line 17</v>
      </c>
    </row>
    <row r="26" spans="1:8" x14ac:dyDescent="0.2">
      <c r="A26" s="33">
        <f t="shared" si="3"/>
        <v>19</v>
      </c>
      <c r="E26" s="49" t="s">
        <v>215</v>
      </c>
      <c r="F26" s="62">
        <v>6.5680595610890333E-2</v>
      </c>
      <c r="G26" s="35" t="s">
        <v>492</v>
      </c>
    </row>
    <row r="27" spans="1:8" x14ac:dyDescent="0.2">
      <c r="A27" s="33">
        <f t="shared" si="3"/>
        <v>20</v>
      </c>
      <c r="E27" s="49" t="s">
        <v>217</v>
      </c>
      <c r="F27" s="42">
        <f>F25*F26</f>
        <v>84636622.355296373</v>
      </c>
      <c r="G27" s="35" t="str">
        <f>"Line "&amp;A25&amp;" * Line "&amp;A26&amp;""</f>
        <v>Line 18 * Line 19</v>
      </c>
    </row>
    <row r="28" spans="1:8" x14ac:dyDescent="0.2">
      <c r="A28" s="33">
        <f t="shared" si="3"/>
        <v>21</v>
      </c>
      <c r="E28" s="49" t="s">
        <v>218</v>
      </c>
      <c r="F28" s="47">
        <v>0.18668038449535004</v>
      </c>
      <c r="G28" s="35" t="s">
        <v>493</v>
      </c>
    </row>
    <row r="29" spans="1:8" x14ac:dyDescent="0.2">
      <c r="A29" s="33">
        <f t="shared" si="3"/>
        <v>22</v>
      </c>
      <c r="E29" s="49" t="s">
        <v>220</v>
      </c>
      <c r="F29" s="45">
        <f>H10*F28</f>
        <v>2913571.1645227419</v>
      </c>
      <c r="G29" s="35" t="str">
        <f>"Line "&amp;A10&amp;" Col 4 * Line "&amp;A28&amp;""</f>
        <v>Line 5 Col 4 * Line 21</v>
      </c>
    </row>
    <row r="30" spans="1:8" x14ac:dyDescent="0.2">
      <c r="A30" s="33">
        <f t="shared" si="3"/>
        <v>23</v>
      </c>
      <c r="E30" s="49" t="s">
        <v>221</v>
      </c>
      <c r="F30" s="42">
        <f>F27+F29</f>
        <v>87550193.519819111</v>
      </c>
      <c r="G30" s="35" t="str">
        <f>"Line "&amp;A27&amp;" + Line "&amp;A29&amp;""</f>
        <v>Line 20 + Line 22</v>
      </c>
    </row>
    <row r="32" spans="1:8" x14ac:dyDescent="0.2">
      <c r="B32" s="29" t="s">
        <v>222</v>
      </c>
      <c r="E32" s="69" t="s">
        <v>172</v>
      </c>
      <c r="F32" s="69" t="s">
        <v>173</v>
      </c>
      <c r="G32" s="69" t="s">
        <v>174</v>
      </c>
      <c r="H32" s="69" t="s">
        <v>175</v>
      </c>
    </row>
    <row r="33" spans="1:11" x14ac:dyDescent="0.2">
      <c r="B33" s="29"/>
      <c r="C33" s="153" t="s">
        <v>285</v>
      </c>
      <c r="D33" s="154" t="s">
        <v>286</v>
      </c>
      <c r="E33" s="33" t="s">
        <v>223</v>
      </c>
      <c r="F33" s="69"/>
      <c r="G33" s="69"/>
      <c r="H33" s="69"/>
    </row>
    <row r="34" spans="1:11" x14ac:dyDescent="0.2">
      <c r="E34" s="33" t="s">
        <v>224</v>
      </c>
    </row>
    <row r="35" spans="1:11" x14ac:dyDescent="0.2">
      <c r="D35" s="33" t="s">
        <v>225</v>
      </c>
      <c r="E35" s="33" t="s">
        <v>226</v>
      </c>
      <c r="F35" s="33" t="s">
        <v>227</v>
      </c>
      <c r="G35" s="33"/>
      <c r="H35" s="33"/>
    </row>
    <row r="36" spans="1:11" x14ac:dyDescent="0.2">
      <c r="C36" s="37" t="s">
        <v>180</v>
      </c>
      <c r="D36" s="69" t="s">
        <v>228</v>
      </c>
      <c r="E36" s="37" t="s">
        <v>229</v>
      </c>
      <c r="F36" s="37" t="s">
        <v>230</v>
      </c>
      <c r="G36" s="37" t="s">
        <v>231</v>
      </c>
      <c r="H36" s="37" t="s">
        <v>232</v>
      </c>
      <c r="I36" s="37" t="s">
        <v>42</v>
      </c>
    </row>
    <row r="37" spans="1:11" x14ac:dyDescent="0.2">
      <c r="A37" s="33">
        <f>A30+1</f>
        <v>24</v>
      </c>
      <c r="C37" s="63">
        <v>920</v>
      </c>
      <c r="D37" s="123">
        <f>SUM(E37:H37)</f>
        <v>130478539.62525931</v>
      </c>
      <c r="E37" s="122">
        <v>-12904549.374740697</v>
      </c>
      <c r="F37" s="122"/>
      <c r="G37" s="39">
        <f>G58</f>
        <v>143383089</v>
      </c>
      <c r="H37" s="122"/>
      <c r="I37" s="35" t="s">
        <v>233</v>
      </c>
    </row>
    <row r="38" spans="1:11" x14ac:dyDescent="0.2">
      <c r="A38" s="33">
        <f>A37+1</f>
        <v>25</v>
      </c>
      <c r="C38" s="63">
        <v>921</v>
      </c>
      <c r="D38" s="123">
        <f t="shared" ref="D38:D50" si="4">SUM(E38:H38)</f>
        <v>2352483.834740696</v>
      </c>
      <c r="E38" s="122">
        <v>2352483.834740696</v>
      </c>
      <c r="F38" s="122"/>
      <c r="G38" s="122">
        <v>0</v>
      </c>
      <c r="H38" s="122"/>
      <c r="I38" s="35"/>
    </row>
    <row r="39" spans="1:11" ht="13.5" thickBot="1" x14ac:dyDescent="0.25">
      <c r="A39" s="33">
        <f t="shared" ref="A39:A50" si="5">A38+1</f>
        <v>26</v>
      </c>
      <c r="C39" s="63">
        <v>922</v>
      </c>
      <c r="D39" s="123">
        <f t="shared" si="4"/>
        <v>-77722052.712449998</v>
      </c>
      <c r="E39" s="122">
        <v>-10359095.712450001</v>
      </c>
      <c r="F39" s="122"/>
      <c r="G39" s="122">
        <v>-67362957</v>
      </c>
      <c r="H39" s="122"/>
      <c r="I39" s="35"/>
    </row>
    <row r="40" spans="1:11" ht="13.5" thickBot="1" x14ac:dyDescent="0.25">
      <c r="A40" s="33">
        <f t="shared" si="5"/>
        <v>27</v>
      </c>
      <c r="C40" s="63">
        <v>923</v>
      </c>
      <c r="D40" s="120">
        <f t="shared" si="4"/>
        <v>9386901.0778677817</v>
      </c>
      <c r="E40" s="121">
        <v>9386901.0778677817</v>
      </c>
      <c r="F40" s="122"/>
      <c r="G40" s="122">
        <v>0</v>
      </c>
      <c r="H40" s="122"/>
      <c r="I40" s="35"/>
      <c r="J40" s="37"/>
      <c r="K40" s="37"/>
    </row>
    <row r="41" spans="1:11" x14ac:dyDescent="0.2">
      <c r="A41" s="33">
        <f t="shared" si="5"/>
        <v>28</v>
      </c>
      <c r="C41" s="63">
        <v>924</v>
      </c>
      <c r="D41" s="123">
        <f t="shared" si="4"/>
        <v>0</v>
      </c>
      <c r="E41" s="122">
        <v>0</v>
      </c>
      <c r="F41" s="122"/>
      <c r="G41" s="122">
        <v>0</v>
      </c>
      <c r="H41" s="122"/>
      <c r="I41" s="35"/>
      <c r="K41" s="39"/>
    </row>
    <row r="42" spans="1:11" x14ac:dyDescent="0.2">
      <c r="A42" s="33">
        <f t="shared" si="5"/>
        <v>29</v>
      </c>
      <c r="C42" s="63">
        <v>925</v>
      </c>
      <c r="D42" s="123">
        <f t="shared" si="4"/>
        <v>170732327.52000001</v>
      </c>
      <c r="E42" s="122">
        <v>170732327.52000001</v>
      </c>
      <c r="F42" s="122"/>
      <c r="G42" s="122">
        <v>0</v>
      </c>
      <c r="H42" s="122"/>
      <c r="I42" s="35" t="s">
        <v>287</v>
      </c>
      <c r="K42" s="39"/>
    </row>
    <row r="43" spans="1:11" x14ac:dyDescent="0.2">
      <c r="A43" s="33">
        <f t="shared" si="5"/>
        <v>30</v>
      </c>
      <c r="C43" s="63">
        <v>926</v>
      </c>
      <c r="D43" s="123">
        <f t="shared" si="4"/>
        <v>2802913.9770550355</v>
      </c>
      <c r="E43" s="122">
        <v>14692913.977055036</v>
      </c>
      <c r="F43" s="122"/>
      <c r="G43" s="122">
        <v>0</v>
      </c>
      <c r="H43" s="39">
        <f>E71</f>
        <v>-11890000</v>
      </c>
      <c r="I43" s="35" t="s">
        <v>234</v>
      </c>
      <c r="K43" s="39"/>
    </row>
    <row r="44" spans="1:11" x14ac:dyDescent="0.2">
      <c r="A44" s="33">
        <f t="shared" si="5"/>
        <v>31</v>
      </c>
      <c r="C44" s="63">
        <v>927</v>
      </c>
      <c r="D44" s="123">
        <f t="shared" si="4"/>
        <v>104335318</v>
      </c>
      <c r="E44" s="39">
        <v>0</v>
      </c>
      <c r="F44" s="39">
        <f>E13</f>
        <v>104335318</v>
      </c>
      <c r="G44" s="39">
        <v>0</v>
      </c>
      <c r="H44" s="39">
        <v>0</v>
      </c>
      <c r="I44" s="35" t="s">
        <v>235</v>
      </c>
      <c r="K44" s="39"/>
    </row>
    <row r="45" spans="1:11" x14ac:dyDescent="0.2">
      <c r="A45" s="33">
        <f t="shared" si="5"/>
        <v>32</v>
      </c>
      <c r="C45" s="63">
        <v>928</v>
      </c>
      <c r="D45" s="123">
        <f t="shared" si="4"/>
        <v>9979027.6099999994</v>
      </c>
      <c r="E45" s="122">
        <v>9979027.6099999994</v>
      </c>
      <c r="F45" s="122"/>
      <c r="G45" s="122">
        <v>0</v>
      </c>
      <c r="H45" s="122"/>
      <c r="I45" s="35"/>
      <c r="K45" s="39"/>
    </row>
    <row r="46" spans="1:11" x14ac:dyDescent="0.2">
      <c r="A46" s="33">
        <f t="shared" si="5"/>
        <v>33</v>
      </c>
      <c r="C46" s="63">
        <v>929</v>
      </c>
      <c r="D46" s="123">
        <f t="shared" si="4"/>
        <v>0</v>
      </c>
      <c r="E46" s="122">
        <v>0</v>
      </c>
      <c r="F46" s="122"/>
      <c r="G46" s="122">
        <v>0</v>
      </c>
      <c r="H46" s="122"/>
      <c r="I46" s="35"/>
      <c r="K46" s="39"/>
    </row>
    <row r="47" spans="1:11" x14ac:dyDescent="0.2">
      <c r="A47" s="33">
        <f t="shared" si="5"/>
        <v>34</v>
      </c>
      <c r="C47" s="63">
        <v>930.1</v>
      </c>
      <c r="D47" s="123">
        <f t="shared" si="4"/>
        <v>0</v>
      </c>
      <c r="E47" s="122">
        <v>0</v>
      </c>
      <c r="F47" s="122"/>
      <c r="G47" s="122">
        <v>0</v>
      </c>
      <c r="H47" s="122"/>
      <c r="I47" s="35"/>
      <c r="K47" s="39"/>
    </row>
    <row r="48" spans="1:11" x14ac:dyDescent="0.2">
      <c r="A48" s="33">
        <f t="shared" si="5"/>
        <v>35</v>
      </c>
      <c r="C48" s="63">
        <v>930.2</v>
      </c>
      <c r="D48" s="123">
        <f t="shared" si="4"/>
        <v>5999239.1899999976</v>
      </c>
      <c r="E48" s="122">
        <v>5999239.1899999976</v>
      </c>
      <c r="F48" s="122"/>
      <c r="G48" s="122">
        <v>0</v>
      </c>
      <c r="H48" s="122"/>
      <c r="I48" s="35"/>
      <c r="J48" s="39"/>
    </row>
    <row r="49" spans="1:10" x14ac:dyDescent="0.2">
      <c r="A49" s="33">
        <f t="shared" si="5"/>
        <v>36</v>
      </c>
      <c r="C49" s="63">
        <v>931</v>
      </c>
      <c r="D49" s="123">
        <f t="shared" si="4"/>
        <v>12016812.699999999</v>
      </c>
      <c r="E49" s="122">
        <v>12016812.699999999</v>
      </c>
      <c r="F49" s="122"/>
      <c r="G49" s="122">
        <v>0</v>
      </c>
      <c r="H49" s="122"/>
      <c r="I49" s="35"/>
      <c r="J49" s="39"/>
    </row>
    <row r="50" spans="1:10" x14ac:dyDescent="0.2">
      <c r="A50" s="33">
        <f t="shared" si="5"/>
        <v>37</v>
      </c>
      <c r="C50" s="63">
        <v>935</v>
      </c>
      <c r="D50" s="123">
        <f t="shared" si="4"/>
        <v>769627.75</v>
      </c>
      <c r="E50" s="122">
        <v>769627.75</v>
      </c>
      <c r="F50" s="122"/>
      <c r="G50" s="122">
        <v>0</v>
      </c>
      <c r="H50" s="122"/>
      <c r="I50" s="35"/>
    </row>
    <row r="51" spans="1:10" x14ac:dyDescent="0.2">
      <c r="A51" s="33"/>
      <c r="C51" s="63"/>
      <c r="D51" s="123"/>
      <c r="E51" s="39"/>
      <c r="F51" s="39"/>
      <c r="G51" s="39"/>
      <c r="H51" s="39"/>
      <c r="I51" s="35"/>
    </row>
    <row r="52" spans="1:10" x14ac:dyDescent="0.2">
      <c r="B52" s="29" t="s">
        <v>236</v>
      </c>
    </row>
    <row r="53" spans="1:10" x14ac:dyDescent="0.2">
      <c r="B53" s="29"/>
      <c r="C53" s="30" t="s">
        <v>237</v>
      </c>
      <c r="G53" s="33"/>
      <c r="H53" s="33"/>
    </row>
    <row r="54" spans="1:10" x14ac:dyDescent="0.2">
      <c r="B54" s="29"/>
      <c r="C54" s="56" t="s">
        <v>238</v>
      </c>
      <c r="D54" s="56"/>
      <c r="E54" s="56"/>
      <c r="G54" s="33"/>
      <c r="H54" s="33"/>
    </row>
    <row r="55" spans="1:10" x14ac:dyDescent="0.2">
      <c r="B55" s="29"/>
      <c r="C55" s="153" t="s">
        <v>285</v>
      </c>
      <c r="D55" s="154" t="s">
        <v>286</v>
      </c>
      <c r="G55" s="37" t="s">
        <v>32</v>
      </c>
      <c r="H55" s="37" t="s">
        <v>33</v>
      </c>
    </row>
    <row r="56" spans="1:10" x14ac:dyDescent="0.2">
      <c r="A56" s="33"/>
      <c r="B56" s="33" t="s">
        <v>114</v>
      </c>
      <c r="C56" s="155"/>
      <c r="F56" s="49" t="s">
        <v>239</v>
      </c>
      <c r="G56" s="122">
        <v>148050456</v>
      </c>
      <c r="H56" s="35" t="s">
        <v>240</v>
      </c>
    </row>
    <row r="57" spans="1:10" x14ac:dyDescent="0.2">
      <c r="A57" s="33"/>
      <c r="B57" s="33" t="s">
        <v>116</v>
      </c>
      <c r="F57" s="49" t="s">
        <v>241</v>
      </c>
      <c r="G57" s="45">
        <f>E61</f>
        <v>4667367</v>
      </c>
      <c r="H57" s="35" t="str">
        <f>"Note 2, "&amp;B61&amp;""</f>
        <v>Note 2, d</v>
      </c>
    </row>
    <row r="58" spans="1:10" x14ac:dyDescent="0.2">
      <c r="A58" s="33"/>
      <c r="B58" s="33" t="s">
        <v>119</v>
      </c>
      <c r="F58" s="49" t="s">
        <v>242</v>
      </c>
      <c r="G58" s="39">
        <f>G56-G57</f>
        <v>143383089</v>
      </c>
    </row>
    <row r="59" spans="1:10" x14ac:dyDescent="0.2">
      <c r="A59" s="33"/>
      <c r="C59" s="56" t="s">
        <v>243</v>
      </c>
      <c r="D59" s="56"/>
      <c r="E59" s="56"/>
      <c r="G59" s="39"/>
    </row>
    <row r="60" spans="1:10" x14ac:dyDescent="0.2">
      <c r="A60" s="33"/>
      <c r="D60" s="36" t="s">
        <v>244</v>
      </c>
      <c r="E60" s="37" t="s">
        <v>32</v>
      </c>
      <c r="F60" s="37" t="s">
        <v>33</v>
      </c>
      <c r="G60" s="39"/>
    </row>
    <row r="61" spans="1:10" x14ac:dyDescent="0.2">
      <c r="A61" s="33"/>
      <c r="B61" s="33" t="s">
        <v>121</v>
      </c>
      <c r="D61" s="30" t="s">
        <v>245</v>
      </c>
      <c r="E61" s="111">
        <v>4667367</v>
      </c>
      <c r="F61" s="35" t="s">
        <v>246</v>
      </c>
      <c r="G61" s="39"/>
    </row>
    <row r="62" spans="1:10" x14ac:dyDescent="0.2">
      <c r="A62" s="33"/>
      <c r="B62" s="33" t="s">
        <v>125</v>
      </c>
      <c r="D62" s="30" t="s">
        <v>247</v>
      </c>
      <c r="E62" s="111">
        <v>2525320</v>
      </c>
      <c r="F62" s="35" t="s">
        <v>246</v>
      </c>
      <c r="G62" s="39"/>
      <c r="I62" s="112"/>
    </row>
    <row r="63" spans="1:10" x14ac:dyDescent="0.2">
      <c r="A63" s="33"/>
      <c r="B63" s="33" t="s">
        <v>127</v>
      </c>
      <c r="D63" s="30" t="s">
        <v>248</v>
      </c>
      <c r="E63" s="113">
        <v>4239356</v>
      </c>
      <c r="F63" s="35" t="s">
        <v>246</v>
      </c>
      <c r="G63" s="39"/>
      <c r="I63" s="39"/>
    </row>
    <row r="64" spans="1:10" x14ac:dyDescent="0.2">
      <c r="A64" s="33"/>
      <c r="B64" s="33" t="s">
        <v>129</v>
      </c>
      <c r="D64" s="49" t="s">
        <v>249</v>
      </c>
      <c r="E64" s="39">
        <f>SUM(E61:E63)</f>
        <v>11432043</v>
      </c>
      <c r="F64" s="35" t="str">
        <f>"Sum of "&amp;B61&amp;" to "&amp;B63&amp;""</f>
        <v>Sum of d to f</v>
      </c>
      <c r="G64" s="39"/>
    </row>
    <row r="66" spans="1:7" x14ac:dyDescent="0.2">
      <c r="B66" s="29" t="s">
        <v>250</v>
      </c>
    </row>
    <row r="67" spans="1:7" x14ac:dyDescent="0.2">
      <c r="E67" s="37" t="s">
        <v>32</v>
      </c>
      <c r="F67" s="36" t="s">
        <v>251</v>
      </c>
    </row>
    <row r="68" spans="1:7" x14ac:dyDescent="0.2">
      <c r="A68" s="33"/>
      <c r="B68" s="33" t="s">
        <v>114</v>
      </c>
      <c r="D68" s="49" t="s">
        <v>252</v>
      </c>
      <c r="E68" s="124">
        <v>6329000</v>
      </c>
      <c r="F68" s="35" t="s">
        <v>253</v>
      </c>
    </row>
    <row r="69" spans="1:7" x14ac:dyDescent="0.2">
      <c r="A69" s="33"/>
      <c r="B69" s="33" t="s">
        <v>116</v>
      </c>
      <c r="D69" s="49" t="s">
        <v>254</v>
      </c>
      <c r="E69" s="125">
        <v>18219000</v>
      </c>
      <c r="F69" s="35" t="s">
        <v>255</v>
      </c>
    </row>
    <row r="70" spans="1:7" x14ac:dyDescent="0.2">
      <c r="A70" s="33"/>
      <c r="B70" s="33" t="s">
        <v>119</v>
      </c>
      <c r="D70" s="49" t="s">
        <v>256</v>
      </c>
      <c r="E70" s="126">
        <v>6329000</v>
      </c>
      <c r="F70" s="35" t="s">
        <v>240</v>
      </c>
    </row>
    <row r="71" spans="1:7" x14ac:dyDescent="0.2">
      <c r="A71" s="33"/>
      <c r="B71" s="33" t="s">
        <v>121</v>
      </c>
      <c r="D71" s="49" t="s">
        <v>257</v>
      </c>
      <c r="E71" s="39">
        <f>E70-E69</f>
        <v>-11890000</v>
      </c>
      <c r="F71" s="35" t="str">
        <f>""&amp;B70&amp;" - "&amp;B69&amp;""</f>
        <v>c - b</v>
      </c>
    </row>
    <row r="72" spans="1:7" x14ac:dyDescent="0.2">
      <c r="A72" s="33"/>
      <c r="B72" s="29" t="s">
        <v>258</v>
      </c>
      <c r="D72" s="49"/>
      <c r="E72" s="39"/>
      <c r="F72" s="35"/>
    </row>
    <row r="73" spans="1:7" x14ac:dyDescent="0.2">
      <c r="A73" s="33"/>
      <c r="B73" s="29"/>
      <c r="C73" s="30" t="str">
        <f>"Amount in Line "&amp;A44&amp;", column 2 equals amount in Line "&amp;A13&amp;", column 1 because all Franchise Requirements Expenses are excluded"</f>
        <v>Amount in Line 31, column 2 equals amount in Line 8, column 1 because all Franchise Requirements Expenses are excluded</v>
      </c>
      <c r="D73" s="49"/>
      <c r="E73" s="39"/>
      <c r="F73" s="35"/>
    </row>
    <row r="74" spans="1:7" x14ac:dyDescent="0.2">
      <c r="A74" s="33"/>
      <c r="B74" s="29"/>
      <c r="C74" s="30" t="s">
        <v>259</v>
      </c>
      <c r="D74" s="49"/>
      <c r="E74" s="39"/>
      <c r="F74" s="35"/>
    </row>
    <row r="76" spans="1:7" x14ac:dyDescent="0.2">
      <c r="B76" s="29" t="s">
        <v>104</v>
      </c>
    </row>
    <row r="77" spans="1:7" x14ac:dyDescent="0.2">
      <c r="C77" s="30" t="str">
        <f>"1) Enter amounts of A&amp;G expenses from FERC Form 1 in Lines "&amp;A6&amp;" to "&amp;A19&amp;"."</f>
        <v>1) Enter amounts of A&amp;G expenses from FERC Form 1 in Lines 1 to 14.</v>
      </c>
    </row>
    <row r="78" spans="1:7" x14ac:dyDescent="0.2">
      <c r="C78" s="30" t="s">
        <v>260</v>
      </c>
      <c r="G78" s="30" t="str">
        <f>"Column 3, Line "&amp;A37&amp;""</f>
        <v>Column 3, Line 24</v>
      </c>
    </row>
    <row r="79" spans="1:7" x14ac:dyDescent="0.2">
      <c r="C79" s="35" t="str">
        <f>"is calculated in Note 2.  The PBOPs exclusion in Column 4, Line "&amp;A43&amp;" is calculated in Note 3."</f>
        <v>is calculated in Note 2.  The PBOPs exclusion in Column 4, Line 30 is calculated in Note 3.</v>
      </c>
    </row>
    <row r="80" spans="1:7" x14ac:dyDescent="0.2">
      <c r="C80" s="35" t="s">
        <v>261</v>
      </c>
    </row>
    <row r="81" spans="3:7" x14ac:dyDescent="0.2">
      <c r="C81" s="35" t="s">
        <v>262</v>
      </c>
      <c r="D81" s="49"/>
      <c r="E81" s="39"/>
      <c r="F81" s="35"/>
    </row>
    <row r="82" spans="3:7" x14ac:dyDescent="0.2">
      <c r="C82" s="35" t="s">
        <v>263</v>
      </c>
      <c r="D82" s="49"/>
      <c r="E82" s="39"/>
      <c r="F82" s="35"/>
    </row>
    <row r="83" spans="3:7" x14ac:dyDescent="0.2">
      <c r="C83" s="35" t="s">
        <v>264</v>
      </c>
    </row>
    <row r="84" spans="3:7" x14ac:dyDescent="0.2">
      <c r="C84" s="35" t="s">
        <v>265</v>
      </c>
    </row>
    <row r="85" spans="3:7" x14ac:dyDescent="0.2">
      <c r="C85" s="35" t="s">
        <v>266</v>
      </c>
    </row>
    <row r="86" spans="3:7" x14ac:dyDescent="0.2">
      <c r="C86" s="35" t="s">
        <v>267</v>
      </c>
    </row>
    <row r="87" spans="3:7" x14ac:dyDescent="0.2">
      <c r="C87" s="35" t="s">
        <v>268</v>
      </c>
    </row>
    <row r="88" spans="3:7" x14ac:dyDescent="0.2">
      <c r="C88" s="35" t="s">
        <v>269</v>
      </c>
      <c r="E88" s="127"/>
      <c r="F88" s="127"/>
      <c r="G88" s="127"/>
    </row>
    <row r="89" spans="3:7" x14ac:dyDescent="0.2">
      <c r="C89" s="128" t="s">
        <v>270</v>
      </c>
      <c r="E89" s="127"/>
      <c r="F89" s="127"/>
      <c r="G89" s="127"/>
    </row>
    <row r="90" spans="3:7" x14ac:dyDescent="0.2">
      <c r="C90" s="128" t="s">
        <v>271</v>
      </c>
      <c r="E90" s="127"/>
      <c r="F90" s="127"/>
      <c r="G90" s="127"/>
    </row>
    <row r="91" spans="3:7" x14ac:dyDescent="0.2">
      <c r="C91" s="128" t="s">
        <v>272</v>
      </c>
      <c r="E91" s="127"/>
      <c r="F91" s="127"/>
      <c r="G91" s="127"/>
    </row>
    <row r="92" spans="3:7" hidden="1" x14ac:dyDescent="0.2">
      <c r="C92" s="35" t="s">
        <v>273</v>
      </c>
      <c r="E92" s="127"/>
      <c r="F92" s="127"/>
      <c r="G92" s="127"/>
    </row>
    <row r="93" spans="3:7" hidden="1" x14ac:dyDescent="0.2">
      <c r="C93" s="128" t="s">
        <v>274</v>
      </c>
      <c r="E93" s="127"/>
      <c r="F93" s="127"/>
      <c r="G93" s="127"/>
    </row>
    <row r="94" spans="3:7" hidden="1" x14ac:dyDescent="0.2">
      <c r="C94" s="128" t="s">
        <v>275</v>
      </c>
      <c r="E94" s="127"/>
      <c r="F94" s="127"/>
      <c r="G94" s="127"/>
    </row>
    <row r="95" spans="3:7" hidden="1" x14ac:dyDescent="0.2">
      <c r="C95" s="128" t="s">
        <v>276</v>
      </c>
      <c r="E95" s="127"/>
      <c r="F95" s="127"/>
      <c r="G95" s="127"/>
    </row>
    <row r="96" spans="3:7" hidden="1" x14ac:dyDescent="0.2">
      <c r="C96" s="128" t="s">
        <v>277</v>
      </c>
      <c r="E96" s="127"/>
      <c r="F96" s="127"/>
      <c r="G96" s="127"/>
    </row>
    <row r="97" spans="3:10" hidden="1" x14ac:dyDescent="0.2">
      <c r="C97" s="65" t="s">
        <v>278</v>
      </c>
      <c r="D97" s="56"/>
      <c r="E97" s="56"/>
      <c r="F97" s="56"/>
      <c r="G97" s="56"/>
      <c r="H97" s="56"/>
      <c r="I97" s="56"/>
      <c r="J97" s="56"/>
    </row>
    <row r="98" spans="3:10" hidden="1" x14ac:dyDescent="0.2">
      <c r="C98" s="30" t="s">
        <v>279</v>
      </c>
    </row>
    <row r="99" spans="3:10" hidden="1" x14ac:dyDescent="0.2">
      <c r="C99" s="65" t="s">
        <v>280</v>
      </c>
      <c r="D99" s="56"/>
      <c r="E99" s="56"/>
      <c r="F99" s="56"/>
      <c r="G99" s="56"/>
      <c r="H99" s="56"/>
      <c r="I99" s="56"/>
    </row>
    <row r="100" spans="3:10" hidden="1" x14ac:dyDescent="0.2">
      <c r="C100" s="30" t="str">
        <f>"4) Determine the PBOPs exclusion.  The authorized amount of PBOPs expense (line "&amp;B68&amp;") may only be revised"</f>
        <v>4) Determine the PBOPs exclusion.  The authorized amount of PBOPs expense (line a) may only be revised</v>
      </c>
    </row>
    <row r="101" spans="3:10" hidden="1" x14ac:dyDescent="0.2">
      <c r="C101" s="30" t="s">
        <v>281</v>
      </c>
    </row>
    <row r="102" spans="3:10" hidden="1" x14ac:dyDescent="0.2">
      <c r="C102" s="30" t="s">
        <v>282</v>
      </c>
    </row>
    <row r="103" spans="3:10" hidden="1" x14ac:dyDescent="0.2">
      <c r="C103" s="30" t="s">
        <v>283</v>
      </c>
      <c r="I103" s="59" t="s">
        <v>288</v>
      </c>
      <c r="J103" s="59"/>
    </row>
    <row r="104" spans="3:10" hidden="1" x14ac:dyDescent="0.2">
      <c r="C104" s="30" t="s">
        <v>284</v>
      </c>
    </row>
    <row r="105" spans="3:10" x14ac:dyDescent="0.2">
      <c r="C105" s="30" t="s">
        <v>289</v>
      </c>
    </row>
    <row r="106" spans="3:10" x14ac:dyDescent="0.2">
      <c r="C106" s="30" t="s">
        <v>290</v>
      </c>
    </row>
    <row r="107" spans="3:10" x14ac:dyDescent="0.2">
      <c r="C107" s="30" t="s">
        <v>291</v>
      </c>
    </row>
    <row r="108" spans="3:10" x14ac:dyDescent="0.2">
      <c r="C108" s="30" t="s">
        <v>292</v>
      </c>
    </row>
    <row r="109" spans="3:10" x14ac:dyDescent="0.2">
      <c r="C109" s="30" t="s">
        <v>293</v>
      </c>
    </row>
    <row r="110" spans="3:10" hidden="1" x14ac:dyDescent="0.2">
      <c r="C110" s="156"/>
    </row>
  </sheetData>
  <pageMargins left="0.75" right="0.75" top="1" bottom="1" header="0.5" footer="0.5"/>
  <pageSetup scale="68" orientation="landscape" cellComments="asDisplayed" r:id="rId1"/>
  <headerFooter alignWithMargins="0">
    <oddHeader>&amp;CSchedule 20
Administrative and General Expenses
(Revised 2019 
TO2021 True Up TRR)&amp;R TO2024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1DFC6-1B4F-4F1A-BB8A-D0300F14CF25}">
  <sheetPr>
    <tabColor rgb="FFFFFFCC"/>
  </sheetPr>
  <dimension ref="A2:H18"/>
  <sheetViews>
    <sheetView zoomScaleNormal="100" workbookViewId="0"/>
  </sheetViews>
  <sheetFormatPr defaultColWidth="9.140625" defaultRowHeight="15" x14ac:dyDescent="0.25"/>
  <cols>
    <col min="1" max="2" width="9.140625" style="27"/>
    <col min="3" max="3" width="18.5703125" style="27" customWidth="1"/>
    <col min="4" max="4" width="14.28515625" style="27" bestFit="1" customWidth="1"/>
    <col min="5" max="5" width="12.5703125" style="27" customWidth="1"/>
    <col min="6" max="6" width="12" style="27" customWidth="1"/>
    <col min="7" max="7" width="13.85546875" style="27" customWidth="1"/>
    <col min="8" max="16384" width="9.140625" style="27"/>
  </cols>
  <sheetData>
    <row r="2" spans="1:8" ht="21" customHeight="1" x14ac:dyDescent="0.25"/>
    <row r="3" spans="1:8" ht="15" customHeight="1" x14ac:dyDescent="0.25">
      <c r="A3" s="335" t="s">
        <v>302</v>
      </c>
      <c r="B3" s="335"/>
      <c r="C3" s="335"/>
      <c r="D3" s="335"/>
      <c r="E3" s="335"/>
      <c r="F3" s="335"/>
      <c r="G3" s="335"/>
    </row>
    <row r="4" spans="1:8" ht="15" customHeight="1" x14ac:dyDescent="0.25">
      <c r="A4" s="335"/>
      <c r="B4" s="335"/>
      <c r="C4" s="335"/>
      <c r="D4" s="335"/>
      <c r="E4" s="335"/>
      <c r="F4" s="335"/>
      <c r="G4" s="335"/>
    </row>
    <row r="5" spans="1:8" x14ac:dyDescent="0.25">
      <c r="A5" s="336" t="s">
        <v>31</v>
      </c>
      <c r="B5" s="336"/>
      <c r="C5" s="336"/>
      <c r="D5" s="86" t="s">
        <v>32</v>
      </c>
      <c r="E5" s="337" t="s">
        <v>33</v>
      </c>
      <c r="F5" s="337"/>
      <c r="G5" s="337"/>
    </row>
    <row r="6" spans="1:8" ht="49.5" customHeight="1" x14ac:dyDescent="0.25">
      <c r="A6" s="344" t="s">
        <v>428</v>
      </c>
      <c r="B6" s="338"/>
      <c r="C6" s="339"/>
      <c r="D6" s="28">
        <f>'WP-2020 TO2022 Sch4-TUTRR'!E73</f>
        <v>1236945444.8058078</v>
      </c>
      <c r="E6" s="340" t="s">
        <v>440</v>
      </c>
      <c r="F6" s="340"/>
      <c r="G6" s="340"/>
    </row>
    <row r="7" spans="1:8" ht="50.25" customHeight="1" x14ac:dyDescent="0.25">
      <c r="A7" s="344" t="s">
        <v>429</v>
      </c>
      <c r="B7" s="326"/>
      <c r="C7" s="327"/>
      <c r="D7" s="28">
        <f>'WP-2020 TO2022 Sch4-TUTRR'!J71</f>
        <v>1237122830.6833048</v>
      </c>
      <c r="E7" s="340" t="s">
        <v>406</v>
      </c>
      <c r="F7" s="340"/>
      <c r="G7" s="340"/>
    </row>
    <row r="8" spans="1:8" x14ac:dyDescent="0.25">
      <c r="A8" s="330" t="s">
        <v>34</v>
      </c>
      <c r="B8" s="330"/>
      <c r="C8" s="331"/>
      <c r="D8" s="270">
        <f>D6-D7</f>
        <v>-177385.87749695778</v>
      </c>
      <c r="E8" s="332"/>
      <c r="F8" s="332"/>
      <c r="G8" s="332"/>
    </row>
    <row r="11" spans="1:8" x14ac:dyDescent="0.25">
      <c r="A11" s="115" t="s">
        <v>141</v>
      </c>
    </row>
    <row r="12" spans="1:8" ht="27.95" customHeight="1" x14ac:dyDescent="0.25">
      <c r="A12" s="352" t="s">
        <v>441</v>
      </c>
      <c r="B12" s="353"/>
      <c r="C12" s="353"/>
      <c r="D12" s="353"/>
      <c r="E12" s="353"/>
      <c r="F12" s="353"/>
      <c r="G12" s="353"/>
      <c r="H12" s="114"/>
    </row>
    <row r="13" spans="1:8" x14ac:dyDescent="0.25">
      <c r="A13" s="372" t="s">
        <v>583</v>
      </c>
      <c r="B13" s="353"/>
      <c r="C13" s="353"/>
      <c r="D13" s="353"/>
      <c r="E13" s="353"/>
      <c r="F13" s="353"/>
      <c r="G13" s="353"/>
      <c r="H13" s="114"/>
    </row>
    <row r="14" spans="1:8" x14ac:dyDescent="0.25">
      <c r="A14" s="371" t="s">
        <v>584</v>
      </c>
      <c r="B14" s="309"/>
      <c r="C14" s="309"/>
      <c r="D14" s="309"/>
      <c r="E14" s="309"/>
      <c r="F14" s="309"/>
      <c r="G14" s="309"/>
    </row>
    <row r="17" spans="1:1" x14ac:dyDescent="0.25">
      <c r="A17" s="203"/>
    </row>
    <row r="18" spans="1:1" x14ac:dyDescent="0.25">
      <c r="A18" s="203"/>
    </row>
  </sheetData>
  <mergeCells count="12">
    <mergeCell ref="A14:G14"/>
    <mergeCell ref="A3:G4"/>
    <mergeCell ref="A5:C5"/>
    <mergeCell ref="E5:G5"/>
    <mergeCell ref="A6:C6"/>
    <mergeCell ref="A8:C8"/>
    <mergeCell ref="E8:G8"/>
    <mergeCell ref="E6:G6"/>
    <mergeCell ref="A12:G12"/>
    <mergeCell ref="A7:C7"/>
    <mergeCell ref="E7:G7"/>
    <mergeCell ref="A13:G13"/>
  </mergeCells>
  <phoneticPr fontId="73" type="noConversion"/>
  <pageMargins left="0.7" right="0.7" top="0.75" bottom="0.75" header="0.3" footer="0.3"/>
  <pageSetup orientation="portrait" r:id="rId1"/>
  <headerFooter>
    <oddHeader>&amp;R TO2024 Annual Update
Attachment 4
WP-Schedule 3-One Time Adj Prior Period
Page &amp;P of &amp;N</oddHeader>
    <oddFooter>&amp;R&amp;A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BDD12-CCC2-47E9-BA04-D4BBA3EEB958}">
  <sheetPr>
    <tabColor rgb="FFFFFFCC"/>
  </sheetPr>
  <dimension ref="A1:R172"/>
  <sheetViews>
    <sheetView zoomScaleNormal="100" workbookViewId="0"/>
  </sheetViews>
  <sheetFormatPr defaultRowHeight="12.75" x14ac:dyDescent="0.2"/>
  <cols>
    <col min="1" max="2" width="4.5703125" customWidth="1"/>
    <col min="3" max="3" width="18.5703125" customWidth="1"/>
    <col min="4" max="4" width="10.42578125" bestFit="1" customWidth="1"/>
    <col min="5" max="7" width="15.5703125" customWidth="1"/>
    <col min="8" max="8" width="24.5703125" customWidth="1"/>
    <col min="9" max="9" width="4.5703125" customWidth="1"/>
    <col min="10" max="10" width="15.5703125" customWidth="1"/>
    <col min="11" max="11" width="2.5703125" customWidth="1"/>
    <col min="12" max="12" width="34.28515625" bestFit="1" customWidth="1"/>
    <col min="13" max="13" width="11" customWidth="1"/>
    <col min="14" max="14" width="15.42578125" customWidth="1"/>
    <col min="17" max="17" width="3.5703125" customWidth="1"/>
  </cols>
  <sheetData>
    <row r="1" spans="1:14" x14ac:dyDescent="0.2">
      <c r="A1" s="159" t="s">
        <v>35</v>
      </c>
    </row>
    <row r="3" spans="1:14" x14ac:dyDescent="0.2">
      <c r="B3" s="204" t="s">
        <v>36</v>
      </c>
      <c r="L3" s="164"/>
    </row>
    <row r="4" spans="1:14" x14ac:dyDescent="0.2">
      <c r="B4" s="205"/>
      <c r="F4" s="164" t="s">
        <v>37</v>
      </c>
      <c r="G4" s="164"/>
      <c r="H4" s="164" t="s">
        <v>38</v>
      </c>
      <c r="L4" s="164"/>
      <c r="N4" s="164"/>
    </row>
    <row r="5" spans="1:14" x14ac:dyDescent="0.2">
      <c r="A5" s="165" t="s">
        <v>39</v>
      </c>
      <c r="B5" s="180"/>
      <c r="C5" s="188" t="s">
        <v>40</v>
      </c>
      <c r="F5" s="166" t="s">
        <v>41</v>
      </c>
      <c r="G5" s="166" t="s">
        <v>42</v>
      </c>
      <c r="H5" s="166" t="s">
        <v>43</v>
      </c>
      <c r="J5" s="166" t="s">
        <v>32</v>
      </c>
      <c r="L5" s="166"/>
      <c r="N5" s="166"/>
    </row>
    <row r="6" spans="1:14" x14ac:dyDescent="0.2">
      <c r="A6" s="164">
        <v>1</v>
      </c>
      <c r="C6" s="201" t="s">
        <v>44</v>
      </c>
      <c r="F6" t="s">
        <v>45</v>
      </c>
      <c r="H6" s="201" t="s">
        <v>450</v>
      </c>
      <c r="J6" s="170">
        <v>9465884220.0723038</v>
      </c>
      <c r="L6" s="170"/>
      <c r="N6" s="170"/>
    </row>
    <row r="7" spans="1:14" x14ac:dyDescent="0.2">
      <c r="A7" s="164">
        <f>A6+1</f>
        <v>2</v>
      </c>
      <c r="C7" s="201" t="s">
        <v>46</v>
      </c>
      <c r="F7" t="s">
        <v>47</v>
      </c>
      <c r="H7" s="201" t="s">
        <v>451</v>
      </c>
      <c r="J7" s="170">
        <v>332996256.84061587</v>
      </c>
      <c r="L7" s="170"/>
      <c r="N7" s="170"/>
    </row>
    <row r="8" spans="1:14" x14ac:dyDescent="0.2">
      <c r="A8" s="164">
        <f>A7+1</f>
        <v>3</v>
      </c>
      <c r="C8" s="201" t="s">
        <v>48</v>
      </c>
      <c r="F8" t="s">
        <v>47</v>
      </c>
      <c r="H8" t="s">
        <v>452</v>
      </c>
      <c r="J8" s="170">
        <v>9942155</v>
      </c>
      <c r="L8" s="170"/>
      <c r="N8" s="170"/>
    </row>
    <row r="9" spans="1:14" x14ac:dyDescent="0.2">
      <c r="A9" s="164">
        <f>A8+1</f>
        <v>4</v>
      </c>
      <c r="C9" s="201" t="s">
        <v>49</v>
      </c>
      <c r="F9" t="s">
        <v>47</v>
      </c>
      <c r="H9" s="169" t="s">
        <v>453</v>
      </c>
      <c r="J9" s="170">
        <v>0</v>
      </c>
      <c r="L9" s="170"/>
      <c r="N9" s="170"/>
    </row>
    <row r="10" spans="1:14" x14ac:dyDescent="0.2">
      <c r="A10" s="164"/>
      <c r="C10" s="201"/>
      <c r="J10" s="170"/>
      <c r="L10" s="170"/>
      <c r="N10" s="170"/>
    </row>
    <row r="11" spans="1:14" x14ac:dyDescent="0.2">
      <c r="A11" s="164"/>
      <c r="C11" s="206" t="s">
        <v>50</v>
      </c>
      <c r="J11" s="170"/>
      <c r="L11" s="170"/>
      <c r="N11" s="170"/>
    </row>
    <row r="12" spans="1:14" x14ac:dyDescent="0.2">
      <c r="A12" s="164">
        <f>A9+1</f>
        <v>5</v>
      </c>
      <c r="C12" s="176" t="s">
        <v>51</v>
      </c>
      <c r="F12" t="s">
        <v>45</v>
      </c>
      <c r="H12" s="201" t="s">
        <v>454</v>
      </c>
      <c r="J12" s="170">
        <v>26347686.132242225</v>
      </c>
      <c r="L12" s="170"/>
      <c r="N12" s="170"/>
    </row>
    <row r="13" spans="1:14" x14ac:dyDescent="0.2">
      <c r="A13" s="164">
        <f>A12+1</f>
        <v>6</v>
      </c>
      <c r="C13" s="180" t="s">
        <v>52</v>
      </c>
      <c r="F13" t="s">
        <v>45</v>
      </c>
      <c r="H13" s="201" t="s">
        <v>455</v>
      </c>
      <c r="J13" s="170">
        <v>17295289.478393741</v>
      </c>
      <c r="L13" s="170"/>
      <c r="N13" s="170"/>
    </row>
    <row r="14" spans="1:14" x14ac:dyDescent="0.2">
      <c r="A14" s="164">
        <f>A13+1</f>
        <v>7</v>
      </c>
      <c r="C14" s="176" t="s">
        <v>53</v>
      </c>
      <c r="F14" s="169" t="s">
        <v>144</v>
      </c>
      <c r="H14" t="s">
        <v>456</v>
      </c>
      <c r="J14" s="172">
        <v>38001449.182828672</v>
      </c>
      <c r="L14" s="177"/>
      <c r="N14" s="177"/>
    </row>
    <row r="15" spans="1:14" x14ac:dyDescent="0.2">
      <c r="A15" s="164">
        <f>A14+1</f>
        <v>8</v>
      </c>
      <c r="C15" s="176" t="s">
        <v>54</v>
      </c>
      <c r="H15" t="str">
        <f>"Line "&amp;A12&amp;" + Line "&amp;A13&amp;" + Line "&amp;A14&amp;""</f>
        <v>Line 5 + Line 6 + Line 7</v>
      </c>
      <c r="J15" s="168">
        <f>SUM(J12:J14)</f>
        <v>81644424.793464631</v>
      </c>
      <c r="L15" s="170"/>
      <c r="N15" s="170"/>
    </row>
    <row r="16" spans="1:14" x14ac:dyDescent="0.2">
      <c r="A16" s="164"/>
      <c r="C16" s="176"/>
      <c r="J16" s="170"/>
      <c r="L16" s="170"/>
      <c r="N16" s="170"/>
    </row>
    <row r="17" spans="1:14" x14ac:dyDescent="0.2">
      <c r="A17" s="164"/>
      <c r="C17" s="207" t="s">
        <v>55</v>
      </c>
      <c r="J17" s="170"/>
      <c r="L17" s="170"/>
      <c r="N17" s="170"/>
    </row>
    <row r="18" spans="1:14" x14ac:dyDescent="0.2">
      <c r="A18" s="164">
        <f>A15+1</f>
        <v>9</v>
      </c>
      <c r="C18" s="176" t="s">
        <v>56</v>
      </c>
      <c r="F18" t="s">
        <v>45</v>
      </c>
      <c r="G18" t="s">
        <v>57</v>
      </c>
      <c r="H18" s="201" t="s">
        <v>472</v>
      </c>
      <c r="J18" s="170">
        <v>-1985745438.4659734</v>
      </c>
      <c r="L18" s="170"/>
      <c r="N18" s="170"/>
    </row>
    <row r="19" spans="1:14" x14ac:dyDescent="0.2">
      <c r="A19" s="164">
        <f>A18+1</f>
        <v>10</v>
      </c>
      <c r="C19" s="176" t="s">
        <v>58</v>
      </c>
      <c r="F19" t="s">
        <v>47</v>
      </c>
      <c r="G19" t="s">
        <v>57</v>
      </c>
      <c r="H19" s="201" t="s">
        <v>473</v>
      </c>
      <c r="J19" s="170">
        <v>0</v>
      </c>
      <c r="L19" s="170"/>
      <c r="N19" s="170"/>
    </row>
    <row r="20" spans="1:14" x14ac:dyDescent="0.2">
      <c r="A20" s="164">
        <f>A19+1</f>
        <v>11</v>
      </c>
      <c r="C20" s="176" t="s">
        <v>59</v>
      </c>
      <c r="D20" s="44"/>
      <c r="F20" t="s">
        <v>47</v>
      </c>
      <c r="G20" t="s">
        <v>57</v>
      </c>
      <c r="H20" s="201" t="s">
        <v>474</v>
      </c>
      <c r="J20" s="177">
        <v>-123470471.96471</v>
      </c>
      <c r="L20" s="177"/>
      <c r="N20" s="177"/>
    </row>
    <row r="21" spans="1:14" x14ac:dyDescent="0.2">
      <c r="A21" s="164">
        <f>A20+1</f>
        <v>12</v>
      </c>
      <c r="C21" s="46" t="s">
        <v>60</v>
      </c>
      <c r="D21" s="44"/>
      <c r="H21" t="str">
        <f>"Line "&amp;A18&amp;" + Line "&amp;A19&amp;" + Line "&amp;A20&amp;""</f>
        <v>Line 9 + Line 10 + Line 11</v>
      </c>
      <c r="J21" s="170">
        <f>SUM(J18:J20)</f>
        <v>-2109215910.4306834</v>
      </c>
      <c r="L21" s="170"/>
      <c r="N21" s="170"/>
    </row>
    <row r="22" spans="1:14" x14ac:dyDescent="0.2">
      <c r="A22" s="164"/>
      <c r="C22" s="169"/>
      <c r="J22" s="170"/>
      <c r="L22" s="170"/>
      <c r="N22" s="170"/>
    </row>
    <row r="23" spans="1:14" x14ac:dyDescent="0.2">
      <c r="A23" s="164">
        <f>A21+1</f>
        <v>13</v>
      </c>
      <c r="C23" s="208" t="s">
        <v>61</v>
      </c>
      <c r="F23" s="201" t="s">
        <v>47</v>
      </c>
      <c r="H23" s="201" t="s">
        <v>494</v>
      </c>
      <c r="J23" s="170">
        <v>-1575979468.9464378</v>
      </c>
      <c r="L23" s="170"/>
      <c r="N23" s="170"/>
    </row>
    <row r="24" spans="1:14" x14ac:dyDescent="0.2">
      <c r="A24" s="164">
        <f>A23+1</f>
        <v>14</v>
      </c>
      <c r="C24" s="201" t="s">
        <v>62</v>
      </c>
      <c r="F24" t="s">
        <v>45</v>
      </c>
      <c r="H24" s="201" t="s">
        <v>489</v>
      </c>
      <c r="J24" s="170">
        <v>792332585.2238462</v>
      </c>
      <c r="L24" s="170"/>
      <c r="N24" s="170"/>
    </row>
    <row r="25" spans="1:14" x14ac:dyDescent="0.2">
      <c r="A25" s="164">
        <f>A24+1</f>
        <v>15</v>
      </c>
      <c r="C25" s="208" t="s">
        <v>63</v>
      </c>
      <c r="F25" t="s">
        <v>47</v>
      </c>
      <c r="G25" t="s">
        <v>57</v>
      </c>
      <c r="H25" s="201" t="s">
        <v>477</v>
      </c>
      <c r="J25" s="170">
        <v>-27970499.5</v>
      </c>
      <c r="L25" s="170"/>
      <c r="N25" s="170"/>
    </row>
    <row r="26" spans="1:14" x14ac:dyDescent="0.2">
      <c r="A26" s="164">
        <f t="shared" ref="A26:A27" si="0">A25+1</f>
        <v>16</v>
      </c>
      <c r="C26" s="201" t="s">
        <v>64</v>
      </c>
      <c r="H26" s="169" t="s">
        <v>478</v>
      </c>
      <c r="J26" s="170">
        <v>-241192828.59585106</v>
      </c>
      <c r="L26" s="170"/>
      <c r="N26" s="170"/>
    </row>
    <row r="27" spans="1:14" x14ac:dyDescent="0.2">
      <c r="A27" s="164">
        <f t="shared" si="0"/>
        <v>17</v>
      </c>
      <c r="C27" s="208" t="s">
        <v>65</v>
      </c>
      <c r="F27" t="s">
        <v>47</v>
      </c>
      <c r="H27" s="201" t="s">
        <v>479</v>
      </c>
      <c r="J27" s="170">
        <v>0</v>
      </c>
      <c r="L27" s="170"/>
      <c r="N27" s="170"/>
    </row>
    <row r="28" spans="1:14" x14ac:dyDescent="0.2">
      <c r="A28" s="164"/>
      <c r="C28" s="208"/>
      <c r="N28" s="170"/>
    </row>
    <row r="29" spans="1:14" x14ac:dyDescent="0.2">
      <c r="A29" s="164">
        <f>A27+1</f>
        <v>18</v>
      </c>
      <c r="C29" t="s">
        <v>66</v>
      </c>
      <c r="H29" t="str">
        <f>"L"&amp;A6&amp;"+L"&amp;A7&amp;"+L"&amp;A8&amp;"+L"&amp;A9&amp;"+L"&amp;A15&amp;"+L"&amp;A21&amp;"+"</f>
        <v>L1+L2+L3+L4+L8+L12+</v>
      </c>
      <c r="J29" s="168">
        <f>J6+ J7+J8+J9+J15+J21+J23+J24+J25+J26+J27</f>
        <v>6728440934.4572592</v>
      </c>
      <c r="L29" s="170"/>
      <c r="N29" s="170"/>
    </row>
    <row r="30" spans="1:14" x14ac:dyDescent="0.2">
      <c r="A30" s="164"/>
      <c r="H30" t="str">
        <f>"L"&amp;A23&amp;"+L"&amp;A24&amp;"+L"&amp;A25&amp;"+L"&amp;A26&amp;"+L"&amp;A27&amp;""</f>
        <v>L13+L14+L15+L16+L17</v>
      </c>
      <c r="J30" s="170"/>
      <c r="L30" s="170"/>
      <c r="N30" s="170"/>
    </row>
    <row r="31" spans="1:14" x14ac:dyDescent="0.2">
      <c r="A31" s="164"/>
      <c r="B31" s="159" t="s">
        <v>67</v>
      </c>
      <c r="J31" s="170"/>
      <c r="L31" s="170"/>
      <c r="N31" s="170"/>
    </row>
    <row r="32" spans="1:14" x14ac:dyDescent="0.2">
      <c r="A32" s="165" t="s">
        <v>39</v>
      </c>
      <c r="C32" s="159"/>
      <c r="J32" s="170"/>
      <c r="L32" s="170"/>
      <c r="N32" s="170"/>
    </row>
    <row r="33" spans="1:14" x14ac:dyDescent="0.2">
      <c r="A33" s="164">
        <f>A29+1</f>
        <v>19</v>
      </c>
      <c r="B33" s="169"/>
      <c r="C33" s="169" t="s">
        <v>68</v>
      </c>
      <c r="D33" s="169"/>
      <c r="E33" s="169"/>
      <c r="F33" s="169"/>
      <c r="G33" s="169" t="s">
        <v>69</v>
      </c>
      <c r="H33" s="169" t="str">
        <f>"Instruction 1, Line "&amp;B98&amp;""</f>
        <v>Instruction 1, Line j</v>
      </c>
      <c r="I33" s="169"/>
      <c r="J33" s="272">
        <f>E98</f>
        <v>7.3064071594754781E-2</v>
      </c>
      <c r="L33" s="209"/>
      <c r="M33" s="179"/>
      <c r="N33" s="170"/>
    </row>
    <row r="34" spans="1:14" x14ac:dyDescent="0.2">
      <c r="A34" s="164">
        <f>A33+1</f>
        <v>20</v>
      </c>
      <c r="C34" s="169" t="s">
        <v>70</v>
      </c>
      <c r="D34" s="169"/>
      <c r="E34" s="169"/>
      <c r="F34" s="169"/>
      <c r="G34" s="169"/>
      <c r="H34" t="str">
        <f>"Line "&amp;A29&amp;" * Line "&amp;A33&amp;""</f>
        <v>Line 18 * Line 19</v>
      </c>
      <c r="J34" s="174">
        <f>J29*J33</f>
        <v>491607290.15626395</v>
      </c>
      <c r="L34" s="187"/>
      <c r="N34" s="170"/>
    </row>
    <row r="35" spans="1:14" x14ac:dyDescent="0.2">
      <c r="A35" s="164"/>
      <c r="B35" s="180"/>
      <c r="N35" s="170"/>
    </row>
    <row r="36" spans="1:14" x14ac:dyDescent="0.2">
      <c r="A36" s="164"/>
      <c r="B36" s="159" t="s">
        <v>71</v>
      </c>
      <c r="N36" s="170"/>
    </row>
    <row r="37" spans="1:14" x14ac:dyDescent="0.2">
      <c r="A37" s="164"/>
      <c r="B37" s="180"/>
      <c r="N37" s="170"/>
    </row>
    <row r="38" spans="1:14" x14ac:dyDescent="0.2">
      <c r="A38" s="164">
        <f>A34+1</f>
        <v>21</v>
      </c>
      <c r="C38" s="169" t="s">
        <v>72</v>
      </c>
      <c r="J38" s="168">
        <f>(((J29*J42) + J45) *(J43/(1-J43)))+(J44/(1-J43))</f>
        <v>115755163.14418642</v>
      </c>
      <c r="L38" s="170"/>
      <c r="N38" s="170"/>
    </row>
    <row r="39" spans="1:14" x14ac:dyDescent="0.2">
      <c r="A39" s="164"/>
      <c r="J39" s="169"/>
      <c r="L39" s="169"/>
      <c r="N39" s="170"/>
    </row>
    <row r="40" spans="1:14" x14ac:dyDescent="0.2">
      <c r="A40" s="164"/>
      <c r="D40" t="s">
        <v>73</v>
      </c>
      <c r="N40" s="170"/>
    </row>
    <row r="41" spans="1:14" x14ac:dyDescent="0.2">
      <c r="A41" s="164">
        <f>A38+1</f>
        <v>22</v>
      </c>
      <c r="D41" s="180" t="s">
        <v>74</v>
      </c>
      <c r="H41" t="str">
        <f>"Line "&amp;A29&amp;""</f>
        <v>Line 18</v>
      </c>
      <c r="J41" s="168">
        <f>J29</f>
        <v>6728440934.4572592</v>
      </c>
      <c r="L41" s="170"/>
      <c r="N41" s="170"/>
    </row>
    <row r="42" spans="1:14" x14ac:dyDescent="0.2">
      <c r="A42" s="164">
        <f>A41+1</f>
        <v>23</v>
      </c>
      <c r="D42" s="176" t="s">
        <v>75</v>
      </c>
      <c r="G42" s="169" t="s">
        <v>76</v>
      </c>
      <c r="H42" s="169" t="str">
        <f>"Instruction 1, Line "&amp;B103&amp;""</f>
        <v>Instruction 1, Line k</v>
      </c>
      <c r="J42" s="272">
        <f>E103</f>
        <v>5.2375668915967455E-2</v>
      </c>
      <c r="L42" s="209"/>
      <c r="M42" s="179"/>
      <c r="N42" s="170"/>
    </row>
    <row r="43" spans="1:14" x14ac:dyDescent="0.2">
      <c r="A43" s="164">
        <f>A42+1</f>
        <v>24</v>
      </c>
      <c r="D43" s="180" t="s">
        <v>77</v>
      </c>
      <c r="H43" t="s">
        <v>457</v>
      </c>
      <c r="J43" s="179">
        <v>0.27983599999999997</v>
      </c>
      <c r="L43" s="179"/>
      <c r="M43" s="179"/>
      <c r="N43" s="170"/>
    </row>
    <row r="44" spans="1:14" x14ac:dyDescent="0.2">
      <c r="A44" s="164">
        <f>A43+1</f>
        <v>25</v>
      </c>
      <c r="D44" s="180" t="s">
        <v>78</v>
      </c>
      <c r="H44" t="s">
        <v>458</v>
      </c>
      <c r="J44" s="170">
        <v>-16481293</v>
      </c>
      <c r="L44" s="170"/>
      <c r="N44" s="170"/>
    </row>
    <row r="45" spans="1:14" x14ac:dyDescent="0.2">
      <c r="A45" s="164">
        <f>A44+1</f>
        <v>26</v>
      </c>
      <c r="D45" s="180" t="s">
        <v>79</v>
      </c>
      <c r="H45" t="s">
        <v>459</v>
      </c>
      <c r="J45" s="187">
        <v>4388079</v>
      </c>
      <c r="L45" s="187"/>
      <c r="N45" s="170"/>
    </row>
    <row r="46" spans="1:14" x14ac:dyDescent="0.2">
      <c r="A46" s="164"/>
      <c r="B46" s="180"/>
      <c r="N46" s="170"/>
    </row>
    <row r="47" spans="1:14" x14ac:dyDescent="0.2">
      <c r="A47" s="164"/>
      <c r="B47" s="159" t="s">
        <v>80</v>
      </c>
      <c r="N47" s="170"/>
    </row>
    <row r="48" spans="1:14" x14ac:dyDescent="0.2">
      <c r="A48" s="164">
        <f>A45+1</f>
        <v>27</v>
      </c>
      <c r="B48" s="180"/>
      <c r="C48" t="s">
        <v>81</v>
      </c>
      <c r="H48" t="s">
        <v>460</v>
      </c>
      <c r="J48" s="170">
        <v>126658024.02530475</v>
      </c>
      <c r="L48" s="170"/>
      <c r="N48" s="170"/>
    </row>
    <row r="49" spans="1:14" x14ac:dyDescent="0.2">
      <c r="A49" s="164">
        <f t="shared" ref="A49:A59" si="1">A48+1</f>
        <v>28</v>
      </c>
      <c r="B49" s="180"/>
      <c r="C49" s="169" t="s">
        <v>82</v>
      </c>
      <c r="H49" t="s">
        <v>461</v>
      </c>
      <c r="J49" s="168">
        <v>177353569.43732461</v>
      </c>
      <c r="L49" s="170"/>
      <c r="N49" s="170"/>
    </row>
    <row r="50" spans="1:14" x14ac:dyDescent="0.2">
      <c r="A50" s="164">
        <f>A49+1</f>
        <v>29</v>
      </c>
      <c r="B50" s="180"/>
      <c r="C50" t="s">
        <v>83</v>
      </c>
      <c r="H50" t="s">
        <v>462</v>
      </c>
      <c r="J50" s="170">
        <v>2371003</v>
      </c>
      <c r="L50" s="170"/>
      <c r="N50" s="170"/>
    </row>
    <row r="51" spans="1:14" x14ac:dyDescent="0.2">
      <c r="A51" s="164">
        <f t="shared" si="1"/>
        <v>30</v>
      </c>
      <c r="B51" s="180"/>
      <c r="C51" s="169" t="s">
        <v>84</v>
      </c>
      <c r="H51" t="s">
        <v>463</v>
      </c>
      <c r="J51" s="170">
        <v>274400278.25405085</v>
      </c>
      <c r="L51" s="170"/>
      <c r="N51" s="170"/>
    </row>
    <row r="52" spans="1:14" x14ac:dyDescent="0.2">
      <c r="A52" s="164">
        <f t="shared" si="1"/>
        <v>31</v>
      </c>
      <c r="B52" s="180"/>
      <c r="C52" s="169" t="s">
        <v>85</v>
      </c>
      <c r="H52" t="s">
        <v>464</v>
      </c>
      <c r="J52" s="170">
        <v>0</v>
      </c>
      <c r="L52" s="170"/>
      <c r="N52" s="170"/>
    </row>
    <row r="53" spans="1:14" x14ac:dyDescent="0.2">
      <c r="A53" s="164">
        <f t="shared" si="1"/>
        <v>32</v>
      </c>
      <c r="B53" s="180"/>
      <c r="C53" s="169" t="s">
        <v>86</v>
      </c>
      <c r="H53" t="s">
        <v>465</v>
      </c>
      <c r="J53" s="170">
        <v>71871386.440174356</v>
      </c>
      <c r="L53" s="170"/>
      <c r="N53" s="170"/>
    </row>
    <row r="54" spans="1:14" x14ac:dyDescent="0.2">
      <c r="A54" s="164">
        <f t="shared" si="1"/>
        <v>33</v>
      </c>
      <c r="B54" s="180"/>
      <c r="C54" t="s">
        <v>87</v>
      </c>
      <c r="G54" s="169"/>
      <c r="H54" t="s">
        <v>466</v>
      </c>
      <c r="J54" s="168">
        <v>-48068461.467533454</v>
      </c>
      <c r="L54" s="170"/>
      <c r="N54" s="170"/>
    </row>
    <row r="55" spans="1:14" x14ac:dyDescent="0.2">
      <c r="A55" s="164">
        <f t="shared" si="1"/>
        <v>34</v>
      </c>
      <c r="B55" s="180"/>
      <c r="C55" t="s">
        <v>88</v>
      </c>
      <c r="H55" t="str">
        <f>"Line "&amp;A34&amp;""</f>
        <v>Line 20</v>
      </c>
      <c r="J55" s="168">
        <f>J34</f>
        <v>491607290.15626395</v>
      </c>
      <c r="L55" s="170"/>
      <c r="N55" s="170"/>
    </row>
    <row r="56" spans="1:14" x14ac:dyDescent="0.2">
      <c r="A56" s="164">
        <f t="shared" si="1"/>
        <v>35</v>
      </c>
      <c r="B56" s="180"/>
      <c r="C56" t="s">
        <v>89</v>
      </c>
      <c r="H56" t="str">
        <f>"Line "&amp;A38&amp;""</f>
        <v>Line 21</v>
      </c>
      <c r="J56" s="174">
        <f>J38</f>
        <v>115755163.14418642</v>
      </c>
      <c r="L56" s="187"/>
      <c r="N56" s="170"/>
    </row>
    <row r="57" spans="1:14" x14ac:dyDescent="0.2">
      <c r="A57" s="164">
        <f t="shared" si="1"/>
        <v>36</v>
      </c>
      <c r="B57" s="180"/>
      <c r="C57" s="169" t="s">
        <v>90</v>
      </c>
      <c r="H57" t="s">
        <v>467</v>
      </c>
      <c r="J57" s="187">
        <v>0</v>
      </c>
      <c r="L57" s="187"/>
      <c r="N57" s="170"/>
    </row>
    <row r="58" spans="1:14" x14ac:dyDescent="0.2">
      <c r="A58" s="164">
        <f t="shared" si="1"/>
        <v>37</v>
      </c>
      <c r="B58" s="180"/>
      <c r="C58" s="48" t="s">
        <v>91</v>
      </c>
      <c r="D58" s="48"/>
      <c r="H58" t="s">
        <v>468</v>
      </c>
      <c r="J58" s="177">
        <v>0</v>
      </c>
      <c r="L58" s="177"/>
      <c r="N58" s="177"/>
    </row>
    <row r="59" spans="1:14" x14ac:dyDescent="0.2">
      <c r="A59" s="164">
        <f t="shared" si="1"/>
        <v>38</v>
      </c>
      <c r="B59" s="180"/>
      <c r="C59" s="169" t="s">
        <v>92</v>
      </c>
      <c r="H59" t="str">
        <f>"Sum Line "&amp;A48&amp;" to Line "&amp;A58&amp;""</f>
        <v>Sum Line 27 to Line 37</v>
      </c>
      <c r="J59" s="168">
        <f>SUM(J48:J58)</f>
        <v>1211948252.9897716</v>
      </c>
      <c r="L59" s="170"/>
      <c r="N59" s="170"/>
    </row>
    <row r="60" spans="1:14" x14ac:dyDescent="0.2">
      <c r="A60" s="164"/>
      <c r="B60" s="180"/>
      <c r="J60" s="170"/>
      <c r="L60" s="170"/>
      <c r="N60" s="170"/>
    </row>
    <row r="61" spans="1:14" ht="12.75" customHeight="1" x14ac:dyDescent="0.2">
      <c r="A61" s="164">
        <f>A59+1</f>
        <v>39</v>
      </c>
      <c r="B61" s="180"/>
      <c r="C61" s="169" t="s">
        <v>93</v>
      </c>
      <c r="H61" t="s">
        <v>480</v>
      </c>
      <c r="J61" s="170">
        <v>25971819.935195774</v>
      </c>
      <c r="L61" s="170"/>
      <c r="N61" s="170"/>
    </row>
    <row r="62" spans="1:14" ht="12.75" customHeight="1" x14ac:dyDescent="0.2">
      <c r="A62" s="164" t="s">
        <v>148</v>
      </c>
      <c r="B62" s="180"/>
      <c r="C62" s="169" t="s">
        <v>149</v>
      </c>
      <c r="H62" s="169" t="s">
        <v>150</v>
      </c>
      <c r="J62" s="170">
        <f>-J61</f>
        <v>-25971819.935195774</v>
      </c>
      <c r="L62" s="170"/>
      <c r="N62" s="170"/>
    </row>
    <row r="63" spans="1:14" x14ac:dyDescent="0.2">
      <c r="A63" s="164"/>
      <c r="B63" s="180"/>
      <c r="C63" s="169"/>
      <c r="J63" s="170"/>
      <c r="L63" s="170"/>
      <c r="N63" s="170"/>
    </row>
    <row r="64" spans="1:14" x14ac:dyDescent="0.2">
      <c r="A64" s="164">
        <f>A61+1</f>
        <v>40</v>
      </c>
      <c r="B64" s="180"/>
      <c r="C64" s="169" t="s">
        <v>94</v>
      </c>
      <c r="H64" t="str">
        <f>"Sum of Lines "&amp;A59&amp;" to "&amp;A62&amp;""</f>
        <v>Sum of Lines 38 to 39a</v>
      </c>
      <c r="J64" s="168">
        <f>J59+J61+J62</f>
        <v>1211948252.9897716</v>
      </c>
      <c r="L64" s="170"/>
      <c r="N64" s="170"/>
    </row>
    <row r="65" spans="1:18" x14ac:dyDescent="0.2">
      <c r="A65" s="164"/>
      <c r="B65" s="180"/>
      <c r="C65" s="169"/>
      <c r="J65" s="170"/>
    </row>
    <row r="66" spans="1:18" x14ac:dyDescent="0.2">
      <c r="A66" s="164"/>
      <c r="B66" s="204" t="s">
        <v>95</v>
      </c>
      <c r="C66" s="169"/>
      <c r="J66" s="170"/>
      <c r="N66" s="164"/>
      <c r="P66" s="157"/>
    </row>
    <row r="67" spans="1:18" ht="13.5" thickBot="1" x14ac:dyDescent="0.25">
      <c r="A67" s="165" t="s">
        <v>39</v>
      </c>
      <c r="B67" s="208"/>
      <c r="G67" s="188" t="s">
        <v>96</v>
      </c>
      <c r="N67" s="166"/>
    </row>
    <row r="68" spans="1:18" x14ac:dyDescent="0.2">
      <c r="A68" s="164">
        <f>A64+1</f>
        <v>41</v>
      </c>
      <c r="B68" s="208"/>
      <c r="D68" s="175" t="s">
        <v>97</v>
      </c>
      <c r="E68" s="168">
        <f>J64</f>
        <v>1211948252.9897716</v>
      </c>
      <c r="G68" t="str">
        <f>"Line "&amp;A64&amp;""</f>
        <v>Line 40</v>
      </c>
      <c r="J68" s="50" t="s">
        <v>98</v>
      </c>
      <c r="N68" s="170"/>
    </row>
    <row r="69" spans="1:18" x14ac:dyDescent="0.2">
      <c r="A69" s="164">
        <f>A68+1</f>
        <v>42</v>
      </c>
      <c r="B69" s="208"/>
      <c r="D69" s="175" t="s">
        <v>99</v>
      </c>
      <c r="E69" s="210">
        <v>9.2480778683301876E-3</v>
      </c>
      <c r="G69" t="s">
        <v>481</v>
      </c>
      <c r="J69" s="52" t="s">
        <v>303</v>
      </c>
      <c r="N69" s="179"/>
    </row>
    <row r="70" spans="1:18" x14ac:dyDescent="0.2">
      <c r="A70" s="164">
        <f>A69+1</f>
        <v>43</v>
      </c>
      <c r="B70" s="208"/>
      <c r="D70" s="173" t="s">
        <v>100</v>
      </c>
      <c r="E70" s="168">
        <f>E68*E69</f>
        <v>11208191.816036142</v>
      </c>
      <c r="G70" t="str">
        <f>"Line "&amp;A68&amp;" * Line "&amp;A69&amp;""</f>
        <v>Line 41 * Line 42</v>
      </c>
      <c r="J70" s="53">
        <f>E73</f>
        <v>1236945444.8058078</v>
      </c>
      <c r="N70" s="170"/>
    </row>
    <row r="71" spans="1:18" ht="27" customHeight="1" x14ac:dyDescent="0.2">
      <c r="A71" s="164">
        <f>A70+1</f>
        <v>44</v>
      </c>
      <c r="B71" s="208"/>
      <c r="D71" s="175" t="s">
        <v>101</v>
      </c>
      <c r="E71" s="273">
        <v>1.1377548476994567E-2</v>
      </c>
      <c r="G71" t="s">
        <v>481</v>
      </c>
      <c r="J71" s="54">
        <v>1237122830.6833048</v>
      </c>
      <c r="K71" s="367" t="s">
        <v>407</v>
      </c>
      <c r="L71" s="368"/>
      <c r="M71" s="368"/>
      <c r="N71" s="179"/>
    </row>
    <row r="72" spans="1:18" ht="13.5" thickBot="1" x14ac:dyDescent="0.25">
      <c r="A72" s="164">
        <f>A71+1</f>
        <v>45</v>
      </c>
      <c r="B72" s="208"/>
      <c r="D72" s="175" t="s">
        <v>102</v>
      </c>
      <c r="E72" s="170">
        <f>E68*E71</f>
        <v>13789000.000000002</v>
      </c>
      <c r="G72" t="str">
        <f>"Line "&amp;A68&amp;" * Line "&amp;A71&amp;""</f>
        <v>Line 41 * Line 44</v>
      </c>
      <c r="J72" s="55">
        <f>J70-J71</f>
        <v>-177385.87749695778</v>
      </c>
      <c r="N72" s="170"/>
    </row>
    <row r="73" spans="1:18" x14ac:dyDescent="0.2">
      <c r="A73" s="164">
        <f>A72+1</f>
        <v>46</v>
      </c>
      <c r="B73" s="208"/>
      <c r="D73" s="175" t="s">
        <v>103</v>
      </c>
      <c r="E73" s="168">
        <f>E68+E70+E72</f>
        <v>1236945444.8058078</v>
      </c>
      <c r="G73" t="str">
        <f>"L "&amp;A68&amp;" + L "&amp;A70&amp;" + L "&amp;A72&amp;""</f>
        <v>L 41 + L 43 + L 45</v>
      </c>
      <c r="L73" s="170"/>
      <c r="N73" s="170"/>
    </row>
    <row r="74" spans="1:18" x14ac:dyDescent="0.2">
      <c r="B74" s="204" t="s">
        <v>104</v>
      </c>
      <c r="D74" s="173"/>
      <c r="E74" s="170"/>
      <c r="H74" s="56"/>
      <c r="L74" s="158"/>
      <c r="M74" s="169"/>
    </row>
    <row r="75" spans="1:18" x14ac:dyDescent="0.2">
      <c r="A75" s="164"/>
      <c r="B75" s="169" t="s">
        <v>145</v>
      </c>
      <c r="C75" s="204"/>
      <c r="D75" s="173"/>
      <c r="E75" s="170"/>
      <c r="L75" s="87" t="s">
        <v>408</v>
      </c>
      <c r="M75" s="158">
        <v>-31452.708923339844</v>
      </c>
    </row>
    <row r="76" spans="1:18" x14ac:dyDescent="0.2">
      <c r="A76" s="164"/>
      <c r="B76" s="169" t="s">
        <v>146</v>
      </c>
      <c r="C76" s="204"/>
      <c r="D76" s="173"/>
      <c r="E76" s="170"/>
      <c r="L76" s="87" t="s">
        <v>508</v>
      </c>
      <c r="M76" s="158">
        <v>-147932.6433596611</v>
      </c>
      <c r="N76" s="169"/>
      <c r="O76" s="169"/>
      <c r="P76" s="169"/>
      <c r="Q76" s="169"/>
      <c r="R76" s="169"/>
    </row>
    <row r="77" spans="1:18" x14ac:dyDescent="0.2">
      <c r="A77" s="164"/>
      <c r="B77" s="201" t="s">
        <v>105</v>
      </c>
      <c r="C77" s="169"/>
      <c r="D77" s="173"/>
      <c r="E77" s="170"/>
      <c r="L77" s="116" t="s">
        <v>409</v>
      </c>
      <c r="M77" s="274">
        <v>1999.4747860431701</v>
      </c>
    </row>
    <row r="78" spans="1:18" x14ac:dyDescent="0.2">
      <c r="A78" s="164"/>
      <c r="B78" s="201" t="s">
        <v>106</v>
      </c>
      <c r="D78" s="173"/>
      <c r="E78" s="170"/>
      <c r="L78" s="275" t="s">
        <v>169</v>
      </c>
      <c r="M78" s="158">
        <f>SUM(M75:M77)</f>
        <v>-177385.87749695778</v>
      </c>
    </row>
    <row r="79" spans="1:18" x14ac:dyDescent="0.2">
      <c r="A79" s="164"/>
      <c r="L79" s="87"/>
      <c r="M79" s="245"/>
      <c r="O79" s="206"/>
    </row>
    <row r="80" spans="1:18" x14ac:dyDescent="0.2">
      <c r="A80" s="164"/>
      <c r="B80" s="169" t="s">
        <v>107</v>
      </c>
      <c r="L80" s="88"/>
      <c r="M80" s="158"/>
      <c r="N80" s="206"/>
    </row>
    <row r="81" spans="1:13" x14ac:dyDescent="0.2">
      <c r="A81" s="164"/>
      <c r="B81" s="169"/>
      <c r="C81" s="169" t="s">
        <v>108</v>
      </c>
      <c r="L81" s="177"/>
      <c r="M81" s="169"/>
    </row>
    <row r="82" spans="1:13" x14ac:dyDescent="0.2">
      <c r="A82" s="164"/>
      <c r="B82" s="169"/>
      <c r="J82" s="164" t="s">
        <v>109</v>
      </c>
      <c r="L82" s="170"/>
    </row>
    <row r="83" spans="1:13" x14ac:dyDescent="0.2">
      <c r="A83" s="164"/>
      <c r="E83" s="166" t="s">
        <v>110</v>
      </c>
      <c r="F83" s="188" t="s">
        <v>96</v>
      </c>
      <c r="G83" s="166" t="s">
        <v>111</v>
      </c>
      <c r="H83" s="166" t="s">
        <v>112</v>
      </c>
      <c r="J83" s="166" t="s">
        <v>113</v>
      </c>
    </row>
    <row r="84" spans="1:13" x14ac:dyDescent="0.2">
      <c r="B84" s="198" t="s">
        <v>114</v>
      </c>
      <c r="C84" s="169" t="s">
        <v>115</v>
      </c>
      <c r="E84" s="211">
        <v>0.10299999999999999</v>
      </c>
      <c r="F84" s="169" t="s">
        <v>118</v>
      </c>
      <c r="G84" s="212">
        <v>43831</v>
      </c>
      <c r="H84" s="212">
        <v>44196</v>
      </c>
      <c r="I84" s="169"/>
      <c r="J84" s="202">
        <v>365</v>
      </c>
      <c r="K84" s="169"/>
    </row>
    <row r="85" spans="1:13" x14ac:dyDescent="0.2">
      <c r="B85" s="198" t="s">
        <v>116</v>
      </c>
      <c r="C85" s="169" t="s">
        <v>117</v>
      </c>
      <c r="E85" s="211"/>
      <c r="F85" s="169" t="s">
        <v>147</v>
      </c>
      <c r="G85" s="212"/>
      <c r="H85" s="212"/>
      <c r="I85" s="169"/>
      <c r="J85" s="202"/>
      <c r="K85" s="169"/>
    </row>
    <row r="86" spans="1:13" x14ac:dyDescent="0.2">
      <c r="B86" s="198" t="s">
        <v>119</v>
      </c>
      <c r="C86" s="169"/>
      <c r="E86" s="213"/>
      <c r="F86" s="169"/>
      <c r="G86" s="200"/>
      <c r="H86" s="200"/>
      <c r="I86" s="175" t="s">
        <v>120</v>
      </c>
      <c r="J86" s="199">
        <f>SUM(J84:J85)</f>
        <v>365</v>
      </c>
      <c r="K86" s="169"/>
    </row>
    <row r="87" spans="1:13" x14ac:dyDescent="0.2">
      <c r="B87" s="198" t="s">
        <v>121</v>
      </c>
      <c r="C87" s="169" t="s">
        <v>122</v>
      </c>
      <c r="E87" s="214">
        <f>((E84*J84) + (E85* J85)) / J86</f>
        <v>0.10299999999999999</v>
      </c>
      <c r="F87" s="169" t="s">
        <v>123</v>
      </c>
      <c r="H87" s="169"/>
      <c r="I87" s="169"/>
      <c r="J87" s="169"/>
      <c r="K87" s="169"/>
    </row>
    <row r="88" spans="1:13" x14ac:dyDescent="0.2">
      <c r="A88" s="164"/>
      <c r="B88" s="169"/>
      <c r="H88" s="169"/>
      <c r="I88" s="169"/>
      <c r="J88" s="169"/>
      <c r="K88" s="169"/>
    </row>
    <row r="89" spans="1:13" x14ac:dyDescent="0.2">
      <c r="A89" s="164"/>
      <c r="B89" s="169" t="s">
        <v>124</v>
      </c>
      <c r="H89" s="169"/>
      <c r="I89" s="169"/>
      <c r="J89" s="169"/>
      <c r="K89" s="169"/>
      <c r="L89" s="169"/>
    </row>
    <row r="90" spans="1:13" x14ac:dyDescent="0.2">
      <c r="A90" s="164"/>
      <c r="B90" s="169"/>
      <c r="E90" s="188" t="s">
        <v>96</v>
      </c>
      <c r="H90" s="169"/>
      <c r="I90" s="169"/>
      <c r="J90" s="169"/>
      <c r="K90" s="169"/>
      <c r="L90" s="169"/>
    </row>
    <row r="91" spans="1:13" x14ac:dyDescent="0.2">
      <c r="B91" s="198" t="s">
        <v>125</v>
      </c>
      <c r="C91" s="169" t="s">
        <v>126</v>
      </c>
      <c r="E91" s="215" t="s">
        <v>166</v>
      </c>
      <c r="F91" s="161"/>
      <c r="G91" s="161"/>
      <c r="H91" s="181"/>
      <c r="I91" s="181"/>
      <c r="J91" s="181"/>
      <c r="K91" s="169"/>
      <c r="L91" s="169"/>
    </row>
    <row r="92" spans="1:13" x14ac:dyDescent="0.2">
      <c r="B92" s="198" t="s">
        <v>127</v>
      </c>
      <c r="C92" s="169" t="s">
        <v>128</v>
      </c>
      <c r="E92" s="215" t="s">
        <v>167</v>
      </c>
      <c r="F92" s="161"/>
      <c r="G92" s="161"/>
      <c r="H92" s="181"/>
      <c r="I92" s="181"/>
      <c r="J92" s="181"/>
      <c r="K92" s="169"/>
      <c r="L92" s="169"/>
    </row>
    <row r="93" spans="1:13" x14ac:dyDescent="0.2">
      <c r="C93" s="169"/>
      <c r="E93" s="200"/>
      <c r="I93" s="169"/>
      <c r="J93" s="169"/>
      <c r="K93" s="169"/>
      <c r="L93" s="169"/>
    </row>
    <row r="94" spans="1:13" x14ac:dyDescent="0.2">
      <c r="E94" s="166" t="s">
        <v>110</v>
      </c>
      <c r="F94" s="188" t="s">
        <v>96</v>
      </c>
      <c r="H94" s="169"/>
      <c r="I94" s="169"/>
      <c r="L94" s="169"/>
    </row>
    <row r="95" spans="1:13" x14ac:dyDescent="0.2">
      <c r="B95" s="198" t="s">
        <v>129</v>
      </c>
      <c r="C95" s="169" t="s">
        <v>130</v>
      </c>
      <c r="D95" s="169"/>
      <c r="E95" s="216">
        <v>2.0688402678787333E-2</v>
      </c>
      <c r="F95" t="s">
        <v>469</v>
      </c>
      <c r="H95" s="169"/>
      <c r="I95" s="169"/>
      <c r="L95" s="169"/>
    </row>
    <row r="96" spans="1:13" x14ac:dyDescent="0.2">
      <c r="B96" s="198" t="s">
        <v>131</v>
      </c>
      <c r="C96" s="169" t="s">
        <v>132</v>
      </c>
      <c r="E96" s="216">
        <v>3.4506689159674551E-3</v>
      </c>
      <c r="F96" t="s">
        <v>470</v>
      </c>
      <c r="H96" s="169"/>
      <c r="I96" s="169"/>
      <c r="L96" s="169"/>
    </row>
    <row r="97" spans="1:12" x14ac:dyDescent="0.2">
      <c r="B97" s="198" t="s">
        <v>133</v>
      </c>
      <c r="C97" s="169" t="s">
        <v>134</v>
      </c>
      <c r="E97" s="217">
        <v>4.8924999999999996E-2</v>
      </c>
      <c r="F97" t="s">
        <v>471</v>
      </c>
      <c r="G97" s="169"/>
      <c r="H97" s="169"/>
      <c r="L97" s="169"/>
    </row>
    <row r="98" spans="1:12" x14ac:dyDescent="0.2">
      <c r="B98" s="164" t="s">
        <v>135</v>
      </c>
      <c r="C98" s="176" t="s">
        <v>68</v>
      </c>
      <c r="E98" s="218">
        <f>SUM(E95:E97)</f>
        <v>7.3064071594754781E-2</v>
      </c>
      <c r="F98" s="170" t="str">
        <f>"Sum of Lines "&amp;B95&amp;" to "&amp;B97&amp;""</f>
        <v>Sum of Lines g to i</v>
      </c>
      <c r="G98" s="199"/>
      <c r="J98" s="219"/>
      <c r="L98" s="169"/>
    </row>
    <row r="99" spans="1:12" x14ac:dyDescent="0.2">
      <c r="A99" s="164"/>
      <c r="C99" s="65"/>
      <c r="D99" s="66"/>
      <c r="E99" s="170"/>
      <c r="F99" s="170"/>
      <c r="G99" s="199"/>
      <c r="H99" s="170"/>
      <c r="J99" s="219"/>
    </row>
    <row r="100" spans="1:12" x14ac:dyDescent="0.2">
      <c r="A100" s="164"/>
      <c r="B100" s="169" t="s">
        <v>136</v>
      </c>
    </row>
    <row r="101" spans="1:12" x14ac:dyDescent="0.2">
      <c r="A101" s="164"/>
    </row>
    <row r="102" spans="1:12" x14ac:dyDescent="0.2">
      <c r="A102" s="164"/>
      <c r="E102" s="166" t="s">
        <v>110</v>
      </c>
      <c r="F102" s="188" t="s">
        <v>96</v>
      </c>
    </row>
    <row r="103" spans="1:12" x14ac:dyDescent="0.2">
      <c r="B103" s="198" t="s">
        <v>137</v>
      </c>
      <c r="E103" s="216">
        <f>E96+E97</f>
        <v>5.2375668915967455E-2</v>
      </c>
      <c r="F103" s="170" t="str">
        <f>"Sum of Lines "&amp;B96&amp;" to "&amp;B97&amp;""</f>
        <v>Sum of Lines h to i</v>
      </c>
    </row>
    <row r="104" spans="1:12" x14ac:dyDescent="0.2">
      <c r="A104" s="164"/>
      <c r="E104" s="179"/>
      <c r="F104" s="170"/>
    </row>
    <row r="105" spans="1:12" x14ac:dyDescent="0.2">
      <c r="A105" s="164"/>
      <c r="B105" s="165" t="s">
        <v>152</v>
      </c>
      <c r="E105" s="199"/>
      <c r="F105" s="199"/>
      <c r="G105" s="199"/>
      <c r="H105" s="170"/>
    </row>
    <row r="106" spans="1:12" x14ac:dyDescent="0.2">
      <c r="A106" s="164"/>
      <c r="B106" s="169" t="s">
        <v>153</v>
      </c>
    </row>
    <row r="107" spans="1:12" x14ac:dyDescent="0.2">
      <c r="A107" s="164"/>
      <c r="B107" s="176" t="s">
        <v>168</v>
      </c>
      <c r="D107" s="164"/>
      <c r="E107" s="164"/>
      <c r="F107" s="164"/>
      <c r="G107" s="164"/>
      <c r="H107" s="164"/>
    </row>
    <row r="108" spans="1:12" x14ac:dyDescent="0.2">
      <c r="A108" s="164"/>
      <c r="B108" s="201"/>
      <c r="D108" s="164"/>
      <c r="E108" s="164"/>
      <c r="F108" s="164"/>
      <c r="G108" s="164"/>
      <c r="H108" s="164"/>
    </row>
    <row r="109" spans="1:12" x14ac:dyDescent="0.2">
      <c r="A109" s="164"/>
      <c r="C109" s="67"/>
      <c r="D109" s="67"/>
      <c r="E109" s="166"/>
      <c r="F109" s="166"/>
      <c r="G109" s="166"/>
      <c r="H109" s="166"/>
    </row>
    <row r="110" spans="1:12" x14ac:dyDescent="0.2">
      <c r="A110" s="164"/>
    </row>
    <row r="111" spans="1:12" x14ac:dyDescent="0.2">
      <c r="A111" s="164"/>
    </row>
    <row r="112" spans="1:12" x14ac:dyDescent="0.2">
      <c r="A112" s="164"/>
    </row>
    <row r="113" spans="1:10" x14ac:dyDescent="0.2">
      <c r="A113" s="164"/>
      <c r="C113" s="65"/>
      <c r="E113" s="170"/>
      <c r="F113" s="170"/>
      <c r="H113" s="170"/>
      <c r="J113" s="219"/>
    </row>
    <row r="114" spans="1:10" x14ac:dyDescent="0.2">
      <c r="A114" s="164"/>
      <c r="C114" s="65"/>
      <c r="E114" s="170"/>
      <c r="F114" s="170"/>
      <c r="H114" s="170"/>
      <c r="J114" s="219"/>
    </row>
    <row r="115" spans="1:10" x14ac:dyDescent="0.2">
      <c r="A115" s="165"/>
      <c r="C115" s="65"/>
      <c r="E115" s="170"/>
      <c r="F115" s="170"/>
      <c r="H115" s="170"/>
      <c r="J115" s="219"/>
    </row>
    <row r="116" spans="1:10" x14ac:dyDescent="0.2">
      <c r="A116" s="164"/>
      <c r="D116" s="68"/>
      <c r="E116" s="170"/>
      <c r="F116" s="170"/>
      <c r="G116" s="169"/>
      <c r="H116" s="170"/>
      <c r="J116" s="219"/>
    </row>
    <row r="117" spans="1:10" x14ac:dyDescent="0.2">
      <c r="A117" s="164"/>
      <c r="C117" s="65"/>
      <c r="D117" s="175"/>
      <c r="E117" s="177"/>
      <c r="F117" s="170"/>
      <c r="G117" s="169"/>
      <c r="H117" s="170"/>
      <c r="J117" s="219"/>
    </row>
    <row r="118" spans="1:10" x14ac:dyDescent="0.2">
      <c r="A118" s="164"/>
      <c r="C118" s="65"/>
      <c r="D118" s="175"/>
      <c r="E118" s="170"/>
      <c r="F118" s="170"/>
      <c r="G118" s="169"/>
      <c r="H118" s="170"/>
      <c r="J118" s="219"/>
    </row>
    <row r="119" spans="1:10" x14ac:dyDescent="0.2">
      <c r="A119" s="164"/>
    </row>
    <row r="120" spans="1:10" x14ac:dyDescent="0.2">
      <c r="A120" s="164"/>
      <c r="B120" s="159"/>
    </row>
    <row r="121" spans="1:10" x14ac:dyDescent="0.2">
      <c r="A121" s="164"/>
    </row>
    <row r="122" spans="1:10" x14ac:dyDescent="0.2">
      <c r="A122" s="164"/>
    </row>
    <row r="123" spans="1:10" x14ac:dyDescent="0.2">
      <c r="A123" s="164"/>
      <c r="F123" s="164"/>
    </row>
    <row r="124" spans="1:10" x14ac:dyDescent="0.2">
      <c r="A124" s="164"/>
      <c r="F124" s="164"/>
    </row>
    <row r="125" spans="1:10" x14ac:dyDescent="0.2">
      <c r="A125" s="164"/>
      <c r="D125" s="164"/>
      <c r="E125" s="164"/>
      <c r="F125" s="164"/>
      <c r="H125" s="164"/>
    </row>
    <row r="126" spans="1:10" x14ac:dyDescent="0.2">
      <c r="A126" s="164"/>
      <c r="D126" s="164"/>
      <c r="E126" s="164"/>
      <c r="F126" s="164"/>
      <c r="G126" s="164"/>
      <c r="H126" s="198"/>
    </row>
    <row r="127" spans="1:10" x14ac:dyDescent="0.2">
      <c r="A127" s="165"/>
      <c r="C127" s="67"/>
      <c r="D127" s="67"/>
      <c r="E127" s="166"/>
      <c r="F127" s="163"/>
      <c r="G127" s="166"/>
      <c r="H127" s="198"/>
    </row>
    <row r="128" spans="1:10" x14ac:dyDescent="0.2">
      <c r="A128" s="164"/>
      <c r="C128" s="65"/>
      <c r="D128" s="66"/>
      <c r="E128" s="170"/>
      <c r="F128" s="170"/>
      <c r="G128" s="214"/>
      <c r="H128" s="170"/>
    </row>
    <row r="129" spans="1:8" x14ac:dyDescent="0.2">
      <c r="A129" s="164"/>
      <c r="C129" s="65"/>
      <c r="D129" s="66"/>
      <c r="E129" s="170"/>
      <c r="F129" s="170"/>
      <c r="G129" s="214"/>
      <c r="H129" s="170"/>
    </row>
    <row r="130" spans="1:8" x14ac:dyDescent="0.2">
      <c r="A130" s="164"/>
      <c r="C130" s="65"/>
      <c r="D130" s="66"/>
      <c r="E130" s="170"/>
      <c r="F130" s="170"/>
      <c r="G130" s="214"/>
      <c r="H130" s="170"/>
    </row>
    <row r="131" spans="1:8" x14ac:dyDescent="0.2">
      <c r="A131" s="164"/>
      <c r="C131" s="65"/>
      <c r="D131" s="66"/>
      <c r="E131" s="170"/>
      <c r="F131" s="170"/>
      <c r="G131" s="214"/>
      <c r="H131" s="170"/>
    </row>
    <row r="132" spans="1:8" x14ac:dyDescent="0.2">
      <c r="A132" s="164"/>
      <c r="C132" s="65"/>
      <c r="D132" s="66"/>
      <c r="E132" s="170"/>
      <c r="F132" s="170"/>
      <c r="G132" s="214"/>
      <c r="H132" s="170"/>
    </row>
    <row r="133" spans="1:8" x14ac:dyDescent="0.2">
      <c r="A133" s="164"/>
      <c r="C133" s="65"/>
      <c r="D133" s="66"/>
      <c r="E133" s="170"/>
      <c r="F133" s="170"/>
      <c r="G133" s="214"/>
      <c r="H133" s="170"/>
    </row>
    <row r="134" spans="1:8" x14ac:dyDescent="0.2">
      <c r="A134" s="164"/>
      <c r="C134" s="65"/>
      <c r="D134" s="66"/>
      <c r="E134" s="170"/>
      <c r="F134" s="170"/>
      <c r="G134" s="214"/>
      <c r="H134" s="170"/>
    </row>
    <row r="135" spans="1:8" x14ac:dyDescent="0.2">
      <c r="A135" s="164"/>
      <c r="C135" s="65"/>
      <c r="D135" s="66"/>
      <c r="E135" s="170"/>
      <c r="F135" s="170"/>
      <c r="G135" s="214"/>
      <c r="H135" s="170"/>
    </row>
    <row r="136" spans="1:8" x14ac:dyDescent="0.2">
      <c r="A136" s="164"/>
      <c r="C136" s="65"/>
      <c r="D136" s="66"/>
      <c r="E136" s="170"/>
      <c r="F136" s="170"/>
      <c r="G136" s="214"/>
      <c r="H136" s="170"/>
    </row>
    <row r="137" spans="1:8" x14ac:dyDescent="0.2">
      <c r="A137" s="164"/>
      <c r="C137" s="65"/>
      <c r="D137" s="66"/>
      <c r="E137" s="170"/>
      <c r="F137" s="170"/>
      <c r="G137" s="214"/>
      <c r="H137" s="170"/>
    </row>
    <row r="138" spans="1:8" x14ac:dyDescent="0.2">
      <c r="A138" s="164"/>
      <c r="C138" s="65"/>
      <c r="D138" s="66"/>
      <c r="E138" s="170"/>
      <c r="F138" s="170"/>
      <c r="G138" s="214"/>
      <c r="H138" s="170"/>
    </row>
    <row r="139" spans="1:8" x14ac:dyDescent="0.2">
      <c r="A139" s="164"/>
      <c r="C139" s="65"/>
      <c r="D139" s="66"/>
      <c r="E139" s="170"/>
      <c r="F139" s="170"/>
      <c r="G139" s="214"/>
      <c r="H139" s="177"/>
    </row>
    <row r="140" spans="1:8" x14ac:dyDescent="0.2">
      <c r="A140" s="164"/>
      <c r="H140" s="170"/>
    </row>
    <row r="141" spans="1:8" x14ac:dyDescent="0.2">
      <c r="A141" s="164"/>
      <c r="C141" s="65"/>
      <c r="D141" s="66"/>
      <c r="F141" s="220"/>
      <c r="G141" s="214"/>
      <c r="H141" s="220"/>
    </row>
    <row r="142" spans="1:8" x14ac:dyDescent="0.2">
      <c r="A142" s="164"/>
      <c r="B142" s="159"/>
      <c r="C142" s="65"/>
      <c r="D142" s="66"/>
      <c r="F142" s="220"/>
      <c r="G142" s="214"/>
      <c r="H142" s="220"/>
    </row>
    <row r="143" spans="1:8" x14ac:dyDescent="0.2">
      <c r="A143" s="165"/>
      <c r="B143" s="159"/>
      <c r="C143" s="65"/>
      <c r="D143" s="66"/>
      <c r="F143" s="220"/>
      <c r="G143" s="214"/>
      <c r="H143" s="220"/>
    </row>
    <row r="144" spans="1:8" x14ac:dyDescent="0.2">
      <c r="A144" s="164"/>
      <c r="C144" s="65"/>
      <c r="D144" s="71"/>
      <c r="E144" s="170"/>
      <c r="F144" s="221"/>
      <c r="G144" s="214"/>
      <c r="H144" s="220"/>
    </row>
    <row r="145" spans="1:8" x14ac:dyDescent="0.2">
      <c r="A145" s="164"/>
      <c r="C145" s="65"/>
      <c r="D145" s="173"/>
      <c r="E145" s="170"/>
      <c r="F145" s="221"/>
      <c r="G145" s="214"/>
      <c r="H145" s="220"/>
    </row>
    <row r="146" spans="1:8" x14ac:dyDescent="0.2">
      <c r="A146" s="164"/>
      <c r="C146" s="65"/>
      <c r="D146" s="173"/>
      <c r="E146" s="177"/>
      <c r="F146" s="221"/>
      <c r="G146" s="214"/>
      <c r="H146" s="220"/>
    </row>
    <row r="147" spans="1:8" x14ac:dyDescent="0.2">
      <c r="A147" s="164"/>
      <c r="C147" s="65"/>
      <c r="D147" s="71"/>
      <c r="E147" s="170"/>
      <c r="F147" s="220"/>
      <c r="G147" s="214"/>
      <c r="H147" s="220"/>
    </row>
    <row r="148" spans="1:8" x14ac:dyDescent="0.2">
      <c r="A148" s="164"/>
      <c r="C148" s="65"/>
      <c r="D148" s="66"/>
      <c r="F148" s="220"/>
      <c r="G148" s="214"/>
      <c r="H148" s="220"/>
    </row>
    <row r="149" spans="1:8" x14ac:dyDescent="0.2">
      <c r="A149" s="164"/>
    </row>
    <row r="150" spans="1:8" x14ac:dyDescent="0.2">
      <c r="A150" s="164"/>
    </row>
    <row r="151" spans="1:8" x14ac:dyDescent="0.2">
      <c r="A151" s="164"/>
    </row>
    <row r="152" spans="1:8" x14ac:dyDescent="0.2">
      <c r="A152" s="164"/>
      <c r="B152" s="159"/>
    </row>
    <row r="153" spans="1:8" x14ac:dyDescent="0.2">
      <c r="A153" s="164"/>
      <c r="B153" s="169"/>
    </row>
    <row r="154" spans="1:8" x14ac:dyDescent="0.2">
      <c r="A154" s="164"/>
      <c r="B154" s="169"/>
    </row>
    <row r="155" spans="1:8" x14ac:dyDescent="0.2">
      <c r="A155" s="164"/>
      <c r="B155" s="169"/>
    </row>
    <row r="156" spans="1:8" x14ac:dyDescent="0.2">
      <c r="A156" s="164"/>
    </row>
    <row r="157" spans="1:8" x14ac:dyDescent="0.2">
      <c r="A157" s="164"/>
      <c r="B157" s="159"/>
    </row>
    <row r="158" spans="1:8" x14ac:dyDescent="0.2">
      <c r="A158" s="164"/>
    </row>
    <row r="159" spans="1:8" x14ac:dyDescent="0.2">
      <c r="A159" s="165"/>
      <c r="C159" s="67"/>
      <c r="D159" s="166"/>
    </row>
    <row r="160" spans="1:8" x14ac:dyDescent="0.2">
      <c r="A160" s="164"/>
      <c r="C160" s="65"/>
      <c r="D160" s="222"/>
      <c r="F160" s="179"/>
    </row>
    <row r="161" spans="1:6" x14ac:dyDescent="0.2">
      <c r="A161" s="164"/>
      <c r="C161" s="65"/>
      <c r="D161" s="222"/>
      <c r="F161" s="179"/>
    </row>
    <row r="162" spans="1:6" x14ac:dyDescent="0.2">
      <c r="A162" s="164"/>
      <c r="C162" s="65"/>
      <c r="D162" s="222"/>
      <c r="F162" s="179"/>
    </row>
    <row r="163" spans="1:6" x14ac:dyDescent="0.2">
      <c r="A163" s="164"/>
      <c r="C163" s="65"/>
      <c r="D163" s="222"/>
      <c r="F163" s="179"/>
    </row>
    <row r="164" spans="1:6" x14ac:dyDescent="0.2">
      <c r="A164" s="164"/>
      <c r="C164" s="65"/>
      <c r="D164" s="222"/>
      <c r="F164" s="179"/>
    </row>
    <row r="165" spans="1:6" x14ac:dyDescent="0.2">
      <c r="A165" s="164"/>
      <c r="C165" s="65"/>
      <c r="D165" s="222"/>
      <c r="F165" s="179"/>
    </row>
    <row r="166" spans="1:6" x14ac:dyDescent="0.2">
      <c r="A166" s="164"/>
      <c r="C166" s="65"/>
      <c r="D166" s="222"/>
      <c r="F166" s="179"/>
    </row>
    <row r="167" spans="1:6" x14ac:dyDescent="0.2">
      <c r="A167" s="164"/>
      <c r="C167" s="65"/>
      <c r="D167" s="222"/>
      <c r="F167" s="179"/>
    </row>
    <row r="168" spans="1:6" x14ac:dyDescent="0.2">
      <c r="A168" s="164"/>
      <c r="C168" s="65"/>
      <c r="D168" s="222"/>
      <c r="F168" s="179"/>
    </row>
    <row r="169" spans="1:6" x14ac:dyDescent="0.2">
      <c r="A169" s="164"/>
      <c r="C169" s="65"/>
      <c r="D169" s="222"/>
      <c r="F169" s="179"/>
    </row>
    <row r="170" spans="1:6" x14ac:dyDescent="0.2">
      <c r="A170" s="164"/>
      <c r="C170" s="65"/>
      <c r="D170" s="222"/>
      <c r="F170" s="179"/>
    </row>
    <row r="171" spans="1:6" x14ac:dyDescent="0.2">
      <c r="A171" s="164"/>
      <c r="C171" s="65"/>
      <c r="D171" s="223"/>
      <c r="F171" s="178"/>
    </row>
    <row r="172" spans="1:6" x14ac:dyDescent="0.2">
      <c r="A172" s="164"/>
      <c r="C172" s="68"/>
      <c r="D172" s="222"/>
    </row>
  </sheetData>
  <mergeCells count="1">
    <mergeCell ref="K71:M71"/>
  </mergeCells>
  <pageMargins left="0.75" right="0.75" top="1" bottom="1" header="0.5" footer="0.5"/>
  <pageSetup scale="64" orientation="landscape" cellComments="asDisplayed" r:id="rId1"/>
  <headerFooter alignWithMargins="0">
    <oddHeader>&amp;CSchedule 4
True Up TRR
(Revised 2019 
TO2021 True Up TRR)&amp;R TO2024 Annual Update
Attachment 4
WP-Schedule 3-One Time Adj Prior Period
Page &amp;P of &amp;N</oddHeader>
    <oddFooter>&amp;R&amp;A</oddFooter>
  </headerFooter>
  <rowBreaks count="4" manualBreakCount="4">
    <brk id="45" max="16383" man="1"/>
    <brk id="73" max="16383" man="1"/>
    <brk id="119" max="9" man="1"/>
    <brk id="151" max="16383"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A625-E9E6-4481-9835-022BFB7E6A35}">
  <sheetPr>
    <tabColor rgb="FFFFFFCC"/>
  </sheetPr>
  <dimension ref="A1:Q79"/>
  <sheetViews>
    <sheetView zoomScaleNormal="100" zoomScalePageLayoutView="80" workbookViewId="0"/>
  </sheetViews>
  <sheetFormatPr defaultColWidth="8.5703125" defaultRowHeight="12.75" x14ac:dyDescent="0.2"/>
  <cols>
    <col min="1" max="1" width="4.5703125" customWidth="1"/>
    <col min="2" max="2" width="6.42578125" customWidth="1"/>
    <col min="3" max="3" width="15.5703125" customWidth="1"/>
    <col min="4" max="4" width="16.42578125" customWidth="1"/>
    <col min="5" max="15" width="14.5703125" customWidth="1"/>
    <col min="16" max="16" width="15.42578125" bestFit="1" customWidth="1"/>
  </cols>
  <sheetData>
    <row r="1" spans="1:17" x14ac:dyDescent="0.2">
      <c r="A1" s="159" t="s">
        <v>509</v>
      </c>
      <c r="B1" s="159"/>
    </row>
    <row r="2" spans="1:17" x14ac:dyDescent="0.2">
      <c r="A2" s="164" t="s">
        <v>510</v>
      </c>
      <c r="B2" s="276">
        <v>2020</v>
      </c>
      <c r="D2" s="277" t="s">
        <v>285</v>
      </c>
      <c r="E2" s="181" t="s">
        <v>511</v>
      </c>
      <c r="F2" s="278"/>
    </row>
    <row r="3" spans="1:17" x14ac:dyDescent="0.2">
      <c r="C3" s="163" t="s">
        <v>172</v>
      </c>
      <c r="D3" s="163" t="s">
        <v>173</v>
      </c>
      <c r="E3" s="163" t="s">
        <v>174</v>
      </c>
      <c r="F3" s="163" t="s">
        <v>175</v>
      </c>
      <c r="G3" s="163" t="s">
        <v>512</v>
      </c>
      <c r="H3" s="163" t="s">
        <v>513</v>
      </c>
      <c r="I3" s="163" t="s">
        <v>514</v>
      </c>
      <c r="J3" s="163" t="s">
        <v>515</v>
      </c>
      <c r="K3" s="163" t="s">
        <v>516</v>
      </c>
      <c r="L3" s="163" t="s">
        <v>517</v>
      </c>
      <c r="M3" s="163" t="s">
        <v>518</v>
      </c>
      <c r="N3" s="163" t="s">
        <v>519</v>
      </c>
      <c r="O3" s="163" t="s">
        <v>520</v>
      </c>
      <c r="P3" s="163" t="s">
        <v>521</v>
      </c>
    </row>
    <row r="4" spans="1:17" x14ac:dyDescent="0.2">
      <c r="A4" s="166" t="s">
        <v>39</v>
      </c>
      <c r="B4" s="166" t="s">
        <v>522</v>
      </c>
      <c r="C4" s="173" t="s">
        <v>45</v>
      </c>
      <c r="D4" s="279" t="s">
        <v>6</v>
      </c>
      <c r="E4" s="200" t="s">
        <v>7</v>
      </c>
      <c r="F4" s="200" t="s">
        <v>8</v>
      </c>
      <c r="G4" s="200" t="s">
        <v>18</v>
      </c>
      <c r="H4" s="200" t="s">
        <v>9</v>
      </c>
      <c r="I4" s="200" t="s">
        <v>10</v>
      </c>
      <c r="J4" s="200" t="s">
        <v>25</v>
      </c>
      <c r="K4" s="200" t="s">
        <v>11</v>
      </c>
      <c r="L4" s="200" t="s">
        <v>12</v>
      </c>
      <c r="M4" s="200" t="s">
        <v>13</v>
      </c>
      <c r="N4" s="200" t="s">
        <v>15</v>
      </c>
      <c r="O4" s="200" t="s">
        <v>14</v>
      </c>
      <c r="P4" s="200" t="s">
        <v>6</v>
      </c>
    </row>
    <row r="5" spans="1:17" x14ac:dyDescent="0.2">
      <c r="A5" s="166"/>
      <c r="B5" s="166"/>
      <c r="C5" s="200" t="s">
        <v>523</v>
      </c>
      <c r="D5" s="279"/>
      <c r="E5" s="200"/>
      <c r="F5" s="200"/>
      <c r="G5" s="200"/>
      <c r="H5" s="200"/>
      <c r="I5" s="200"/>
      <c r="J5" s="200"/>
      <c r="K5" s="200"/>
      <c r="L5" s="200"/>
      <c r="M5" s="200"/>
      <c r="N5" s="200"/>
      <c r="O5" s="200"/>
      <c r="P5" s="200"/>
    </row>
    <row r="6" spans="1:17" x14ac:dyDescent="0.2">
      <c r="A6" s="165"/>
      <c r="B6" s="165"/>
      <c r="C6" s="173"/>
      <c r="D6" s="279"/>
      <c r="E6" s="200"/>
      <c r="F6" s="200"/>
      <c r="G6" s="200"/>
      <c r="H6" s="200"/>
      <c r="I6" s="200"/>
      <c r="J6" s="200"/>
      <c r="K6" s="200"/>
      <c r="L6" s="200"/>
      <c r="M6" s="200"/>
      <c r="N6" s="200"/>
      <c r="O6" s="200"/>
      <c r="P6" s="200"/>
    </row>
    <row r="7" spans="1:17" x14ac:dyDescent="0.2">
      <c r="B7" s="159" t="s">
        <v>524</v>
      </c>
      <c r="D7" s="279"/>
      <c r="E7" s="200"/>
      <c r="F7" s="200"/>
      <c r="G7" s="200"/>
      <c r="H7" s="200"/>
      <c r="I7" s="200"/>
      <c r="J7" s="200"/>
      <c r="K7" s="200"/>
      <c r="L7" s="200"/>
      <c r="M7" s="200"/>
      <c r="N7" s="200"/>
      <c r="O7" s="200"/>
      <c r="P7" s="200"/>
    </row>
    <row r="8" spans="1:17" x14ac:dyDescent="0.2">
      <c r="A8" s="164">
        <v>1</v>
      </c>
      <c r="B8" s="164"/>
      <c r="C8" s="187">
        <f>SUM(D8:P8)/13</f>
        <v>16871130769.171539</v>
      </c>
      <c r="D8" s="280">
        <v>15023328571</v>
      </c>
      <c r="E8" s="280">
        <v>15623328571.389999</v>
      </c>
      <c r="F8" s="280">
        <v>15584042857.1</v>
      </c>
      <c r="G8" s="280">
        <v>16684042857.1</v>
      </c>
      <c r="H8" s="280">
        <v>17284042857.099998</v>
      </c>
      <c r="I8" s="280">
        <v>17284042857.099998</v>
      </c>
      <c r="J8" s="280">
        <v>17284042857.099998</v>
      </c>
      <c r="K8" s="280">
        <v>17284042857.099998</v>
      </c>
      <c r="L8" s="280">
        <v>17244757142.810001</v>
      </c>
      <c r="M8" s="280">
        <v>17244757142.810001</v>
      </c>
      <c r="N8" s="280">
        <v>17594757142.810001</v>
      </c>
      <c r="O8" s="280">
        <v>17594757142.810001</v>
      </c>
      <c r="P8" s="280">
        <v>17594757143</v>
      </c>
      <c r="Q8" s="169"/>
    </row>
    <row r="9" spans="1:17" x14ac:dyDescent="0.2">
      <c r="A9" s="164"/>
      <c r="B9" s="159" t="s">
        <v>525</v>
      </c>
      <c r="C9" s="170"/>
      <c r="D9" s="187"/>
      <c r="E9" s="187"/>
      <c r="F9" s="187"/>
      <c r="G9" s="187"/>
      <c r="H9" s="187"/>
      <c r="I9" s="187"/>
      <c r="J9" s="187"/>
      <c r="K9" s="187"/>
      <c r="L9" s="187"/>
      <c r="M9" s="187"/>
      <c r="N9" s="187"/>
      <c r="O9" s="187"/>
      <c r="P9" s="187"/>
    </row>
    <row r="10" spans="1:17" x14ac:dyDescent="0.2">
      <c r="A10" s="164">
        <f>A8+1</f>
        <v>2</v>
      </c>
      <c r="B10" s="164"/>
      <c r="C10" s="187">
        <f t="shared" ref="C10:C14" si="0">SUM(D10:P10)/13</f>
        <v>-333084615.38461536</v>
      </c>
      <c r="D10" s="280">
        <v>0</v>
      </c>
      <c r="E10" s="280">
        <v>0</v>
      </c>
      <c r="F10" s="280">
        <v>0</v>
      </c>
      <c r="G10" s="280">
        <v>0</v>
      </c>
      <c r="H10" s="280">
        <v>-372500000</v>
      </c>
      <c r="I10" s="280">
        <v>-372500000</v>
      </c>
      <c r="J10" s="280">
        <v>-372500000</v>
      </c>
      <c r="K10" s="280">
        <v>-372500000</v>
      </c>
      <c r="L10" s="280">
        <v>-372500000</v>
      </c>
      <c r="M10" s="280">
        <v>-616900000</v>
      </c>
      <c r="N10" s="280">
        <v>-616900000</v>
      </c>
      <c r="O10" s="280">
        <v>-616900000</v>
      </c>
      <c r="P10" s="280">
        <v>-616900000</v>
      </c>
      <c r="Q10" s="169"/>
    </row>
    <row r="11" spans="1:17" x14ac:dyDescent="0.2">
      <c r="A11" s="164"/>
      <c r="B11" s="159" t="s">
        <v>526</v>
      </c>
      <c r="D11" s="187"/>
      <c r="E11" s="187"/>
      <c r="F11" s="187"/>
      <c r="G11" s="187"/>
      <c r="H11" s="187"/>
      <c r="I11" s="187"/>
      <c r="J11" s="187"/>
      <c r="K11" s="187"/>
      <c r="L11" s="187"/>
      <c r="M11" s="187"/>
      <c r="N11" s="187"/>
      <c r="O11" s="187"/>
      <c r="P11" s="187"/>
    </row>
    <row r="12" spans="1:17" x14ac:dyDescent="0.2">
      <c r="A12" s="164" t="s">
        <v>527</v>
      </c>
      <c r="B12" s="159"/>
      <c r="C12" s="187">
        <f>SUM(D12:P12)/13</f>
        <v>0</v>
      </c>
      <c r="D12" s="186">
        <v>0</v>
      </c>
      <c r="E12" s="186">
        <v>0</v>
      </c>
      <c r="F12" s="186">
        <v>0</v>
      </c>
      <c r="G12" s="186">
        <v>0</v>
      </c>
      <c r="H12" s="186">
        <v>0</v>
      </c>
      <c r="I12" s="186">
        <v>0</v>
      </c>
      <c r="J12" s="186">
        <v>0</v>
      </c>
      <c r="K12" s="186">
        <v>0</v>
      </c>
      <c r="L12" s="186">
        <v>0</v>
      </c>
      <c r="M12" s="186">
        <v>0</v>
      </c>
      <c r="N12" s="186">
        <v>0</v>
      </c>
      <c r="O12" s="186">
        <v>0</v>
      </c>
      <c r="P12" s="186">
        <v>0</v>
      </c>
      <c r="Q12" s="169"/>
    </row>
    <row r="13" spans="1:17" x14ac:dyDescent="0.2">
      <c r="A13" s="164"/>
      <c r="B13" s="159" t="s">
        <v>528</v>
      </c>
      <c r="D13" s="187"/>
      <c r="E13" s="187"/>
      <c r="F13" s="187"/>
      <c r="G13" s="187"/>
      <c r="H13" s="187"/>
      <c r="I13" s="187"/>
      <c r="J13" s="187"/>
      <c r="K13" s="187"/>
      <c r="L13" s="187"/>
      <c r="M13" s="187"/>
      <c r="N13" s="187"/>
      <c r="O13" s="187"/>
      <c r="P13" s="187"/>
    </row>
    <row r="14" spans="1:17" x14ac:dyDescent="0.2">
      <c r="A14" s="164">
        <f>A10+1</f>
        <v>3</v>
      </c>
      <c r="B14" s="164"/>
      <c r="C14" s="187">
        <f t="shared" si="0"/>
        <v>306382919.30000001</v>
      </c>
      <c r="D14" s="280">
        <v>306419792</v>
      </c>
      <c r="E14" s="280">
        <v>306413741.49000001</v>
      </c>
      <c r="F14" s="280">
        <v>306407665</v>
      </c>
      <c r="G14" s="280">
        <v>306401562.88999999</v>
      </c>
      <c r="H14" s="280">
        <v>306395435.05000001</v>
      </c>
      <c r="I14" s="280">
        <v>306389281.37</v>
      </c>
      <c r="J14" s="280">
        <v>306383101.74000001</v>
      </c>
      <c r="K14" s="280">
        <v>306376896.05000001</v>
      </c>
      <c r="L14" s="280">
        <v>306370664.19</v>
      </c>
      <c r="M14" s="280">
        <v>306364406.06</v>
      </c>
      <c r="N14" s="280">
        <v>306358121.54000002</v>
      </c>
      <c r="O14" s="280">
        <v>306351810.51999998</v>
      </c>
      <c r="P14" s="280">
        <v>306345473</v>
      </c>
      <c r="Q14" s="169"/>
    </row>
    <row r="15" spans="1:17" x14ac:dyDescent="0.2">
      <c r="B15" s="159" t="s">
        <v>529</v>
      </c>
    </row>
    <row r="16" spans="1:17" x14ac:dyDescent="0.2">
      <c r="A16" s="164">
        <v>4</v>
      </c>
      <c r="B16" s="164"/>
      <c r="C16" s="187">
        <f t="shared" ref="C16:C22" si="1">SUM(D16:P16)/13</f>
        <v>2143514584.6153846</v>
      </c>
      <c r="D16" s="280">
        <v>2245054950</v>
      </c>
      <c r="E16" s="280">
        <v>2245054950</v>
      </c>
      <c r="F16" s="280">
        <v>2245054950</v>
      </c>
      <c r="G16" s="280">
        <v>2245054950</v>
      </c>
      <c r="H16" s="280">
        <v>2245054950</v>
      </c>
      <c r="I16" s="280">
        <v>2245054950</v>
      </c>
      <c r="J16" s="280">
        <v>2245054950</v>
      </c>
      <c r="K16" s="280">
        <v>2245054950</v>
      </c>
      <c r="L16" s="280">
        <v>2125050000</v>
      </c>
      <c r="M16" s="280">
        <v>1945050000</v>
      </c>
      <c r="N16" s="280">
        <v>1945050000</v>
      </c>
      <c r="O16" s="280">
        <v>1945050000</v>
      </c>
      <c r="P16" s="280">
        <v>1945050000</v>
      </c>
      <c r="Q16" s="169"/>
    </row>
    <row r="17" spans="1:17" x14ac:dyDescent="0.2">
      <c r="A17" s="164"/>
      <c r="B17" s="159" t="s">
        <v>530</v>
      </c>
      <c r="D17" s="187"/>
      <c r="E17" s="187"/>
      <c r="F17" s="187"/>
      <c r="G17" s="187"/>
      <c r="H17" s="187"/>
      <c r="I17" s="187"/>
      <c r="J17" s="187"/>
      <c r="K17" s="187"/>
      <c r="L17" s="187"/>
      <c r="M17" s="187"/>
      <c r="N17" s="187"/>
      <c r="O17" s="187"/>
      <c r="P17" s="187"/>
    </row>
    <row r="18" spans="1:17" x14ac:dyDescent="0.2">
      <c r="A18" s="164">
        <f>A16+1</f>
        <v>5</v>
      </c>
      <c r="B18" s="164"/>
      <c r="C18" s="187">
        <f t="shared" si="1"/>
        <v>-30116206.966666643</v>
      </c>
      <c r="D18" s="186">
        <v>-33609851.972222194</v>
      </c>
      <c r="E18" s="186">
        <v>-33324851.938888859</v>
      </c>
      <c r="F18" s="186">
        <v>-33039851.905555531</v>
      </c>
      <c r="G18" s="186">
        <v>-32754851.872222193</v>
      </c>
      <c r="H18" s="186">
        <v>-32469851.838888861</v>
      </c>
      <c r="I18" s="186">
        <v>-32184851.805555526</v>
      </c>
      <c r="J18" s="186">
        <v>-31899851.772222195</v>
      </c>
      <c r="K18" s="186">
        <v>-31614851.738888856</v>
      </c>
      <c r="L18" s="186">
        <v>-31329851.705555521</v>
      </c>
      <c r="M18" s="186">
        <v>-25223683.62499997</v>
      </c>
      <c r="N18" s="186">
        <v>-24954898.544444412</v>
      </c>
      <c r="O18" s="186">
        <v>-24686113.463888854</v>
      </c>
      <c r="P18" s="186">
        <v>-24417328.383333299</v>
      </c>
    </row>
    <row r="19" spans="1:17" x14ac:dyDescent="0.2">
      <c r="A19" s="164"/>
      <c r="B19" s="159" t="s">
        <v>531</v>
      </c>
      <c r="D19" s="187"/>
      <c r="E19" s="187"/>
      <c r="F19" s="187"/>
      <c r="G19" s="187"/>
      <c r="H19" s="187"/>
      <c r="I19" s="187"/>
      <c r="J19" s="187"/>
      <c r="K19" s="187"/>
      <c r="L19" s="187"/>
      <c r="M19" s="187"/>
      <c r="N19" s="187"/>
      <c r="O19" s="187"/>
      <c r="P19" s="187"/>
    </row>
    <row r="20" spans="1:17" x14ac:dyDescent="0.2">
      <c r="A20" s="164">
        <f>A18+1</f>
        <v>6</v>
      </c>
      <c r="B20" s="164"/>
      <c r="C20" s="187">
        <f t="shared" si="1"/>
        <v>-21436251.980334602</v>
      </c>
      <c r="D20" s="280">
        <v>-17308906.872633502</v>
      </c>
      <c r="E20" s="186">
        <v>-17222565.98496148</v>
      </c>
      <c r="F20" s="186">
        <v>-17154049.852191415</v>
      </c>
      <c r="G20" s="186">
        <v>-17085533.719421402</v>
      </c>
      <c r="H20" s="186">
        <v>-17017017.586651299</v>
      </c>
      <c r="I20" s="186">
        <v>-16948501.45388123</v>
      </c>
      <c r="J20" s="186">
        <v>-16879985.321111169</v>
      </c>
      <c r="K20" s="186">
        <v>-16811469.188341103</v>
      </c>
      <c r="L20" s="186">
        <v>-25265727.005571045</v>
      </c>
      <c r="M20" s="186">
        <v>-29471795.261363361</v>
      </c>
      <c r="N20" s="186">
        <v>-29320184.880385485</v>
      </c>
      <c r="O20" s="186">
        <v>-29168574.499407612</v>
      </c>
      <c r="P20" s="186">
        <v>-29016964.118429739</v>
      </c>
    </row>
    <row r="21" spans="1:17" x14ac:dyDescent="0.2">
      <c r="B21" s="159" t="s">
        <v>532</v>
      </c>
    </row>
    <row r="22" spans="1:17" x14ac:dyDescent="0.2">
      <c r="A22" s="164">
        <v>7</v>
      </c>
      <c r="B22" s="164"/>
      <c r="C22" s="187">
        <f t="shared" si="1"/>
        <v>18412587510.481541</v>
      </c>
      <c r="D22" s="280">
        <v>17827270409</v>
      </c>
      <c r="E22" s="186">
        <v>17935280162.099998</v>
      </c>
      <c r="F22" s="186">
        <v>17983786149.330002</v>
      </c>
      <c r="G22" s="186">
        <v>18045491055.849998</v>
      </c>
      <c r="H22" s="186">
        <v>18321589874.139999</v>
      </c>
      <c r="I22" s="186">
        <v>18753704256.439999</v>
      </c>
      <c r="J22" s="186">
        <v>18781491225.799999</v>
      </c>
      <c r="K22" s="186">
        <v>18998519668.509998</v>
      </c>
      <c r="L22" s="186">
        <v>19036193740.25</v>
      </c>
      <c r="M22" s="186">
        <v>18179040211.919998</v>
      </c>
      <c r="N22" s="186">
        <v>18334369365.880001</v>
      </c>
      <c r="O22" s="186">
        <v>18516424448.040001</v>
      </c>
      <c r="P22" s="186">
        <v>18650477069</v>
      </c>
      <c r="Q22" s="169"/>
    </row>
    <row r="23" spans="1:17" x14ac:dyDescent="0.2">
      <c r="A23" s="164"/>
      <c r="B23" s="159" t="s">
        <v>533</v>
      </c>
      <c r="D23" s="187"/>
      <c r="E23" s="187"/>
      <c r="F23" s="187"/>
      <c r="G23" s="187"/>
      <c r="H23" s="187"/>
      <c r="I23" s="187"/>
      <c r="J23" s="187"/>
      <c r="K23" s="187"/>
      <c r="L23" s="187"/>
      <c r="M23" s="187"/>
      <c r="N23" s="187"/>
      <c r="O23" s="187"/>
      <c r="P23" s="187"/>
    </row>
    <row r="24" spans="1:17" x14ac:dyDescent="0.2">
      <c r="A24" s="164">
        <v>8</v>
      </c>
      <c r="B24" s="164"/>
      <c r="C24" s="187">
        <f t="shared" ref="C24:C26" si="2">SUM(D24:P24)/13</f>
        <v>2605402.5384615385</v>
      </c>
      <c r="D24" s="280">
        <v>2605169</v>
      </c>
      <c r="E24" s="280">
        <v>2605169</v>
      </c>
      <c r="F24" s="280">
        <v>2605169</v>
      </c>
      <c r="G24" s="280">
        <v>2605169</v>
      </c>
      <c r="H24" s="280">
        <v>2605169</v>
      </c>
      <c r="I24" s="280">
        <v>2605169</v>
      </c>
      <c r="J24" s="280">
        <v>2605169</v>
      </c>
      <c r="K24" s="280">
        <v>2605671</v>
      </c>
      <c r="L24" s="280">
        <v>2605671</v>
      </c>
      <c r="M24" s="280">
        <v>2605671</v>
      </c>
      <c r="N24" s="280">
        <v>2605671</v>
      </c>
      <c r="O24" s="280">
        <v>2605671</v>
      </c>
      <c r="P24" s="280">
        <v>2605695</v>
      </c>
      <c r="Q24" s="169"/>
    </row>
    <row r="25" spans="1:17" x14ac:dyDescent="0.2">
      <c r="A25" s="164"/>
      <c r="B25" s="159" t="s">
        <v>534</v>
      </c>
      <c r="D25" s="187"/>
      <c r="E25" s="187"/>
      <c r="F25" s="187"/>
      <c r="G25" s="187"/>
      <c r="H25" s="187"/>
      <c r="I25" s="187"/>
      <c r="J25" s="187"/>
      <c r="K25" s="187"/>
      <c r="L25" s="187"/>
      <c r="M25" s="187"/>
      <c r="N25" s="187"/>
      <c r="O25" s="187"/>
      <c r="P25" s="187"/>
    </row>
    <row r="26" spans="1:17" x14ac:dyDescent="0.2">
      <c r="A26" s="164">
        <f>A24+1</f>
        <v>9</v>
      </c>
      <c r="B26" s="164"/>
      <c r="C26" s="187">
        <f t="shared" si="2"/>
        <v>36476558.340769231</v>
      </c>
      <c r="D26" s="280">
        <v>38811870</v>
      </c>
      <c r="E26" s="280">
        <v>38176386.32</v>
      </c>
      <c r="F26" s="280">
        <v>37540902.490000002</v>
      </c>
      <c r="G26" s="280">
        <v>37438912.399999999</v>
      </c>
      <c r="H26" s="280">
        <v>36803428.57</v>
      </c>
      <c r="I26" s="280">
        <v>36167944.740000002</v>
      </c>
      <c r="J26" s="280">
        <v>36065954.68</v>
      </c>
      <c r="K26" s="280">
        <v>35430470.850000001</v>
      </c>
      <c r="L26" s="280">
        <v>34794987.020000003</v>
      </c>
      <c r="M26" s="280">
        <v>34692996.950000003</v>
      </c>
      <c r="N26" s="280">
        <v>34057513.119999997</v>
      </c>
      <c r="O26" s="280">
        <v>33422029.289999999</v>
      </c>
      <c r="P26" s="280">
        <v>40791862</v>
      </c>
      <c r="Q26" s="169"/>
    </row>
    <row r="27" spans="1:17" x14ac:dyDescent="0.2">
      <c r="A27" s="164"/>
      <c r="B27" s="164"/>
      <c r="C27" s="187"/>
      <c r="D27" s="187"/>
      <c r="E27" s="187"/>
      <c r="F27" s="187"/>
      <c r="G27" s="187"/>
      <c r="H27" s="187"/>
      <c r="I27" s="187"/>
      <c r="J27" s="187"/>
      <c r="K27" s="187"/>
      <c r="L27" s="187"/>
      <c r="M27" s="187"/>
      <c r="N27" s="187"/>
      <c r="O27" s="187"/>
      <c r="P27" s="187"/>
    </row>
    <row r="28" spans="1:17" x14ac:dyDescent="0.2">
      <c r="A28" s="164"/>
      <c r="B28" s="188" t="s">
        <v>104</v>
      </c>
      <c r="C28" s="187"/>
      <c r="D28" s="187"/>
      <c r="E28" s="187"/>
      <c r="F28" s="187"/>
      <c r="G28" s="187"/>
      <c r="H28" s="187"/>
      <c r="I28" s="187"/>
      <c r="J28" s="187"/>
      <c r="K28" s="187"/>
      <c r="L28" s="187"/>
      <c r="M28" s="187"/>
      <c r="N28" s="187"/>
      <c r="O28" s="187"/>
      <c r="P28" s="187"/>
    </row>
    <row r="29" spans="1:17" x14ac:dyDescent="0.2">
      <c r="A29" s="164"/>
      <c r="B29" s="169" t="s">
        <v>535</v>
      </c>
      <c r="C29" s="187"/>
      <c r="D29" s="187"/>
      <c r="E29" s="187"/>
      <c r="F29" s="187"/>
      <c r="G29" s="187"/>
      <c r="H29" s="187"/>
      <c r="I29" s="187"/>
      <c r="J29" s="187"/>
      <c r="K29" s="187"/>
      <c r="L29" s="187"/>
      <c r="M29" s="187"/>
      <c r="N29" s="187"/>
      <c r="O29" s="187"/>
      <c r="P29" s="187"/>
    </row>
    <row r="30" spans="1:17" x14ac:dyDescent="0.2">
      <c r="A30" s="164"/>
      <c r="B30" s="176" t="s">
        <v>536</v>
      </c>
      <c r="C30" s="187"/>
      <c r="D30" s="187"/>
      <c r="E30" s="187"/>
      <c r="F30" s="187"/>
      <c r="G30" s="187"/>
      <c r="H30" s="187"/>
      <c r="I30" s="187"/>
      <c r="J30" s="187"/>
      <c r="K30" s="187"/>
      <c r="L30" s="187"/>
      <c r="M30" s="187"/>
      <c r="N30" s="187"/>
      <c r="O30" s="187"/>
      <c r="P30" s="187"/>
    </row>
    <row r="31" spans="1:17" x14ac:dyDescent="0.2">
      <c r="B31" s="169" t="s">
        <v>537</v>
      </c>
    </row>
    <row r="32" spans="1:17" x14ac:dyDescent="0.2">
      <c r="B32" s="176"/>
    </row>
    <row r="33" spans="2:13" x14ac:dyDescent="0.2">
      <c r="B33" s="188" t="s">
        <v>152</v>
      </c>
    </row>
    <row r="34" spans="2:13" x14ac:dyDescent="0.2">
      <c r="B34" s="169" t="s">
        <v>538</v>
      </c>
    </row>
    <row r="35" spans="2:13" x14ac:dyDescent="0.2">
      <c r="B35" s="169" t="s">
        <v>539</v>
      </c>
    </row>
    <row r="36" spans="2:13" x14ac:dyDescent="0.2">
      <c r="B36" s="169" t="s">
        <v>540</v>
      </c>
    </row>
    <row r="37" spans="2:13" x14ac:dyDescent="0.2">
      <c r="B37" s="169" t="s">
        <v>541</v>
      </c>
    </row>
    <row r="38" spans="2:13" x14ac:dyDescent="0.2">
      <c r="B38" s="169" t="s">
        <v>542</v>
      </c>
    </row>
    <row r="39" spans="2:13" x14ac:dyDescent="0.2">
      <c r="B39" s="169" t="s">
        <v>543</v>
      </c>
    </row>
    <row r="40" spans="2:13" x14ac:dyDescent="0.2">
      <c r="B40" s="176" t="s">
        <v>544</v>
      </c>
    </row>
    <row r="41" spans="2:13" x14ac:dyDescent="0.2">
      <c r="H41" s="164" t="s">
        <v>545</v>
      </c>
    </row>
    <row r="42" spans="2:13" x14ac:dyDescent="0.2">
      <c r="C42" s="164"/>
      <c r="E42" s="164" t="s">
        <v>546</v>
      </c>
      <c r="F42" s="164" t="s">
        <v>547</v>
      </c>
      <c r="G42" s="164" t="s">
        <v>547</v>
      </c>
      <c r="H42" s="164" t="s">
        <v>548</v>
      </c>
      <c r="I42" s="164" t="s">
        <v>549</v>
      </c>
    </row>
    <row r="43" spans="2:13" x14ac:dyDescent="0.2">
      <c r="C43" s="166" t="s">
        <v>550</v>
      </c>
      <c r="E43" s="166" t="s">
        <v>32</v>
      </c>
      <c r="F43" s="166" t="s">
        <v>551</v>
      </c>
      <c r="G43" s="166" t="s">
        <v>552</v>
      </c>
      <c r="H43" s="163" t="s">
        <v>553</v>
      </c>
      <c r="I43" s="166" t="s">
        <v>545</v>
      </c>
      <c r="J43" s="166" t="s">
        <v>42</v>
      </c>
    </row>
    <row r="44" spans="2:13" ht="13.5" thickBot="1" x14ac:dyDescent="0.25">
      <c r="C44" s="281" t="s">
        <v>554</v>
      </c>
      <c r="D44" s="282"/>
      <c r="E44" s="184">
        <v>350000000</v>
      </c>
      <c r="F44" s="283">
        <v>40925</v>
      </c>
      <c r="G44" s="184">
        <v>5957289</v>
      </c>
      <c r="H44" s="284">
        <v>10</v>
      </c>
      <c r="I44" s="190">
        <v>595728.9</v>
      </c>
      <c r="J44" s="161"/>
      <c r="K44" s="161"/>
      <c r="L44" s="161"/>
      <c r="M44" s="161"/>
    </row>
    <row r="45" spans="2:13" ht="13.5" thickBot="1" x14ac:dyDescent="0.25">
      <c r="C45" s="281" t="s">
        <v>555</v>
      </c>
      <c r="D45" s="282"/>
      <c r="E45" s="184">
        <v>220010000</v>
      </c>
      <c r="F45" s="283">
        <v>41303</v>
      </c>
      <c r="G45" s="184">
        <v>7134904</v>
      </c>
      <c r="H45" s="284">
        <v>30</v>
      </c>
      <c r="I45" s="285">
        <v>367549.75555555557</v>
      </c>
      <c r="J45" s="181" t="s">
        <v>556</v>
      </c>
      <c r="K45" s="161"/>
      <c r="L45" s="161"/>
      <c r="M45" s="161"/>
    </row>
    <row r="46" spans="2:13" x14ac:dyDescent="0.2">
      <c r="C46" s="286" t="s">
        <v>557</v>
      </c>
      <c r="D46" s="282"/>
      <c r="E46" s="184">
        <v>275010000</v>
      </c>
      <c r="F46" s="283">
        <v>41704</v>
      </c>
      <c r="G46" s="184">
        <v>6272358</v>
      </c>
      <c r="H46" s="284">
        <v>10</v>
      </c>
      <c r="I46" s="190">
        <v>627235.80000000005</v>
      </c>
      <c r="J46" s="161"/>
      <c r="K46" s="161"/>
      <c r="L46" s="161"/>
      <c r="M46" s="161"/>
    </row>
    <row r="47" spans="2:13" x14ac:dyDescent="0.2">
      <c r="C47" s="287" t="s">
        <v>558</v>
      </c>
      <c r="D47" s="288"/>
      <c r="E47" s="184">
        <v>325010000</v>
      </c>
      <c r="F47" s="283">
        <v>42240</v>
      </c>
      <c r="G47" s="184">
        <v>6419578</v>
      </c>
      <c r="H47" s="284">
        <v>10</v>
      </c>
      <c r="I47" s="190">
        <v>641957.80000000005</v>
      </c>
      <c r="J47" s="161"/>
      <c r="K47" s="161"/>
      <c r="L47" s="161"/>
      <c r="M47" s="161"/>
    </row>
    <row r="48" spans="2:13" x14ac:dyDescent="0.2">
      <c r="C48" s="287" t="s">
        <v>559</v>
      </c>
      <c r="D48" s="288"/>
      <c r="E48" s="184">
        <v>300010000</v>
      </c>
      <c r="F48" s="283">
        <v>42437</v>
      </c>
      <c r="G48" s="184">
        <v>6959810</v>
      </c>
      <c r="H48" s="284">
        <v>10</v>
      </c>
      <c r="I48" s="190">
        <v>695981</v>
      </c>
      <c r="J48" s="181"/>
      <c r="K48" s="161"/>
      <c r="L48" s="161"/>
      <c r="M48" s="161"/>
    </row>
    <row r="49" spans="2:14" x14ac:dyDescent="0.2">
      <c r="C49" s="289" t="s">
        <v>560</v>
      </c>
      <c r="D49" s="288"/>
      <c r="E49" s="184">
        <v>475010000</v>
      </c>
      <c r="F49" s="283">
        <v>42912</v>
      </c>
      <c r="G49" s="186">
        <v>12800620</v>
      </c>
      <c r="H49" s="284">
        <v>30</v>
      </c>
      <c r="I49" s="184">
        <v>426687.33333333331</v>
      </c>
      <c r="J49" s="290" t="s">
        <v>561</v>
      </c>
      <c r="K49" s="161"/>
      <c r="L49" s="161"/>
      <c r="M49" s="161"/>
    </row>
    <row r="50" spans="2:14" x14ac:dyDescent="0.2">
      <c r="C50" s="291"/>
      <c r="D50" s="291"/>
      <c r="I50" s="170">
        <f>SUM(I44:I49)</f>
        <v>3355140.5888888892</v>
      </c>
      <c r="J50" s="169" t="s">
        <v>562</v>
      </c>
    </row>
    <row r="51" spans="2:14" x14ac:dyDescent="0.2">
      <c r="B51" s="169" t="s">
        <v>563</v>
      </c>
    </row>
    <row r="52" spans="2:14" x14ac:dyDescent="0.2">
      <c r="B52" s="176" t="s">
        <v>564</v>
      </c>
      <c r="I52" s="220"/>
    </row>
    <row r="53" spans="2:14" x14ac:dyDescent="0.2">
      <c r="G53" s="164" t="s">
        <v>545</v>
      </c>
    </row>
    <row r="54" spans="2:14" x14ac:dyDescent="0.2">
      <c r="C54" s="164"/>
      <c r="E54" s="164" t="s">
        <v>565</v>
      </c>
      <c r="F54" s="164" t="s">
        <v>545</v>
      </c>
      <c r="G54" s="164" t="s">
        <v>548</v>
      </c>
      <c r="H54" s="164" t="s">
        <v>549</v>
      </c>
      <c r="I54" s="164"/>
    </row>
    <row r="55" spans="2:14" x14ac:dyDescent="0.2">
      <c r="C55" s="166" t="s">
        <v>566</v>
      </c>
      <c r="E55" s="166" t="s">
        <v>551</v>
      </c>
      <c r="F55" s="166" t="s">
        <v>32</v>
      </c>
      <c r="G55" s="163" t="s">
        <v>553</v>
      </c>
      <c r="H55" s="166" t="s">
        <v>545</v>
      </c>
      <c r="I55" s="166" t="s">
        <v>42</v>
      </c>
    </row>
    <row r="56" spans="2:14" x14ac:dyDescent="0.2">
      <c r="C56" s="286" t="s">
        <v>567</v>
      </c>
      <c r="D56" s="292"/>
      <c r="E56" s="283">
        <v>31444</v>
      </c>
      <c r="F56" s="184">
        <v>0</v>
      </c>
      <c r="G56" s="284">
        <v>34</v>
      </c>
      <c r="H56" s="184">
        <v>0</v>
      </c>
      <c r="I56" s="293"/>
      <c r="J56" s="161"/>
      <c r="K56" s="161"/>
      <c r="L56" s="161"/>
      <c r="M56" s="161"/>
      <c r="N56" s="161"/>
    </row>
    <row r="57" spans="2:14" x14ac:dyDescent="0.2">
      <c r="C57" s="286" t="s">
        <v>567</v>
      </c>
      <c r="D57" s="292"/>
      <c r="E57" s="283">
        <v>31444</v>
      </c>
      <c r="F57" s="184">
        <v>0</v>
      </c>
      <c r="G57" s="284">
        <v>34</v>
      </c>
      <c r="H57" s="184">
        <v>0</v>
      </c>
      <c r="I57" s="293"/>
      <c r="J57" s="161"/>
      <c r="K57" s="161"/>
      <c r="L57" s="161"/>
      <c r="M57" s="161"/>
      <c r="N57" s="161"/>
    </row>
    <row r="58" spans="2:14" x14ac:dyDescent="0.2">
      <c r="C58" s="286" t="s">
        <v>568</v>
      </c>
      <c r="D58" s="292"/>
      <c r="E58" s="283">
        <v>41333</v>
      </c>
      <c r="F58" s="184">
        <v>2586350.9805555502</v>
      </c>
      <c r="G58" s="284">
        <v>30</v>
      </c>
      <c r="H58" s="184">
        <v>86211.699351851668</v>
      </c>
      <c r="I58" s="293" t="s">
        <v>569</v>
      </c>
      <c r="J58" s="293"/>
      <c r="K58" s="293"/>
      <c r="L58" s="161"/>
      <c r="M58" s="161"/>
      <c r="N58" s="161"/>
    </row>
    <row r="59" spans="2:14" x14ac:dyDescent="0.2">
      <c r="C59" s="286" t="s">
        <v>570</v>
      </c>
      <c r="D59" s="292"/>
      <c r="E59" s="283">
        <v>41333</v>
      </c>
      <c r="F59" s="184">
        <v>2886865.9722222402</v>
      </c>
      <c r="G59" s="284">
        <v>30</v>
      </c>
      <c r="H59" s="184">
        <v>96228.865740741341</v>
      </c>
      <c r="I59" s="293" t="s">
        <v>569</v>
      </c>
      <c r="J59" s="293"/>
      <c r="K59" s="293"/>
      <c r="L59" s="161"/>
      <c r="M59" s="161"/>
      <c r="N59" s="161"/>
    </row>
    <row r="60" spans="2:14" x14ac:dyDescent="0.2">
      <c r="C60" s="286" t="s">
        <v>571</v>
      </c>
      <c r="D60" s="292"/>
      <c r="E60" s="283">
        <v>42460</v>
      </c>
      <c r="F60" s="184">
        <v>2147802.5000000112</v>
      </c>
      <c r="G60" s="284">
        <v>10</v>
      </c>
      <c r="H60" s="184">
        <v>214780.25000000111</v>
      </c>
      <c r="I60" s="293" t="s">
        <v>572</v>
      </c>
      <c r="J60" s="293"/>
      <c r="K60" s="293"/>
      <c r="L60" s="161"/>
      <c r="M60" s="161"/>
      <c r="N60" s="161"/>
    </row>
    <row r="61" spans="2:14" ht="13.5" thickBot="1" x14ac:dyDescent="0.25">
      <c r="C61" s="286" t="s">
        <v>573</v>
      </c>
      <c r="D61" s="292"/>
      <c r="E61" s="283">
        <v>42935</v>
      </c>
      <c r="F61" s="184">
        <v>12749183.344444489</v>
      </c>
      <c r="G61" s="284">
        <v>30</v>
      </c>
      <c r="H61" s="184">
        <v>424972.77814814966</v>
      </c>
      <c r="I61" s="373"/>
      <c r="J61" s="373"/>
      <c r="K61" s="373"/>
      <c r="L61" s="161"/>
      <c r="M61" s="161"/>
      <c r="N61" s="161"/>
    </row>
    <row r="62" spans="2:14" ht="13.5" thickBot="1" x14ac:dyDescent="0.25">
      <c r="C62" s="282" t="s">
        <v>574</v>
      </c>
      <c r="D62" s="282"/>
      <c r="E62" s="294">
        <v>44074</v>
      </c>
      <c r="F62" s="186">
        <v>8522773.9499999993</v>
      </c>
      <c r="G62" s="284">
        <v>10</v>
      </c>
      <c r="H62" s="183">
        <v>284092.46500000003</v>
      </c>
      <c r="I62" s="181" t="s">
        <v>575</v>
      </c>
      <c r="J62" s="181"/>
      <c r="K62" s="161"/>
      <c r="L62" s="161"/>
      <c r="M62" s="161"/>
      <c r="N62" s="161"/>
    </row>
    <row r="63" spans="2:14" ht="13.5" thickBot="1" x14ac:dyDescent="0.25">
      <c r="C63" s="282" t="s">
        <v>576</v>
      </c>
      <c r="D63" s="282"/>
      <c r="E63" s="294">
        <v>44104</v>
      </c>
      <c r="F63" s="186">
        <v>4345607.5048123803</v>
      </c>
      <c r="G63" s="284">
        <v>30</v>
      </c>
      <c r="H63" s="183">
        <v>36213.395873436602</v>
      </c>
      <c r="I63" s="181" t="s">
        <v>577</v>
      </c>
      <c r="J63" s="181"/>
      <c r="K63" s="161"/>
      <c r="L63" s="161"/>
      <c r="M63" s="161"/>
      <c r="N63" s="161"/>
    </row>
    <row r="64" spans="2:14" x14ac:dyDescent="0.2">
      <c r="C64" s="282"/>
      <c r="D64" s="282"/>
      <c r="E64" s="294"/>
      <c r="F64" s="186"/>
      <c r="G64" s="284"/>
      <c r="H64" s="186"/>
      <c r="I64" s="181" t="s">
        <v>578</v>
      </c>
      <c r="J64" s="181"/>
      <c r="K64" s="161"/>
      <c r="L64" s="161"/>
      <c r="M64" s="161"/>
      <c r="N64" s="161"/>
    </row>
    <row r="65" spans="2:9" x14ac:dyDescent="0.2">
      <c r="C65" s="291"/>
      <c r="D65" s="291"/>
      <c r="H65" s="170">
        <f>SUM(H56:H63)</f>
        <v>1142499.4541141805</v>
      </c>
      <c r="I65" s="169" t="s">
        <v>579</v>
      </c>
    </row>
    <row r="67" spans="2:9" x14ac:dyDescent="0.2">
      <c r="B67" s="169" t="s">
        <v>580</v>
      </c>
    </row>
    <row r="68" spans="2:9" x14ac:dyDescent="0.2">
      <c r="B68" s="169" t="s">
        <v>581</v>
      </c>
    </row>
    <row r="69" spans="2:9" x14ac:dyDescent="0.2">
      <c r="B69" s="169" t="s">
        <v>582</v>
      </c>
    </row>
    <row r="78" spans="2:9" x14ac:dyDescent="0.2">
      <c r="F78" s="170"/>
    </row>
    <row r="79" spans="2:9" x14ac:dyDescent="0.2">
      <c r="F79" s="170"/>
    </row>
  </sheetData>
  <mergeCells count="1">
    <mergeCell ref="I61:K61"/>
  </mergeCells>
  <pageMargins left="0.7" right="0.7" top="0.75" bottom="0.75" header="0.3" footer="0.3"/>
  <pageSetup scale="54" fitToHeight="0" orientation="landscape" cellComments="asDisplayed" r:id="rId1"/>
  <headerFooter>
    <oddHeader>&amp;CSchedule 5 ROR-2
Return and Capitalization
(Revised 2020 
TO2022 True Up TRR)&amp;R TO2024 Annual Update
Attachment 4
WP-Schedule 3-One Time Adj Prior Period
Page &amp;P of &amp;N</oddHeader>
    <oddFooter>&amp;R5-ROR-2</oddFooter>
  </headerFooter>
  <rowBreaks count="1" manualBreakCount="1">
    <brk id="32" max="15" man="1"/>
  </rowBreaks>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07369-A948-41AF-A2DF-0A30A3B92CB5}">
  <sheetPr>
    <tabColor rgb="FFFFFFCC"/>
  </sheetPr>
  <dimension ref="A1:X110"/>
  <sheetViews>
    <sheetView zoomScaleNormal="100" zoomScalePageLayoutView="80" workbookViewId="0"/>
  </sheetViews>
  <sheetFormatPr defaultColWidth="8.7109375" defaultRowHeight="12.75" x14ac:dyDescent="0.2"/>
  <cols>
    <col min="1" max="1" width="4.5703125" style="30" customWidth="1"/>
    <col min="2" max="2" width="2.5703125" style="30" customWidth="1"/>
    <col min="3" max="3" width="8.5703125" style="30" customWidth="1"/>
    <col min="4" max="4" width="32.5703125" style="30" customWidth="1"/>
    <col min="5" max="5" width="14.5703125" style="30" customWidth="1"/>
    <col min="6" max="6" width="15.5703125" style="30" customWidth="1"/>
    <col min="7" max="8" width="14.5703125" style="30" customWidth="1"/>
    <col min="9" max="9" width="20" style="30" customWidth="1"/>
    <col min="10" max="10" width="15.5703125" style="30" customWidth="1"/>
    <col min="11" max="11" width="11" style="30" bestFit="1" customWidth="1"/>
    <col min="12" max="16384" width="8.7109375" style="30"/>
  </cols>
  <sheetData>
    <row r="1" spans="1:24" x14ac:dyDescent="0.2">
      <c r="A1" s="29" t="s">
        <v>170</v>
      </c>
      <c r="F1" s="117" t="s">
        <v>171</v>
      </c>
      <c r="G1" s="59"/>
      <c r="H1" s="63"/>
      <c r="I1" s="63"/>
    </row>
    <row r="2" spans="1:24" x14ac:dyDescent="0.2">
      <c r="E2" s="69" t="s">
        <v>172</v>
      </c>
      <c r="F2" s="69" t="s">
        <v>173</v>
      </c>
      <c r="G2" s="69" t="s">
        <v>174</v>
      </c>
      <c r="H2" s="69" t="s">
        <v>175</v>
      </c>
      <c r="I2" s="63"/>
    </row>
    <row r="3" spans="1:24" x14ac:dyDescent="0.2">
      <c r="G3" s="63" t="s">
        <v>176</v>
      </c>
    </row>
    <row r="4" spans="1:24" x14ac:dyDescent="0.2">
      <c r="E4" s="33" t="s">
        <v>177</v>
      </c>
      <c r="F4" s="110" t="s">
        <v>178</v>
      </c>
      <c r="G4" s="33" t="s">
        <v>179</v>
      </c>
      <c r="I4" s="33"/>
    </row>
    <row r="5" spans="1:24" x14ac:dyDescent="0.2">
      <c r="A5" s="34" t="s">
        <v>39</v>
      </c>
      <c r="B5" s="37"/>
      <c r="C5" s="37" t="s">
        <v>180</v>
      </c>
      <c r="D5" s="37" t="s">
        <v>31</v>
      </c>
      <c r="E5" s="37" t="s">
        <v>32</v>
      </c>
      <c r="F5" s="67" t="s">
        <v>33</v>
      </c>
      <c r="G5" s="37" t="s">
        <v>181</v>
      </c>
      <c r="H5" s="37" t="s">
        <v>82</v>
      </c>
      <c r="I5" s="37" t="s">
        <v>42</v>
      </c>
      <c r="K5" s="37"/>
      <c r="L5" s="37"/>
      <c r="M5" s="37"/>
      <c r="N5" s="37"/>
      <c r="O5" s="37"/>
      <c r="P5" s="37"/>
      <c r="Q5" s="37"/>
      <c r="R5" s="37"/>
      <c r="S5" s="37"/>
      <c r="T5" s="37"/>
      <c r="U5" s="37"/>
      <c r="V5" s="37"/>
      <c r="W5" s="37"/>
      <c r="X5" s="37"/>
    </row>
    <row r="6" spans="1:24" x14ac:dyDescent="0.2">
      <c r="A6" s="33">
        <v>1</v>
      </c>
      <c r="C6" s="63">
        <v>920</v>
      </c>
      <c r="D6" s="30" t="s">
        <v>182</v>
      </c>
      <c r="E6" s="118">
        <v>512818190</v>
      </c>
      <c r="F6" s="63" t="s">
        <v>183</v>
      </c>
      <c r="G6" s="39">
        <f>D37</f>
        <v>228036741.6356445</v>
      </c>
      <c r="H6" s="39">
        <f t="shared" ref="H6:H19" si="0">E6-G6</f>
        <v>284781448.3643555</v>
      </c>
    </row>
    <row r="7" spans="1:24" x14ac:dyDescent="0.2">
      <c r="A7" s="33">
        <f>A6+1</f>
        <v>2</v>
      </c>
      <c r="C7" s="63">
        <v>921</v>
      </c>
      <c r="D7" s="30" t="s">
        <v>184</v>
      </c>
      <c r="E7" s="118">
        <v>259355778</v>
      </c>
      <c r="F7" s="63" t="s">
        <v>185</v>
      </c>
      <c r="G7" s="39">
        <f t="shared" ref="G7:G19" si="1">D38</f>
        <v>274716.09000000003</v>
      </c>
      <c r="H7" s="39">
        <f t="shared" si="0"/>
        <v>259081061.91</v>
      </c>
    </row>
    <row r="8" spans="1:24" x14ac:dyDescent="0.2">
      <c r="A8" s="33">
        <f>A7+1</f>
        <v>3</v>
      </c>
      <c r="C8" s="63">
        <v>922</v>
      </c>
      <c r="D8" s="30" t="s">
        <v>186</v>
      </c>
      <c r="E8" s="118">
        <v>-223403958</v>
      </c>
      <c r="F8" s="63" t="s">
        <v>187</v>
      </c>
      <c r="G8" s="39">
        <f t="shared" si="1"/>
        <v>-110501926.69585</v>
      </c>
      <c r="H8" s="39">
        <f t="shared" si="0"/>
        <v>-112902031.30415</v>
      </c>
      <c r="I8" s="63" t="s">
        <v>188</v>
      </c>
    </row>
    <row r="9" spans="1:24" x14ac:dyDescent="0.2">
      <c r="A9" s="33">
        <f t="shared" ref="A9:A20" si="2">A8+1</f>
        <v>4</v>
      </c>
      <c r="B9" s="33"/>
      <c r="C9" s="63">
        <v>923</v>
      </c>
      <c r="D9" s="30" t="s">
        <v>189</v>
      </c>
      <c r="E9" s="118">
        <v>49255741</v>
      </c>
      <c r="F9" s="63" t="s">
        <v>190</v>
      </c>
      <c r="G9" s="42">
        <f t="shared" si="1"/>
        <v>3361641.58</v>
      </c>
      <c r="H9" s="42">
        <f t="shared" si="0"/>
        <v>45894099.420000002</v>
      </c>
    </row>
    <row r="10" spans="1:24" x14ac:dyDescent="0.2">
      <c r="A10" s="33">
        <f t="shared" si="2"/>
        <v>5</v>
      </c>
      <c r="B10" s="33"/>
      <c r="C10" s="63">
        <v>924</v>
      </c>
      <c r="D10" s="30" t="s">
        <v>191</v>
      </c>
      <c r="E10" s="118">
        <v>20441370</v>
      </c>
      <c r="F10" s="63" t="s">
        <v>192</v>
      </c>
      <c r="G10" s="39">
        <f t="shared" si="1"/>
        <v>0</v>
      </c>
      <c r="H10" s="39">
        <f t="shared" si="0"/>
        <v>20441370</v>
      </c>
    </row>
    <row r="11" spans="1:24" x14ac:dyDescent="0.2">
      <c r="A11" s="33">
        <f t="shared" si="2"/>
        <v>6</v>
      </c>
      <c r="B11" s="33"/>
      <c r="C11" s="63">
        <v>925</v>
      </c>
      <c r="D11" s="30" t="s">
        <v>193</v>
      </c>
      <c r="E11" s="118">
        <v>2255479067</v>
      </c>
      <c r="F11" s="63" t="s">
        <v>194</v>
      </c>
      <c r="G11" s="39">
        <f t="shared" si="1"/>
        <v>366619885.74000001</v>
      </c>
      <c r="H11" s="39">
        <f t="shared" si="0"/>
        <v>1888859181.26</v>
      </c>
    </row>
    <row r="12" spans="1:24" x14ac:dyDescent="0.2">
      <c r="A12" s="33">
        <f t="shared" si="2"/>
        <v>7</v>
      </c>
      <c r="B12" s="33"/>
      <c r="C12" s="63">
        <v>926</v>
      </c>
      <c r="D12" s="30" t="s">
        <v>195</v>
      </c>
      <c r="E12" s="118">
        <v>78787907</v>
      </c>
      <c r="F12" s="63" t="s">
        <v>196</v>
      </c>
      <c r="G12" s="39">
        <f t="shared" si="1"/>
        <v>8094298.4458499998</v>
      </c>
      <c r="H12" s="39">
        <f t="shared" si="0"/>
        <v>70693608.55415</v>
      </c>
    </row>
    <row r="13" spans="1:24" x14ac:dyDescent="0.2">
      <c r="A13" s="33">
        <f t="shared" si="2"/>
        <v>8</v>
      </c>
      <c r="B13" s="33"/>
      <c r="C13" s="63">
        <v>927</v>
      </c>
      <c r="D13" s="30" t="s">
        <v>197</v>
      </c>
      <c r="E13" s="118">
        <v>113495974</v>
      </c>
      <c r="F13" s="63" t="s">
        <v>198</v>
      </c>
      <c r="G13" s="39">
        <f t="shared" si="1"/>
        <v>113495974</v>
      </c>
      <c r="H13" s="39">
        <f t="shared" si="0"/>
        <v>0</v>
      </c>
    </row>
    <row r="14" spans="1:24" x14ac:dyDescent="0.2">
      <c r="A14" s="33">
        <f t="shared" si="2"/>
        <v>9</v>
      </c>
      <c r="B14" s="33"/>
      <c r="C14" s="63">
        <v>928</v>
      </c>
      <c r="D14" s="30" t="s">
        <v>199</v>
      </c>
      <c r="E14" s="118">
        <v>11842729</v>
      </c>
      <c r="F14" s="63" t="s">
        <v>200</v>
      </c>
      <c r="G14" s="39">
        <f t="shared" si="1"/>
        <v>10887496.710000001</v>
      </c>
      <c r="H14" s="39">
        <f t="shared" si="0"/>
        <v>955232.28999999911</v>
      </c>
    </row>
    <row r="15" spans="1:24" x14ac:dyDescent="0.2">
      <c r="A15" s="33">
        <f t="shared" si="2"/>
        <v>10</v>
      </c>
      <c r="B15" s="33"/>
      <c r="C15" s="63">
        <v>929</v>
      </c>
      <c r="D15" s="30" t="s">
        <v>201</v>
      </c>
      <c r="E15" s="118">
        <v>0</v>
      </c>
      <c r="F15" s="63" t="s">
        <v>202</v>
      </c>
      <c r="G15" s="39">
        <f t="shared" si="1"/>
        <v>0</v>
      </c>
      <c r="H15" s="39">
        <f t="shared" si="0"/>
        <v>0</v>
      </c>
    </row>
    <row r="16" spans="1:24" x14ac:dyDescent="0.2">
      <c r="A16" s="33">
        <f t="shared" si="2"/>
        <v>11</v>
      </c>
      <c r="B16" s="33"/>
      <c r="C16" s="63">
        <v>930.1</v>
      </c>
      <c r="D16" s="30" t="s">
        <v>203</v>
      </c>
      <c r="E16" s="118">
        <v>14923247</v>
      </c>
      <c r="F16" s="63" t="s">
        <v>204</v>
      </c>
      <c r="G16" s="39">
        <f t="shared" si="1"/>
        <v>0</v>
      </c>
      <c r="H16" s="39">
        <f t="shared" si="0"/>
        <v>14923247</v>
      </c>
    </row>
    <row r="17" spans="1:8" x14ac:dyDescent="0.2">
      <c r="A17" s="33">
        <f t="shared" si="2"/>
        <v>12</v>
      </c>
      <c r="B17" s="33"/>
      <c r="C17" s="63">
        <v>930.2</v>
      </c>
      <c r="D17" s="30" t="s">
        <v>205</v>
      </c>
      <c r="E17" s="118">
        <v>38904934</v>
      </c>
      <c r="F17" s="63" t="s">
        <v>206</v>
      </c>
      <c r="G17" s="39">
        <f t="shared" si="1"/>
        <v>36338171.140000001</v>
      </c>
      <c r="H17" s="39">
        <f t="shared" si="0"/>
        <v>2566762.8599999994</v>
      </c>
    </row>
    <row r="18" spans="1:8" x14ac:dyDescent="0.2">
      <c r="A18" s="33">
        <f t="shared" si="2"/>
        <v>13</v>
      </c>
      <c r="B18" s="33"/>
      <c r="C18" s="63">
        <v>931</v>
      </c>
      <c r="D18" s="30" t="s">
        <v>207</v>
      </c>
      <c r="E18" s="118">
        <v>9432312</v>
      </c>
      <c r="F18" s="63" t="s">
        <v>208</v>
      </c>
      <c r="G18" s="39">
        <f t="shared" si="1"/>
        <v>0</v>
      </c>
      <c r="H18" s="39">
        <f t="shared" si="0"/>
        <v>9432312</v>
      </c>
    </row>
    <row r="19" spans="1:8" x14ac:dyDescent="0.2">
      <c r="A19" s="33">
        <f t="shared" si="2"/>
        <v>14</v>
      </c>
      <c r="B19" s="33"/>
      <c r="C19" s="63">
        <v>935</v>
      </c>
      <c r="D19" s="30" t="s">
        <v>209</v>
      </c>
      <c r="E19" s="119">
        <v>22574402</v>
      </c>
      <c r="F19" s="63" t="s">
        <v>210</v>
      </c>
      <c r="G19" s="39">
        <f t="shared" si="1"/>
        <v>536097.97</v>
      </c>
      <c r="H19" s="45">
        <f t="shared" si="0"/>
        <v>22038304.030000001</v>
      </c>
    </row>
    <row r="20" spans="1:8" x14ac:dyDescent="0.2">
      <c r="A20" s="33">
        <f t="shared" si="2"/>
        <v>15</v>
      </c>
      <c r="E20" s="39">
        <f>SUM(E6:E19)</f>
        <v>3163907693</v>
      </c>
      <c r="G20" s="49" t="s">
        <v>211</v>
      </c>
      <c r="H20" s="39">
        <f>SUM(H6:H19)</f>
        <v>2506764596.384356</v>
      </c>
    </row>
    <row r="22" spans="1:8" x14ac:dyDescent="0.2">
      <c r="F22" s="37" t="s">
        <v>32</v>
      </c>
      <c r="G22" s="37" t="s">
        <v>33</v>
      </c>
    </row>
    <row r="23" spans="1:8" x14ac:dyDescent="0.2">
      <c r="A23" s="33">
        <f>A20+1</f>
        <v>16</v>
      </c>
      <c r="E23" s="49" t="s">
        <v>212</v>
      </c>
      <c r="F23" s="42">
        <f>H20</f>
        <v>2506764596.384356</v>
      </c>
      <c r="G23" s="35" t="str">
        <f>"Line "&amp;A20&amp;""</f>
        <v>Line 15</v>
      </c>
    </row>
    <row r="24" spans="1:8" x14ac:dyDescent="0.2">
      <c r="A24" s="33">
        <f t="shared" ref="A24:A30" si="3">A23+1</f>
        <v>17</v>
      </c>
      <c r="E24" s="49" t="s">
        <v>213</v>
      </c>
      <c r="F24" s="45">
        <f>E10</f>
        <v>20441370</v>
      </c>
      <c r="G24" s="35" t="str">
        <f>"Line "&amp;A10&amp;""</f>
        <v>Line 5</v>
      </c>
    </row>
    <row r="25" spans="1:8" x14ac:dyDescent="0.2">
      <c r="A25" s="33">
        <f t="shared" si="3"/>
        <v>18</v>
      </c>
      <c r="E25" s="49" t="s">
        <v>214</v>
      </c>
      <c r="F25" s="42">
        <f>F23-F24</f>
        <v>2486323226.384356</v>
      </c>
      <c r="G25" s="35" t="str">
        <f>"Line "&amp;A23&amp;" - Line "&amp;A24&amp;""</f>
        <v>Line 16 - Line 17</v>
      </c>
    </row>
    <row r="26" spans="1:8" x14ac:dyDescent="0.2">
      <c r="A26" s="33">
        <f t="shared" si="3"/>
        <v>19</v>
      </c>
      <c r="E26" s="49" t="s">
        <v>215</v>
      </c>
      <c r="F26" s="62">
        <v>6.982260642173875E-2</v>
      </c>
      <c r="G26" s="35" t="s">
        <v>492</v>
      </c>
    </row>
    <row r="27" spans="1:8" x14ac:dyDescent="0.2">
      <c r="A27" s="33">
        <f t="shared" si="3"/>
        <v>20</v>
      </c>
      <c r="E27" s="49" t="s">
        <v>217</v>
      </c>
      <c r="F27" s="42">
        <f>F25*F26</f>
        <v>173601568.07306254</v>
      </c>
      <c r="G27" s="35" t="str">
        <f>"Line "&amp;A25&amp;" * Line "&amp;A26&amp;""</f>
        <v>Line 18 * Line 19</v>
      </c>
    </row>
    <row r="28" spans="1:8" x14ac:dyDescent="0.2">
      <c r="A28" s="33">
        <f t="shared" si="3"/>
        <v>21</v>
      </c>
      <c r="E28" s="49" t="s">
        <v>218</v>
      </c>
      <c r="F28" s="47">
        <v>0.18354940810043915</v>
      </c>
      <c r="G28" s="35" t="s">
        <v>493</v>
      </c>
    </row>
    <row r="29" spans="1:8" x14ac:dyDescent="0.2">
      <c r="A29" s="33">
        <f t="shared" si="3"/>
        <v>22</v>
      </c>
      <c r="E29" s="49" t="s">
        <v>220</v>
      </c>
      <c r="F29" s="45">
        <f>H10*F28</f>
        <v>3752001.3642620738</v>
      </c>
      <c r="G29" s="35" t="str">
        <f>"Line "&amp;A10&amp;" Col 4 * Line "&amp;A28&amp;""</f>
        <v>Line 5 Col 4 * Line 21</v>
      </c>
    </row>
    <row r="30" spans="1:8" x14ac:dyDescent="0.2">
      <c r="A30" s="33">
        <f t="shared" si="3"/>
        <v>23</v>
      </c>
      <c r="E30" s="49" t="s">
        <v>221</v>
      </c>
      <c r="F30" s="42">
        <f>F27+F29</f>
        <v>177353569.43732461</v>
      </c>
      <c r="G30" s="35" t="str">
        <f>"Line "&amp;A27&amp;" + Line "&amp;A29&amp;""</f>
        <v>Line 20 + Line 22</v>
      </c>
    </row>
    <row r="32" spans="1:8" x14ac:dyDescent="0.2">
      <c r="B32" s="29" t="s">
        <v>222</v>
      </c>
      <c r="E32" s="69" t="s">
        <v>172</v>
      </c>
      <c r="F32" s="69" t="s">
        <v>173</v>
      </c>
      <c r="G32" s="69" t="s">
        <v>174</v>
      </c>
      <c r="H32" s="69" t="s">
        <v>175</v>
      </c>
    </row>
    <row r="33" spans="1:11" x14ac:dyDescent="0.2">
      <c r="B33" s="29"/>
      <c r="C33" s="153" t="s">
        <v>285</v>
      </c>
      <c r="D33" s="59" t="s">
        <v>305</v>
      </c>
      <c r="E33" s="33" t="s">
        <v>223</v>
      </c>
      <c r="F33" s="69"/>
      <c r="G33" s="69"/>
      <c r="H33" s="69"/>
    </row>
    <row r="34" spans="1:11" x14ac:dyDescent="0.2">
      <c r="E34" s="33" t="s">
        <v>224</v>
      </c>
    </row>
    <row r="35" spans="1:11" x14ac:dyDescent="0.2">
      <c r="D35" s="33" t="s">
        <v>225</v>
      </c>
      <c r="E35" s="33" t="s">
        <v>226</v>
      </c>
      <c r="F35" s="33" t="s">
        <v>227</v>
      </c>
      <c r="G35" s="33"/>
      <c r="H35" s="33"/>
    </row>
    <row r="36" spans="1:11" x14ac:dyDescent="0.2">
      <c r="C36" s="37" t="s">
        <v>180</v>
      </c>
      <c r="D36" s="69" t="s">
        <v>228</v>
      </c>
      <c r="E36" s="37" t="s">
        <v>229</v>
      </c>
      <c r="F36" s="37" t="s">
        <v>230</v>
      </c>
      <c r="G36" s="37" t="s">
        <v>231</v>
      </c>
      <c r="H36" s="37" t="s">
        <v>232</v>
      </c>
      <c r="I36" s="37" t="s">
        <v>42</v>
      </c>
    </row>
    <row r="37" spans="1:11" x14ac:dyDescent="0.2">
      <c r="A37" s="33">
        <f>A30+1</f>
        <v>24</v>
      </c>
      <c r="C37" s="63">
        <v>920</v>
      </c>
      <c r="D37" s="123">
        <f>SUM(E37:H37)</f>
        <v>228036741.6356445</v>
      </c>
      <c r="E37" s="122">
        <v>5732204.0700000003</v>
      </c>
      <c r="F37" s="122"/>
      <c r="G37" s="39">
        <f>G58</f>
        <v>222304537.5656445</v>
      </c>
      <c r="H37" s="122"/>
      <c r="I37" s="35" t="s">
        <v>233</v>
      </c>
    </row>
    <row r="38" spans="1:11" x14ac:dyDescent="0.2">
      <c r="A38" s="33">
        <f>A37+1</f>
        <v>25</v>
      </c>
      <c r="C38" s="63">
        <v>921</v>
      </c>
      <c r="D38" s="123">
        <f t="shared" ref="D38:D50" si="4">SUM(E38:H38)</f>
        <v>274716.09000000003</v>
      </c>
      <c r="E38" s="122">
        <v>274716.09000000003</v>
      </c>
      <c r="F38" s="122"/>
      <c r="G38" s="122">
        <v>0</v>
      </c>
      <c r="H38" s="122"/>
      <c r="I38" s="35"/>
    </row>
    <row r="39" spans="1:11" ht="13.5" thickBot="1" x14ac:dyDescent="0.25">
      <c r="A39" s="33">
        <f t="shared" ref="A39:A50" si="5">A38+1</f>
        <v>26</v>
      </c>
      <c r="C39" s="63">
        <v>922</v>
      </c>
      <c r="D39" s="123">
        <f t="shared" si="4"/>
        <v>-110501926.69585</v>
      </c>
      <c r="E39" s="122">
        <v>-11947057.69585</v>
      </c>
      <c r="F39" s="122"/>
      <c r="G39" s="122">
        <v>-98554869</v>
      </c>
      <c r="H39" s="122"/>
      <c r="I39" s="35"/>
    </row>
    <row r="40" spans="1:11" ht="13.5" thickBot="1" x14ac:dyDescent="0.25">
      <c r="A40" s="33">
        <f t="shared" si="5"/>
        <v>27</v>
      </c>
      <c r="C40" s="63">
        <v>923</v>
      </c>
      <c r="D40" s="120">
        <f t="shared" si="4"/>
        <v>3361641.58</v>
      </c>
      <c r="E40" s="121">
        <v>3361641.58</v>
      </c>
      <c r="F40" s="122"/>
      <c r="G40" s="122">
        <v>0</v>
      </c>
      <c r="H40" s="122"/>
      <c r="I40" s="35"/>
      <c r="J40" s="37"/>
      <c r="K40" s="37"/>
    </row>
    <row r="41" spans="1:11" x14ac:dyDescent="0.2">
      <c r="A41" s="33">
        <f t="shared" si="5"/>
        <v>28</v>
      </c>
      <c r="C41" s="63">
        <v>924</v>
      </c>
      <c r="D41" s="123">
        <f t="shared" si="4"/>
        <v>0</v>
      </c>
      <c r="E41" s="122">
        <v>0</v>
      </c>
      <c r="F41" s="122"/>
      <c r="G41" s="122">
        <v>0</v>
      </c>
      <c r="H41" s="122"/>
      <c r="I41" s="35"/>
      <c r="K41" s="39"/>
    </row>
    <row r="42" spans="1:11" x14ac:dyDescent="0.2">
      <c r="A42" s="33">
        <f t="shared" si="5"/>
        <v>29</v>
      </c>
      <c r="C42" s="63">
        <v>925</v>
      </c>
      <c r="D42" s="123">
        <f t="shared" si="4"/>
        <v>366619885.74000001</v>
      </c>
      <c r="E42" s="122">
        <v>366619885.74000001</v>
      </c>
      <c r="F42" s="122"/>
      <c r="G42" s="122">
        <v>0</v>
      </c>
      <c r="H42" s="122"/>
      <c r="I42" s="35" t="s">
        <v>287</v>
      </c>
      <c r="K42" s="39"/>
    </row>
    <row r="43" spans="1:11" x14ac:dyDescent="0.2">
      <c r="A43" s="33">
        <f t="shared" si="5"/>
        <v>30</v>
      </c>
      <c r="C43" s="63">
        <v>926</v>
      </c>
      <c r="D43" s="123">
        <f t="shared" si="4"/>
        <v>8094298.4458499998</v>
      </c>
      <c r="E43" s="122">
        <v>14423298.44585</v>
      </c>
      <c r="F43" s="122"/>
      <c r="G43" s="122">
        <v>0</v>
      </c>
      <c r="H43" s="39">
        <f>E71</f>
        <v>-6329000</v>
      </c>
      <c r="I43" s="35" t="s">
        <v>234</v>
      </c>
      <c r="K43" s="39"/>
    </row>
    <row r="44" spans="1:11" x14ac:dyDescent="0.2">
      <c r="A44" s="33">
        <f t="shared" si="5"/>
        <v>31</v>
      </c>
      <c r="C44" s="63">
        <v>927</v>
      </c>
      <c r="D44" s="123">
        <f t="shared" si="4"/>
        <v>113495974</v>
      </c>
      <c r="E44" s="39">
        <v>0</v>
      </c>
      <c r="F44" s="39">
        <f>E13</f>
        <v>113495974</v>
      </c>
      <c r="G44" s="39">
        <v>0</v>
      </c>
      <c r="H44" s="39">
        <v>0</v>
      </c>
      <c r="I44" s="35" t="s">
        <v>235</v>
      </c>
      <c r="K44" s="39"/>
    </row>
    <row r="45" spans="1:11" x14ac:dyDescent="0.2">
      <c r="A45" s="33">
        <f t="shared" si="5"/>
        <v>32</v>
      </c>
      <c r="C45" s="63">
        <v>928</v>
      </c>
      <c r="D45" s="123">
        <f t="shared" si="4"/>
        <v>10887496.710000001</v>
      </c>
      <c r="E45" s="122">
        <v>10887496.710000001</v>
      </c>
      <c r="F45" s="122"/>
      <c r="G45" s="122">
        <v>0</v>
      </c>
      <c r="H45" s="122"/>
      <c r="I45" s="35"/>
      <c r="K45" s="39"/>
    </row>
    <row r="46" spans="1:11" x14ac:dyDescent="0.2">
      <c r="A46" s="33">
        <f t="shared" si="5"/>
        <v>33</v>
      </c>
      <c r="C46" s="63">
        <v>929</v>
      </c>
      <c r="D46" s="123">
        <f t="shared" si="4"/>
        <v>0</v>
      </c>
      <c r="E46" s="122">
        <v>0</v>
      </c>
      <c r="F46" s="122"/>
      <c r="G46" s="122">
        <v>0</v>
      </c>
      <c r="H46" s="122"/>
      <c r="I46" s="35"/>
      <c r="K46" s="39"/>
    </row>
    <row r="47" spans="1:11" x14ac:dyDescent="0.2">
      <c r="A47" s="33">
        <f t="shared" si="5"/>
        <v>34</v>
      </c>
      <c r="C47" s="63">
        <v>930.1</v>
      </c>
      <c r="D47" s="123">
        <f t="shared" si="4"/>
        <v>0</v>
      </c>
      <c r="E47" s="122">
        <v>0</v>
      </c>
      <c r="F47" s="122"/>
      <c r="G47" s="122">
        <v>0</v>
      </c>
      <c r="H47" s="122"/>
      <c r="I47" s="35"/>
      <c r="K47" s="39"/>
    </row>
    <row r="48" spans="1:11" x14ac:dyDescent="0.2">
      <c r="A48" s="33">
        <f t="shared" si="5"/>
        <v>35</v>
      </c>
      <c r="C48" s="63">
        <v>930.2</v>
      </c>
      <c r="D48" s="123">
        <f t="shared" si="4"/>
        <v>36338171.140000001</v>
      </c>
      <c r="E48" s="122">
        <v>36338171.140000001</v>
      </c>
      <c r="F48" s="122"/>
      <c r="G48" s="122">
        <v>0</v>
      </c>
      <c r="H48" s="122"/>
      <c r="I48" s="35"/>
      <c r="J48" s="39"/>
    </row>
    <row r="49" spans="1:10" x14ac:dyDescent="0.2">
      <c r="A49" s="33">
        <f t="shared" si="5"/>
        <v>36</v>
      </c>
      <c r="C49" s="63">
        <v>931</v>
      </c>
      <c r="D49" s="123">
        <f t="shared" si="4"/>
        <v>0</v>
      </c>
      <c r="E49" s="122">
        <v>0</v>
      </c>
      <c r="F49" s="122"/>
      <c r="G49" s="122">
        <v>0</v>
      </c>
      <c r="H49" s="122"/>
      <c r="I49" s="35"/>
      <c r="J49" s="39"/>
    </row>
    <row r="50" spans="1:10" x14ac:dyDescent="0.2">
      <c r="A50" s="33">
        <f t="shared" si="5"/>
        <v>37</v>
      </c>
      <c r="C50" s="63">
        <v>935</v>
      </c>
      <c r="D50" s="123">
        <f t="shared" si="4"/>
        <v>536097.97</v>
      </c>
      <c r="E50" s="122">
        <v>536097.97</v>
      </c>
      <c r="F50" s="122"/>
      <c r="G50" s="122">
        <v>0</v>
      </c>
      <c r="H50" s="122"/>
      <c r="I50" s="35"/>
    </row>
    <row r="51" spans="1:10" x14ac:dyDescent="0.2">
      <c r="A51" s="33"/>
      <c r="C51" s="63"/>
      <c r="D51" s="123"/>
      <c r="E51" s="39"/>
      <c r="F51" s="39"/>
      <c r="G51" s="39"/>
      <c r="H51" s="39"/>
      <c r="I51" s="35"/>
    </row>
    <row r="52" spans="1:10" x14ac:dyDescent="0.2">
      <c r="B52" s="29" t="s">
        <v>236</v>
      </c>
    </row>
    <row r="53" spans="1:10" x14ac:dyDescent="0.2">
      <c r="B53" s="29"/>
      <c r="C53" s="30" t="s">
        <v>237</v>
      </c>
      <c r="G53" s="33"/>
      <c r="H53" s="33"/>
    </row>
    <row r="54" spans="1:10" x14ac:dyDescent="0.2">
      <c r="B54" s="29"/>
      <c r="C54" s="56" t="s">
        <v>238</v>
      </c>
      <c r="D54" s="56"/>
      <c r="E54" s="56"/>
      <c r="G54" s="33"/>
      <c r="H54" s="33"/>
    </row>
    <row r="55" spans="1:10" x14ac:dyDescent="0.2">
      <c r="B55" s="29"/>
      <c r="C55" s="153" t="s">
        <v>285</v>
      </c>
      <c r="D55" s="59" t="s">
        <v>305</v>
      </c>
      <c r="G55" s="37" t="s">
        <v>32</v>
      </c>
      <c r="H55" s="37" t="s">
        <v>33</v>
      </c>
    </row>
    <row r="56" spans="1:10" x14ac:dyDescent="0.2">
      <c r="A56" s="33"/>
      <c r="B56" s="33" t="s">
        <v>114</v>
      </c>
      <c r="C56" s="155"/>
      <c r="F56" s="49" t="s">
        <v>239</v>
      </c>
      <c r="G56" s="122">
        <v>216604107.38</v>
      </c>
      <c r="H56" s="35" t="s">
        <v>240</v>
      </c>
    </row>
    <row r="57" spans="1:10" x14ac:dyDescent="0.2">
      <c r="A57" s="33"/>
      <c r="B57" s="33" t="s">
        <v>116</v>
      </c>
      <c r="F57" s="49" t="s">
        <v>241</v>
      </c>
      <c r="G57" s="45">
        <f>E61</f>
        <v>-5700430.1856445111</v>
      </c>
      <c r="H57" s="35" t="str">
        <f>"Note 2, "&amp;B61&amp;""</f>
        <v>Note 2, d</v>
      </c>
    </row>
    <row r="58" spans="1:10" x14ac:dyDescent="0.2">
      <c r="A58" s="33"/>
      <c r="B58" s="33" t="s">
        <v>119</v>
      </c>
      <c r="F58" s="49" t="s">
        <v>242</v>
      </c>
      <c r="G58" s="39">
        <f>G56-G57</f>
        <v>222304537.5656445</v>
      </c>
    </row>
    <row r="59" spans="1:10" x14ac:dyDescent="0.2">
      <c r="A59" s="33"/>
      <c r="C59" s="56" t="s">
        <v>243</v>
      </c>
      <c r="D59" s="56"/>
      <c r="E59" s="56"/>
      <c r="G59" s="39"/>
    </row>
    <row r="60" spans="1:10" x14ac:dyDescent="0.2">
      <c r="A60" s="33"/>
      <c r="D60" s="36" t="s">
        <v>244</v>
      </c>
      <c r="E60" s="37" t="s">
        <v>32</v>
      </c>
      <c r="F60" s="37" t="s">
        <v>33</v>
      </c>
      <c r="G60" s="39"/>
    </row>
    <row r="61" spans="1:10" x14ac:dyDescent="0.2">
      <c r="A61" s="33"/>
      <c r="B61" s="33" t="s">
        <v>121</v>
      </c>
      <c r="D61" s="30" t="s">
        <v>245</v>
      </c>
      <c r="E61" s="111">
        <v>-5700430.1856445111</v>
      </c>
      <c r="F61" s="35" t="s">
        <v>246</v>
      </c>
      <c r="G61" s="39"/>
    </row>
    <row r="62" spans="1:10" x14ac:dyDescent="0.2">
      <c r="A62" s="33"/>
      <c r="B62" s="33" t="s">
        <v>125</v>
      </c>
      <c r="D62" s="30" t="s">
        <v>247</v>
      </c>
      <c r="E62" s="111">
        <v>-2569165.2078082524</v>
      </c>
      <c r="F62" s="35" t="s">
        <v>246</v>
      </c>
      <c r="G62" s="39"/>
      <c r="I62" s="112"/>
    </row>
    <row r="63" spans="1:10" x14ac:dyDescent="0.2">
      <c r="A63" s="33"/>
      <c r="B63" s="33" t="s">
        <v>127</v>
      </c>
      <c r="D63" s="30" t="s">
        <v>248</v>
      </c>
      <c r="E63" s="113">
        <v>-9126423.6065472364</v>
      </c>
      <c r="F63" s="35" t="s">
        <v>246</v>
      </c>
      <c r="G63" s="39"/>
      <c r="I63" s="39"/>
    </row>
    <row r="64" spans="1:10" x14ac:dyDescent="0.2">
      <c r="A64" s="33"/>
      <c r="B64" s="33" t="s">
        <v>129</v>
      </c>
      <c r="D64" s="49" t="s">
        <v>249</v>
      </c>
      <c r="E64" s="39">
        <f>SUM(E61:E63)</f>
        <v>-17396019</v>
      </c>
      <c r="F64" s="35" t="str">
        <f>"Sum of "&amp;B61&amp;" to "&amp;B63&amp;""</f>
        <v>Sum of d to f</v>
      </c>
      <c r="G64" s="39"/>
    </row>
    <row r="66" spans="1:7" x14ac:dyDescent="0.2">
      <c r="B66" s="29" t="s">
        <v>250</v>
      </c>
    </row>
    <row r="67" spans="1:7" x14ac:dyDescent="0.2">
      <c r="E67" s="37" t="s">
        <v>32</v>
      </c>
      <c r="F67" s="36" t="s">
        <v>251</v>
      </c>
    </row>
    <row r="68" spans="1:7" x14ac:dyDescent="0.2">
      <c r="A68" s="33"/>
      <c r="B68" s="33" t="s">
        <v>114</v>
      </c>
      <c r="D68" s="49" t="s">
        <v>252</v>
      </c>
      <c r="E68" s="124">
        <v>0</v>
      </c>
      <c r="F68" s="35" t="s">
        <v>253</v>
      </c>
    </row>
    <row r="69" spans="1:7" x14ac:dyDescent="0.2">
      <c r="A69" s="33"/>
      <c r="B69" s="33" t="s">
        <v>116</v>
      </c>
      <c r="D69" s="49" t="s">
        <v>254</v>
      </c>
      <c r="E69" s="125">
        <v>6329000</v>
      </c>
      <c r="F69" s="35" t="s">
        <v>255</v>
      </c>
    </row>
    <row r="70" spans="1:7" x14ac:dyDescent="0.2">
      <c r="A70" s="33"/>
      <c r="B70" s="33" t="s">
        <v>119</v>
      </c>
      <c r="D70" s="49" t="s">
        <v>256</v>
      </c>
      <c r="E70" s="126">
        <v>0</v>
      </c>
      <c r="F70" s="35" t="s">
        <v>240</v>
      </c>
    </row>
    <row r="71" spans="1:7" x14ac:dyDescent="0.2">
      <c r="A71" s="33"/>
      <c r="B71" s="33" t="s">
        <v>121</v>
      </c>
      <c r="D71" s="49" t="s">
        <v>257</v>
      </c>
      <c r="E71" s="39">
        <f>E70-E69</f>
        <v>-6329000</v>
      </c>
      <c r="F71" s="35" t="str">
        <f>""&amp;B70&amp;" - "&amp;B69&amp;""</f>
        <v>c - b</v>
      </c>
    </row>
    <row r="72" spans="1:7" x14ac:dyDescent="0.2">
      <c r="A72" s="33"/>
      <c r="B72" s="29" t="s">
        <v>258</v>
      </c>
      <c r="D72" s="49"/>
      <c r="E72" s="39"/>
      <c r="F72" s="35"/>
    </row>
    <row r="73" spans="1:7" x14ac:dyDescent="0.2">
      <c r="A73" s="33"/>
      <c r="B73" s="29"/>
      <c r="C73" s="30" t="str">
        <f>"Amount in Line "&amp;A44&amp;", column 2 equals amount in Line "&amp;A13&amp;", column 1 because all Franchise Requirements Expenses are excluded"</f>
        <v>Amount in Line 31, column 2 equals amount in Line 8, column 1 because all Franchise Requirements Expenses are excluded</v>
      </c>
      <c r="D73" s="49"/>
      <c r="E73" s="39"/>
      <c r="F73" s="35"/>
    </row>
    <row r="74" spans="1:7" x14ac:dyDescent="0.2">
      <c r="A74" s="33"/>
      <c r="B74" s="29"/>
      <c r="C74" s="30" t="s">
        <v>259</v>
      </c>
      <c r="D74" s="49"/>
      <c r="E74" s="39"/>
      <c r="F74" s="35"/>
    </row>
    <row r="76" spans="1:7" x14ac:dyDescent="0.2">
      <c r="B76" s="29" t="s">
        <v>104</v>
      </c>
    </row>
    <row r="77" spans="1:7" x14ac:dyDescent="0.2">
      <c r="C77" s="30" t="str">
        <f>"1) Enter amounts of A&amp;G expenses from FERC Form 1 in Lines "&amp;A6&amp;" to "&amp;A19&amp;"."</f>
        <v>1) Enter amounts of A&amp;G expenses from FERC Form 1 in Lines 1 to 14.</v>
      </c>
    </row>
    <row r="78" spans="1:7" x14ac:dyDescent="0.2">
      <c r="C78" s="30" t="s">
        <v>260</v>
      </c>
      <c r="G78" s="30" t="str">
        <f>"Column 3, Line "&amp;A37&amp;""</f>
        <v>Column 3, Line 24</v>
      </c>
    </row>
    <row r="79" spans="1:7" x14ac:dyDescent="0.2">
      <c r="C79" s="35" t="str">
        <f>"is calculated in Note 2.  The PBOPs exclusion in Column 4, Line "&amp;A43&amp;" is calculated in Note 3."</f>
        <v>is calculated in Note 2.  The PBOPs exclusion in Column 4, Line 30 is calculated in Note 3.</v>
      </c>
    </row>
    <row r="80" spans="1:7" x14ac:dyDescent="0.2">
      <c r="C80" s="35" t="s">
        <v>261</v>
      </c>
    </row>
    <row r="81" spans="3:7" x14ac:dyDescent="0.2">
      <c r="C81" s="35" t="s">
        <v>262</v>
      </c>
      <c r="D81" s="49"/>
      <c r="E81" s="39"/>
      <c r="F81" s="35"/>
    </row>
    <row r="82" spans="3:7" x14ac:dyDescent="0.2">
      <c r="C82" s="35" t="s">
        <v>263</v>
      </c>
      <c r="D82" s="49"/>
      <c r="E82" s="39"/>
      <c r="F82" s="35"/>
    </row>
    <row r="83" spans="3:7" x14ac:dyDescent="0.2">
      <c r="C83" s="35" t="s">
        <v>264</v>
      </c>
    </row>
    <row r="84" spans="3:7" x14ac:dyDescent="0.2">
      <c r="C84" s="35" t="s">
        <v>265</v>
      </c>
    </row>
    <row r="85" spans="3:7" x14ac:dyDescent="0.2">
      <c r="C85" s="35" t="s">
        <v>266</v>
      </c>
    </row>
    <row r="86" spans="3:7" x14ac:dyDescent="0.2">
      <c r="C86" s="35" t="s">
        <v>267</v>
      </c>
    </row>
    <row r="87" spans="3:7" x14ac:dyDescent="0.2">
      <c r="C87" s="35" t="s">
        <v>268</v>
      </c>
    </row>
    <row r="88" spans="3:7" x14ac:dyDescent="0.2">
      <c r="C88" s="35" t="s">
        <v>269</v>
      </c>
      <c r="E88" s="127"/>
      <c r="F88" s="127"/>
      <c r="G88" s="127"/>
    </row>
    <row r="89" spans="3:7" x14ac:dyDescent="0.2">
      <c r="C89" s="128" t="s">
        <v>270</v>
      </c>
      <c r="E89" s="127"/>
      <c r="F89" s="127"/>
      <c r="G89" s="127"/>
    </row>
    <row r="90" spans="3:7" x14ac:dyDescent="0.2">
      <c r="C90" s="128" t="s">
        <v>271</v>
      </c>
      <c r="E90" s="127"/>
      <c r="F90" s="127"/>
      <c r="G90" s="127"/>
    </row>
    <row r="91" spans="3:7" x14ac:dyDescent="0.2">
      <c r="C91" s="128" t="s">
        <v>272</v>
      </c>
      <c r="E91" s="127"/>
      <c r="F91" s="127"/>
      <c r="G91" s="127"/>
    </row>
    <row r="92" spans="3:7" x14ac:dyDescent="0.2">
      <c r="C92" s="35" t="s">
        <v>273</v>
      </c>
      <c r="E92" s="127"/>
      <c r="F92" s="127"/>
      <c r="G92" s="127"/>
    </row>
    <row r="93" spans="3:7" x14ac:dyDescent="0.2">
      <c r="C93" s="128" t="s">
        <v>274</v>
      </c>
      <c r="E93" s="127"/>
      <c r="F93" s="127"/>
      <c r="G93" s="127"/>
    </row>
    <row r="94" spans="3:7" x14ac:dyDescent="0.2">
      <c r="C94" s="128" t="s">
        <v>275</v>
      </c>
      <c r="E94" s="127"/>
      <c r="F94" s="127"/>
      <c r="G94" s="127"/>
    </row>
    <row r="95" spans="3:7" x14ac:dyDescent="0.2">
      <c r="C95" s="128" t="s">
        <v>276</v>
      </c>
      <c r="E95" s="127"/>
      <c r="F95" s="127"/>
      <c r="G95" s="127"/>
    </row>
    <row r="96" spans="3:7" x14ac:dyDescent="0.2">
      <c r="C96" s="128" t="s">
        <v>277</v>
      </c>
      <c r="E96" s="127"/>
      <c r="F96" s="127"/>
      <c r="G96" s="127"/>
    </row>
    <row r="97" spans="3:10" x14ac:dyDescent="0.2">
      <c r="C97" s="65" t="s">
        <v>278</v>
      </c>
      <c r="D97" s="56"/>
      <c r="E97" s="56"/>
      <c r="F97" s="56"/>
      <c r="G97" s="56"/>
      <c r="H97" s="56"/>
      <c r="I97" s="56"/>
      <c r="J97" s="56"/>
    </row>
    <row r="98" spans="3:10" x14ac:dyDescent="0.2">
      <c r="C98" s="30" t="s">
        <v>279</v>
      </c>
    </row>
    <row r="99" spans="3:10" x14ac:dyDescent="0.2">
      <c r="C99" s="65" t="s">
        <v>280</v>
      </c>
      <c r="D99" s="56"/>
      <c r="E99" s="56"/>
      <c r="F99" s="56"/>
      <c r="G99" s="56"/>
      <c r="H99" s="56"/>
      <c r="I99" s="56"/>
    </row>
    <row r="100" spans="3:10" x14ac:dyDescent="0.2">
      <c r="C100" s="30" t="str">
        <f>"4) Determine the PBOPs exclusion.  The authorized amount of PBOPs expense (line "&amp;B68&amp;") may only be revised"</f>
        <v>4) Determine the PBOPs exclusion.  The authorized amount of PBOPs expense (line a) may only be revised</v>
      </c>
    </row>
    <row r="101" spans="3:10" x14ac:dyDescent="0.2">
      <c r="C101" s="30" t="s">
        <v>281</v>
      </c>
    </row>
    <row r="102" spans="3:10" x14ac:dyDescent="0.2">
      <c r="C102" s="30" t="s">
        <v>282</v>
      </c>
    </row>
    <row r="103" spans="3:10" x14ac:dyDescent="0.2">
      <c r="C103" s="30" t="s">
        <v>283</v>
      </c>
      <c r="I103" s="59" t="s">
        <v>306</v>
      </c>
      <c r="J103" s="59"/>
    </row>
    <row r="104" spans="3:10" x14ac:dyDescent="0.2">
      <c r="C104" s="30" t="s">
        <v>284</v>
      </c>
    </row>
    <row r="105" spans="3:10" x14ac:dyDescent="0.2">
      <c r="C105" s="30" t="s">
        <v>289</v>
      </c>
    </row>
    <row r="106" spans="3:10" x14ac:dyDescent="0.2">
      <c r="C106" s="30" t="s">
        <v>290</v>
      </c>
    </row>
    <row r="107" spans="3:10" x14ac:dyDescent="0.2">
      <c r="C107" s="30" t="s">
        <v>291</v>
      </c>
    </row>
    <row r="108" spans="3:10" x14ac:dyDescent="0.2">
      <c r="C108" s="30" t="s">
        <v>292</v>
      </c>
    </row>
    <row r="109" spans="3:10" x14ac:dyDescent="0.2">
      <c r="C109" s="30" t="s">
        <v>293</v>
      </c>
    </row>
    <row r="110" spans="3:10" x14ac:dyDescent="0.2">
      <c r="C110" s="156"/>
    </row>
  </sheetData>
  <pageMargins left="0.75" right="0.75" top="1" bottom="1" header="0.5" footer="0.5"/>
  <pageSetup scale="68" orientation="landscape" cellComments="asDisplayed" r:id="rId1"/>
  <headerFooter alignWithMargins="0">
    <oddHeader>&amp;CSchedule 20
Administrative and General Expenses
(Revised 2020 True Up TRR)&amp;RTO2024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24C42-0801-4E43-83EC-933E7DE404C0}">
  <sheetPr>
    <tabColor rgb="FFFFFFCC"/>
  </sheetPr>
  <dimension ref="A1:I42"/>
  <sheetViews>
    <sheetView zoomScaleNormal="100" workbookViewId="0"/>
  </sheetViews>
  <sheetFormatPr defaultRowHeight="12.75" x14ac:dyDescent="0.2"/>
  <cols>
    <col min="1" max="1" width="4.5703125" customWidth="1"/>
    <col min="2" max="2" width="3.5703125" customWidth="1"/>
    <col min="3" max="6" width="10.5703125" customWidth="1"/>
    <col min="7" max="7" width="9.42578125" bestFit="1" customWidth="1"/>
    <col min="8" max="8" width="4.5703125" customWidth="1"/>
    <col min="9" max="9" width="35.5703125" customWidth="1"/>
  </cols>
  <sheetData>
    <row r="1" spans="1:9" x14ac:dyDescent="0.2">
      <c r="A1" s="159" t="s">
        <v>310</v>
      </c>
    </row>
    <row r="2" spans="1:9" x14ac:dyDescent="0.2">
      <c r="C2" s="295"/>
      <c r="D2" s="159" t="s">
        <v>285</v>
      </c>
      <c r="E2" s="181" t="s">
        <v>311</v>
      </c>
      <c r="F2" s="296"/>
    </row>
    <row r="3" spans="1:9" x14ac:dyDescent="0.2">
      <c r="B3" s="159" t="s">
        <v>312</v>
      </c>
      <c r="I3" s="161" t="s">
        <v>171</v>
      </c>
    </row>
    <row r="4" spans="1:9" x14ac:dyDescent="0.2">
      <c r="B4" s="159"/>
    </row>
    <row r="5" spans="1:9" x14ac:dyDescent="0.2">
      <c r="E5" s="164" t="s">
        <v>313</v>
      </c>
    </row>
    <row r="6" spans="1:9" x14ac:dyDescent="0.2">
      <c r="A6" s="188" t="s">
        <v>308</v>
      </c>
      <c r="C6" s="166" t="s">
        <v>111</v>
      </c>
      <c r="D6" s="166" t="s">
        <v>112</v>
      </c>
      <c r="E6" s="188" t="s">
        <v>314</v>
      </c>
      <c r="G6" s="166" t="s">
        <v>315</v>
      </c>
      <c r="I6" s="188" t="s">
        <v>316</v>
      </c>
    </row>
    <row r="7" spans="1:9" x14ac:dyDescent="0.2">
      <c r="A7" s="164">
        <v>1</v>
      </c>
      <c r="C7" s="297">
        <v>2020</v>
      </c>
      <c r="D7" s="202" t="s">
        <v>317</v>
      </c>
      <c r="E7" s="298">
        <v>366</v>
      </c>
      <c r="G7" s="299">
        <v>9.2480778683301876E-3</v>
      </c>
      <c r="I7" s="300" t="s">
        <v>318</v>
      </c>
    </row>
    <row r="8" spans="1:9" x14ac:dyDescent="0.2">
      <c r="A8" s="164">
        <v>2</v>
      </c>
      <c r="C8" s="161"/>
      <c r="D8" s="161"/>
      <c r="E8" s="161"/>
      <c r="G8" s="161"/>
      <c r="I8" s="181"/>
    </row>
    <row r="10" spans="1:9" x14ac:dyDescent="0.2">
      <c r="B10" s="159" t="s">
        <v>319</v>
      </c>
    </row>
    <row r="11" spans="1:9" x14ac:dyDescent="0.2">
      <c r="B11" s="159"/>
    </row>
    <row r="12" spans="1:9" x14ac:dyDescent="0.2">
      <c r="E12" s="164" t="s">
        <v>313</v>
      </c>
    </row>
    <row r="13" spans="1:9" ht="13.5" thickBot="1" x14ac:dyDescent="0.25">
      <c r="C13" s="166" t="s">
        <v>111</v>
      </c>
      <c r="D13" s="166" t="s">
        <v>112</v>
      </c>
      <c r="E13" s="188" t="s">
        <v>314</v>
      </c>
      <c r="G13" s="166" t="s">
        <v>320</v>
      </c>
      <c r="I13" s="188" t="s">
        <v>316</v>
      </c>
    </row>
    <row r="14" spans="1:9" ht="13.5" thickBot="1" x14ac:dyDescent="0.25">
      <c r="A14" s="164">
        <v>3</v>
      </c>
      <c r="C14" s="297">
        <v>2020</v>
      </c>
      <c r="D14" s="298" t="s">
        <v>317</v>
      </c>
      <c r="E14" s="298">
        <v>366</v>
      </c>
      <c r="G14" s="301">
        <v>1.1377548476994565E-2</v>
      </c>
      <c r="I14" s="181" t="s">
        <v>321</v>
      </c>
    </row>
    <row r="15" spans="1:9" x14ac:dyDescent="0.2">
      <c r="A15" s="164">
        <v>4</v>
      </c>
      <c r="C15" s="297"/>
      <c r="D15" s="161"/>
      <c r="E15" s="161"/>
      <c r="G15" s="302"/>
      <c r="I15" s="181"/>
    </row>
    <row r="18" spans="1:9" x14ac:dyDescent="0.2">
      <c r="B18" s="159" t="s">
        <v>322</v>
      </c>
    </row>
    <row r="19" spans="1:9" x14ac:dyDescent="0.2">
      <c r="B19" s="159"/>
    </row>
    <row r="20" spans="1:9" x14ac:dyDescent="0.2">
      <c r="C20" s="164" t="s">
        <v>323</v>
      </c>
      <c r="D20" s="164"/>
      <c r="E20" s="164"/>
    </row>
    <row r="21" spans="1:9" x14ac:dyDescent="0.2">
      <c r="C21" s="166" t="s">
        <v>17</v>
      </c>
      <c r="D21" s="166" t="s">
        <v>315</v>
      </c>
      <c r="E21" s="166" t="s">
        <v>320</v>
      </c>
      <c r="I21" s="188" t="s">
        <v>42</v>
      </c>
    </row>
    <row r="22" spans="1:9" x14ac:dyDescent="0.2">
      <c r="A22" s="164">
        <v>5</v>
      </c>
      <c r="C22" s="298">
        <v>2020</v>
      </c>
      <c r="D22" s="303">
        <f>E41</f>
        <v>9.2480778683301876E-3</v>
      </c>
      <c r="E22" s="303">
        <f>E42</f>
        <v>1.1377548476994567E-2</v>
      </c>
      <c r="I22" s="169" t="s">
        <v>324</v>
      </c>
    </row>
    <row r="24" spans="1:9" x14ac:dyDescent="0.2">
      <c r="B24" s="159" t="s">
        <v>152</v>
      </c>
    </row>
    <row r="25" spans="1:9" x14ac:dyDescent="0.2">
      <c r="B25" s="169" t="s">
        <v>325</v>
      </c>
    </row>
    <row r="26" spans="1:9" x14ac:dyDescent="0.2">
      <c r="B26" s="169" t="s">
        <v>326</v>
      </c>
    </row>
    <row r="28" spans="1:9" x14ac:dyDescent="0.2">
      <c r="B28" s="159" t="s">
        <v>104</v>
      </c>
    </row>
    <row r="29" spans="1:9" x14ac:dyDescent="0.2">
      <c r="B29" s="169" t="s">
        <v>327</v>
      </c>
    </row>
    <row r="30" spans="1:9" x14ac:dyDescent="0.2">
      <c r="B30" s="169" t="s">
        <v>328</v>
      </c>
    </row>
    <row r="31" spans="1:9" x14ac:dyDescent="0.2">
      <c r="B31" s="169" t="s">
        <v>329</v>
      </c>
    </row>
    <row r="32" spans="1:9" x14ac:dyDescent="0.2">
      <c r="B32" s="169" t="s">
        <v>330</v>
      </c>
    </row>
    <row r="33" spans="2:7" x14ac:dyDescent="0.2">
      <c r="B33" s="169" t="s">
        <v>331</v>
      </c>
    </row>
    <row r="34" spans="2:7" x14ac:dyDescent="0.2">
      <c r="B34" s="169" t="s">
        <v>332</v>
      </c>
    </row>
    <row r="35" spans="2:7" x14ac:dyDescent="0.2">
      <c r="B35" s="169" t="s">
        <v>333</v>
      </c>
    </row>
    <row r="36" spans="2:7" x14ac:dyDescent="0.2">
      <c r="B36" s="169" t="s">
        <v>334</v>
      </c>
    </row>
    <row r="37" spans="2:7" x14ac:dyDescent="0.2">
      <c r="B37" s="169" t="s">
        <v>335</v>
      </c>
    </row>
    <row r="38" spans="2:7" x14ac:dyDescent="0.2">
      <c r="B38" s="169" t="s">
        <v>336</v>
      </c>
    </row>
    <row r="40" spans="2:7" x14ac:dyDescent="0.2">
      <c r="E40" s="166" t="s">
        <v>337</v>
      </c>
      <c r="G40" s="188" t="s">
        <v>37</v>
      </c>
    </row>
    <row r="41" spans="2:7" x14ac:dyDescent="0.2">
      <c r="D41" s="175" t="s">
        <v>338</v>
      </c>
      <c r="E41" s="303">
        <f>((G7*E7) + (G8*E8))/(E7+E8)</f>
        <v>9.2480778683301876E-3</v>
      </c>
      <c r="G41" s="291" t="s">
        <v>339</v>
      </c>
    </row>
    <row r="42" spans="2:7" x14ac:dyDescent="0.2">
      <c r="D42" s="175" t="s">
        <v>340</v>
      </c>
      <c r="E42" s="303">
        <f>((G14*E14) + (G15*E15))/(E14+E15)</f>
        <v>1.1377548476994567E-2</v>
      </c>
      <c r="G42" s="291" t="s">
        <v>341</v>
      </c>
    </row>
  </sheetData>
  <pageMargins left="0.75" right="0.75" top="1" bottom="1" header="0.5" footer="0.5"/>
  <pageSetup scale="82" orientation="portrait" cellComments="asDisplayed" r:id="rId1"/>
  <headerFooter alignWithMargins="0">
    <oddHeader>&amp;CSchedule 28
FF and U
(Revised 2020 True Up TRR)&amp;RTO2024 Annual Update
Attachment 4
WP-Schedule 3-One Time Adj Prior Period
Page &amp;P of &amp;N</oddHeader>
    <oddFooter>&amp;R&amp;A</odd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312D5-73FF-4D0B-AD7F-4D0172634FD2}">
  <sheetPr>
    <tabColor rgb="FFFFCC99"/>
  </sheetPr>
  <dimension ref="A2:H17"/>
  <sheetViews>
    <sheetView zoomScaleNormal="100" workbookViewId="0"/>
  </sheetViews>
  <sheetFormatPr defaultColWidth="9.140625" defaultRowHeight="15" x14ac:dyDescent="0.25"/>
  <cols>
    <col min="1" max="2" width="9.140625" style="27"/>
    <col min="3" max="3" width="18.5703125" style="27" customWidth="1"/>
    <col min="4" max="4" width="14.28515625" style="27" bestFit="1" customWidth="1"/>
    <col min="5" max="5" width="12.5703125" style="27" customWidth="1"/>
    <col min="6" max="6" width="12" style="27" customWidth="1"/>
    <col min="7" max="7" width="13.85546875" style="27" customWidth="1"/>
    <col min="8" max="16384" width="9.140625" style="27"/>
  </cols>
  <sheetData>
    <row r="2" spans="1:8" ht="21" customHeight="1" x14ac:dyDescent="0.25"/>
    <row r="3" spans="1:8" ht="15" customHeight="1" x14ac:dyDescent="0.25">
      <c r="A3" s="335" t="s">
        <v>410</v>
      </c>
      <c r="B3" s="335"/>
      <c r="C3" s="335"/>
      <c r="D3" s="335"/>
      <c r="E3" s="335"/>
      <c r="F3" s="335"/>
      <c r="G3" s="335"/>
    </row>
    <row r="4" spans="1:8" ht="15" customHeight="1" x14ac:dyDescent="0.25">
      <c r="A4" s="335"/>
      <c r="B4" s="335"/>
      <c r="C4" s="335"/>
      <c r="D4" s="335"/>
      <c r="E4" s="335"/>
      <c r="F4" s="335"/>
      <c r="G4" s="335"/>
    </row>
    <row r="5" spans="1:8" x14ac:dyDescent="0.25">
      <c r="A5" s="336" t="s">
        <v>31</v>
      </c>
      <c r="B5" s="336"/>
      <c r="C5" s="336"/>
      <c r="D5" s="86" t="s">
        <v>32</v>
      </c>
      <c r="E5" s="337" t="s">
        <v>33</v>
      </c>
      <c r="F5" s="337"/>
      <c r="G5" s="337"/>
    </row>
    <row r="6" spans="1:8" ht="49.5" customHeight="1" x14ac:dyDescent="0.25">
      <c r="A6" s="344" t="s">
        <v>411</v>
      </c>
      <c r="B6" s="338"/>
      <c r="C6" s="339"/>
      <c r="D6" s="28">
        <f>'WP-2021 TO2023 Sch4-TUTRR'!E74</f>
        <v>1233990856.5096664</v>
      </c>
      <c r="E6" s="340" t="s">
        <v>442</v>
      </c>
      <c r="F6" s="340"/>
      <c r="G6" s="340"/>
    </row>
    <row r="7" spans="1:8" ht="50.25" customHeight="1" x14ac:dyDescent="0.25">
      <c r="A7" s="344" t="s">
        <v>412</v>
      </c>
      <c r="B7" s="326"/>
      <c r="C7" s="327"/>
      <c r="D7" s="28">
        <f>'WP-2021 TO2023 Sch4-TUTRR'!J71</f>
        <v>1234012536.9533474</v>
      </c>
      <c r="E7" s="340" t="s">
        <v>445</v>
      </c>
      <c r="F7" s="340"/>
      <c r="G7" s="340"/>
    </row>
    <row r="8" spans="1:8" x14ac:dyDescent="0.25">
      <c r="A8" s="330" t="s">
        <v>34</v>
      </c>
      <c r="B8" s="330"/>
      <c r="C8" s="331"/>
      <c r="D8" s="270">
        <f>D6-D7</f>
        <v>-21680.443681001663</v>
      </c>
      <c r="E8" s="332"/>
      <c r="F8" s="332"/>
      <c r="G8" s="332"/>
    </row>
    <row r="11" spans="1:8" x14ac:dyDescent="0.25">
      <c r="A11" s="115" t="s">
        <v>141</v>
      </c>
    </row>
    <row r="12" spans="1:8" ht="27.95" customHeight="1" x14ac:dyDescent="0.25">
      <c r="A12" s="352" t="s">
        <v>441</v>
      </c>
      <c r="B12" s="353"/>
      <c r="C12" s="353"/>
      <c r="D12" s="353"/>
      <c r="E12" s="353"/>
      <c r="F12" s="353"/>
      <c r="G12" s="353"/>
      <c r="H12" s="114"/>
    </row>
    <row r="13" spans="1:8" x14ac:dyDescent="0.25">
      <c r="A13" s="374" t="s">
        <v>404</v>
      </c>
      <c r="B13" s="309"/>
      <c r="C13" s="309"/>
      <c r="D13" s="309"/>
      <c r="E13" s="309"/>
      <c r="F13" s="309"/>
      <c r="G13" s="309"/>
    </row>
    <row r="16" spans="1:8" x14ac:dyDescent="0.25">
      <c r="A16" s="203"/>
    </row>
    <row r="17" spans="1:1" x14ac:dyDescent="0.25">
      <c r="A17" s="203"/>
    </row>
  </sheetData>
  <mergeCells count="11">
    <mergeCell ref="A8:C8"/>
    <mergeCell ref="E8:G8"/>
    <mergeCell ref="A12:G12"/>
    <mergeCell ref="A13:G13"/>
    <mergeCell ref="A3:G4"/>
    <mergeCell ref="A5:C5"/>
    <mergeCell ref="E5:G5"/>
    <mergeCell ref="A6:C6"/>
    <mergeCell ref="E6:G6"/>
    <mergeCell ref="A7:C7"/>
    <mergeCell ref="E7:G7"/>
  </mergeCells>
  <pageMargins left="0.7" right="0.7" top="0.75" bottom="0.75" header="0.3" footer="0.3"/>
  <pageSetup orientation="portrait" r:id="rId1"/>
  <headerFooter>
    <oddHeader>&amp;RTO2024 Annual Update
Attachment 4
WP-Schedule 3-One Time Adj Prior Period
Page &amp;P of &amp;N</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91"/>
  <sheetViews>
    <sheetView zoomScaleNormal="100" zoomScaleSheetLayoutView="80" workbookViewId="0"/>
  </sheetViews>
  <sheetFormatPr defaultColWidth="9.140625" defaultRowHeight="15" x14ac:dyDescent="0.25"/>
  <cols>
    <col min="1" max="1" width="11.5703125" style="1" customWidth="1"/>
    <col min="2" max="2" width="9.140625" style="1"/>
    <col min="3" max="3" width="8.28515625" style="1" bestFit="1" customWidth="1"/>
    <col min="4" max="4" width="15.5703125" style="1" customWidth="1"/>
    <col min="5" max="5" width="14.140625" style="1" customWidth="1"/>
    <col min="6" max="6" width="13.7109375" style="1" customWidth="1"/>
    <col min="7" max="7" width="13.5703125" style="1" customWidth="1"/>
    <col min="8" max="8" width="15.5703125" style="1" customWidth="1"/>
    <col min="9" max="9" width="14.140625" style="1" customWidth="1"/>
    <col min="10" max="10" width="17.7109375" style="1" customWidth="1"/>
    <col min="11" max="11" width="14.140625" style="1" customWidth="1"/>
    <col min="12" max="12" width="14.5703125" style="1" bestFit="1" customWidth="1"/>
    <col min="13" max="13" width="13.5703125" style="1" bestFit="1" customWidth="1"/>
    <col min="14" max="14" width="15" style="1" customWidth="1"/>
    <col min="15" max="16" width="14.85546875" style="1" customWidth="1"/>
    <col min="17" max="17" width="15.42578125" style="1" customWidth="1"/>
    <col min="18" max="18" width="10.7109375" style="1" customWidth="1"/>
    <col min="19" max="19" width="15.140625" style="1" customWidth="1"/>
    <col min="20" max="20" width="15.42578125" style="1" customWidth="1"/>
    <col min="21" max="21" width="13.28515625" style="1" customWidth="1"/>
    <col min="22" max="22" width="11.85546875" style="1" customWidth="1"/>
    <col min="23" max="23" width="15.42578125" style="1" customWidth="1"/>
    <col min="24" max="16384" width="9.140625" style="1"/>
  </cols>
  <sheetData>
    <row r="1" spans="1:23" x14ac:dyDescent="0.25">
      <c r="A1" s="89"/>
      <c r="B1" s="89"/>
      <c r="C1" s="89"/>
      <c r="D1" s="89"/>
      <c r="E1" s="89"/>
      <c r="F1" s="89"/>
      <c r="G1" s="89"/>
      <c r="H1" s="89"/>
      <c r="I1" s="89"/>
      <c r="J1" s="89"/>
      <c r="K1" s="89"/>
    </row>
    <row r="2" spans="1:23" x14ac:dyDescent="0.25">
      <c r="A2" s="89"/>
      <c r="B2" s="89"/>
      <c r="C2" s="89"/>
      <c r="D2" s="89"/>
      <c r="E2" s="89"/>
      <c r="F2" s="89"/>
      <c r="G2" s="89"/>
      <c r="H2" s="89"/>
      <c r="I2" s="89"/>
      <c r="J2" s="89"/>
      <c r="K2" s="89"/>
    </row>
    <row r="3" spans="1:23" x14ac:dyDescent="0.25">
      <c r="A3" s="321" t="s">
        <v>27</v>
      </c>
      <c r="B3" s="322"/>
      <c r="C3" s="322"/>
      <c r="D3" s="322"/>
      <c r="E3" s="322"/>
      <c r="F3" s="322"/>
      <c r="G3" s="322"/>
      <c r="H3" s="322"/>
      <c r="I3" s="322"/>
      <c r="J3" s="322"/>
      <c r="K3" s="322"/>
      <c r="L3" s="322"/>
      <c r="M3" s="322"/>
      <c r="N3" s="322"/>
      <c r="O3" s="322"/>
      <c r="P3" s="322"/>
      <c r="Q3" s="322"/>
      <c r="R3" s="322"/>
      <c r="S3" s="322"/>
      <c r="T3" s="322"/>
      <c r="U3" s="322"/>
      <c r="V3" s="322"/>
      <c r="W3" s="322"/>
    </row>
    <row r="4" spans="1:23" ht="15.75" thickBot="1" x14ac:dyDescent="0.3">
      <c r="A4" s="323"/>
      <c r="B4" s="324"/>
      <c r="C4" s="324"/>
      <c r="D4" s="324"/>
      <c r="E4" s="324"/>
      <c r="F4" s="324"/>
      <c r="G4" s="324"/>
      <c r="H4" s="324"/>
      <c r="I4" s="324"/>
      <c r="J4" s="324"/>
      <c r="K4" s="324"/>
      <c r="L4" s="324"/>
      <c r="M4" s="324"/>
      <c r="N4" s="324"/>
      <c r="O4" s="324"/>
      <c r="P4" s="324"/>
      <c r="Q4" s="324"/>
      <c r="R4" s="324"/>
      <c r="S4" s="324"/>
      <c r="T4" s="324"/>
      <c r="U4" s="324"/>
      <c r="V4" s="324"/>
      <c r="W4" s="324"/>
    </row>
    <row r="5" spans="1:23" ht="32.25" customHeight="1" thickBot="1" x14ac:dyDescent="0.3">
      <c r="A5" s="318" t="s">
        <v>345</v>
      </c>
      <c r="B5" s="319"/>
      <c r="C5" s="319"/>
      <c r="D5" s="319"/>
      <c r="E5" s="319"/>
      <c r="F5" s="319"/>
      <c r="G5" s="320"/>
      <c r="H5" s="318" t="s">
        <v>346</v>
      </c>
      <c r="I5" s="319"/>
      <c r="J5" s="319"/>
      <c r="K5" s="320"/>
      <c r="L5" s="318" t="s">
        <v>158</v>
      </c>
      <c r="M5" s="319"/>
      <c r="N5" s="319"/>
      <c r="O5" s="320"/>
      <c r="P5" s="318" t="s">
        <v>301</v>
      </c>
      <c r="Q5" s="319"/>
      <c r="R5" s="319"/>
      <c r="S5" s="320"/>
      <c r="T5" s="318" t="s">
        <v>347</v>
      </c>
      <c r="U5" s="319"/>
      <c r="V5" s="319"/>
      <c r="W5" s="320"/>
    </row>
    <row r="6" spans="1:23" ht="15" customHeight="1" x14ac:dyDescent="0.25">
      <c r="A6" s="90"/>
      <c r="B6" s="91"/>
      <c r="C6" s="91"/>
      <c r="D6" s="91"/>
      <c r="E6" s="94" t="s">
        <v>19</v>
      </c>
      <c r="F6" s="95"/>
      <c r="G6" s="96"/>
      <c r="H6" s="89"/>
      <c r="I6" s="97" t="s">
        <v>19</v>
      </c>
      <c r="J6" s="98"/>
      <c r="K6" s="99"/>
      <c r="L6" s="89"/>
      <c r="M6" s="97" t="s">
        <v>19</v>
      </c>
      <c r="N6" s="98"/>
      <c r="O6" s="99"/>
      <c r="P6" s="89"/>
      <c r="Q6" s="97" t="s">
        <v>19</v>
      </c>
      <c r="R6" s="98"/>
      <c r="S6" s="99"/>
      <c r="T6" s="89"/>
      <c r="U6" s="97" t="s">
        <v>19</v>
      </c>
      <c r="V6" s="98"/>
      <c r="W6" s="99"/>
    </row>
    <row r="7" spans="1:23" ht="15" customHeight="1" x14ac:dyDescent="0.25">
      <c r="A7" s="92"/>
      <c r="B7" s="89"/>
      <c r="C7" s="89"/>
      <c r="D7" s="89"/>
      <c r="E7" s="97" t="s">
        <v>4</v>
      </c>
      <c r="F7" s="89"/>
      <c r="G7" s="100" t="s">
        <v>19</v>
      </c>
      <c r="H7" s="89"/>
      <c r="I7" s="97" t="s">
        <v>4</v>
      </c>
      <c r="J7" s="89"/>
      <c r="K7" s="100" t="s">
        <v>19</v>
      </c>
      <c r="L7" s="89"/>
      <c r="M7" s="97" t="s">
        <v>4</v>
      </c>
      <c r="N7" s="89"/>
      <c r="O7" s="100" t="s">
        <v>19</v>
      </c>
      <c r="P7" s="89"/>
      <c r="Q7" s="97" t="s">
        <v>4</v>
      </c>
      <c r="R7" s="89"/>
      <c r="S7" s="100" t="s">
        <v>19</v>
      </c>
      <c r="T7" s="89"/>
      <c r="U7" s="97" t="s">
        <v>4</v>
      </c>
      <c r="V7" s="89"/>
      <c r="W7" s="100" t="s">
        <v>19</v>
      </c>
    </row>
    <row r="8" spans="1:23" ht="15" customHeight="1" x14ac:dyDescent="0.25">
      <c r="A8" s="92"/>
      <c r="B8" s="89"/>
      <c r="C8" s="89"/>
      <c r="D8" s="89"/>
      <c r="E8" s="97" t="s">
        <v>5</v>
      </c>
      <c r="F8" s="89"/>
      <c r="G8" s="100" t="s">
        <v>4</v>
      </c>
      <c r="H8" s="89"/>
      <c r="I8" s="97" t="s">
        <v>5</v>
      </c>
      <c r="J8" s="89"/>
      <c r="K8" s="100" t="s">
        <v>4</v>
      </c>
      <c r="L8" s="89"/>
      <c r="M8" s="97" t="s">
        <v>5</v>
      </c>
      <c r="N8" s="89"/>
      <c r="O8" s="100" t="s">
        <v>4</v>
      </c>
      <c r="P8" s="89"/>
      <c r="Q8" s="97" t="s">
        <v>5</v>
      </c>
      <c r="R8" s="89"/>
      <c r="S8" s="100" t="s">
        <v>4</v>
      </c>
      <c r="T8" s="89"/>
      <c r="U8" s="97" t="s">
        <v>5</v>
      </c>
      <c r="V8" s="89"/>
      <c r="W8" s="100" t="s">
        <v>4</v>
      </c>
    </row>
    <row r="9" spans="1:23" ht="15" customHeight="1" x14ac:dyDescent="0.25">
      <c r="A9" s="101"/>
      <c r="B9" s="3"/>
      <c r="C9" s="102" t="s">
        <v>1</v>
      </c>
      <c r="D9" s="97" t="s">
        <v>1</v>
      </c>
      <c r="E9" s="97" t="s">
        <v>2</v>
      </c>
      <c r="F9" s="2" t="s">
        <v>3</v>
      </c>
      <c r="G9" s="100" t="s">
        <v>5</v>
      </c>
      <c r="H9" s="97" t="s">
        <v>1</v>
      </c>
      <c r="I9" s="97" t="s">
        <v>2</v>
      </c>
      <c r="J9" s="2" t="s">
        <v>3</v>
      </c>
      <c r="K9" s="100" t="s">
        <v>5</v>
      </c>
      <c r="L9" s="97" t="s">
        <v>1</v>
      </c>
      <c r="M9" s="97" t="s">
        <v>2</v>
      </c>
      <c r="N9" s="2" t="s">
        <v>3</v>
      </c>
      <c r="O9" s="100" t="s">
        <v>5</v>
      </c>
      <c r="P9" s="97" t="s">
        <v>1</v>
      </c>
      <c r="Q9" s="97" t="s">
        <v>2</v>
      </c>
      <c r="R9" s="2" t="s">
        <v>3</v>
      </c>
      <c r="S9" s="100" t="s">
        <v>5</v>
      </c>
      <c r="T9" s="97" t="s">
        <v>1</v>
      </c>
      <c r="U9" s="97" t="s">
        <v>2</v>
      </c>
      <c r="V9" s="2" t="s">
        <v>3</v>
      </c>
      <c r="W9" s="100" t="s">
        <v>5</v>
      </c>
    </row>
    <row r="10" spans="1:23" ht="15" customHeight="1" x14ac:dyDescent="0.25">
      <c r="A10" s="101"/>
      <c r="B10" s="3"/>
      <c r="C10" s="2" t="s">
        <v>3</v>
      </c>
      <c r="D10" s="97" t="s">
        <v>20</v>
      </c>
      <c r="E10" s="97" t="s">
        <v>22</v>
      </c>
      <c r="F10" s="97" t="s">
        <v>23</v>
      </c>
      <c r="G10" s="100" t="s">
        <v>2</v>
      </c>
      <c r="H10" s="97" t="s">
        <v>20</v>
      </c>
      <c r="I10" s="97" t="s">
        <v>22</v>
      </c>
      <c r="J10" s="97" t="s">
        <v>23</v>
      </c>
      <c r="K10" s="100" t="s">
        <v>2</v>
      </c>
      <c r="L10" s="97" t="s">
        <v>20</v>
      </c>
      <c r="M10" s="97" t="s">
        <v>22</v>
      </c>
      <c r="N10" s="97" t="s">
        <v>23</v>
      </c>
      <c r="O10" s="100" t="s">
        <v>2</v>
      </c>
      <c r="P10" s="97" t="s">
        <v>20</v>
      </c>
      <c r="Q10" s="97" t="s">
        <v>22</v>
      </c>
      <c r="R10" s="97" t="s">
        <v>23</v>
      </c>
      <c r="S10" s="100" t="s">
        <v>2</v>
      </c>
      <c r="T10" s="97" t="s">
        <v>20</v>
      </c>
      <c r="U10" s="97" t="s">
        <v>22</v>
      </c>
      <c r="V10" s="97" t="s">
        <v>23</v>
      </c>
      <c r="W10" s="100" t="s">
        <v>2</v>
      </c>
    </row>
    <row r="11" spans="1:23" ht="15.75" customHeight="1" x14ac:dyDescent="0.25">
      <c r="A11" s="103" t="s">
        <v>16</v>
      </c>
      <c r="B11" s="104" t="s">
        <v>17</v>
      </c>
      <c r="C11" s="104" t="s">
        <v>0</v>
      </c>
      <c r="D11" s="105" t="s">
        <v>26</v>
      </c>
      <c r="E11" s="105" t="s">
        <v>24</v>
      </c>
      <c r="F11" s="105" t="s">
        <v>16</v>
      </c>
      <c r="G11" s="106" t="s">
        <v>21</v>
      </c>
      <c r="H11" s="105" t="s">
        <v>26</v>
      </c>
      <c r="I11" s="105" t="s">
        <v>24</v>
      </c>
      <c r="J11" s="105" t="s">
        <v>16</v>
      </c>
      <c r="K11" s="106" t="s">
        <v>21</v>
      </c>
      <c r="L11" s="105" t="s">
        <v>26</v>
      </c>
      <c r="M11" s="105" t="s">
        <v>24</v>
      </c>
      <c r="N11" s="105" t="s">
        <v>16</v>
      </c>
      <c r="O11" s="106" t="s">
        <v>21</v>
      </c>
      <c r="P11" s="105" t="s">
        <v>26</v>
      </c>
      <c r="Q11" s="105" t="s">
        <v>24</v>
      </c>
      <c r="R11" s="105" t="s">
        <v>16</v>
      </c>
      <c r="S11" s="106" t="s">
        <v>21</v>
      </c>
      <c r="T11" s="105" t="s">
        <v>26</v>
      </c>
      <c r="U11" s="105" t="s">
        <v>24</v>
      </c>
      <c r="V11" s="105" t="s">
        <v>16</v>
      </c>
      <c r="W11" s="106" t="s">
        <v>21</v>
      </c>
    </row>
    <row r="12" spans="1:23" ht="15.75" customHeight="1" x14ac:dyDescent="0.25">
      <c r="A12" s="225" t="s">
        <v>7</v>
      </c>
      <c r="B12" s="226" t="s">
        <v>343</v>
      </c>
      <c r="C12" s="304">
        <v>2.8999999999999998E-3</v>
      </c>
      <c r="D12" s="227">
        <f>'WP-2017 True Up TRR Adj'!D8/12</f>
        <v>-421.01557275652885</v>
      </c>
      <c r="E12" s="228">
        <f>D12</f>
        <v>-421.01557275652885</v>
      </c>
      <c r="F12" s="228">
        <f>((E12)/2)*$C12</f>
        <v>-0.61047258049696684</v>
      </c>
      <c r="G12" s="229">
        <f>E12+F12</f>
        <v>-421.6260453370258</v>
      </c>
      <c r="H12" s="107">
        <v>0</v>
      </c>
      <c r="I12" s="228">
        <f>H12</f>
        <v>0</v>
      </c>
      <c r="J12" s="228">
        <f>((I12)/2)*$C12</f>
        <v>0</v>
      </c>
      <c r="K12" s="229">
        <f>I12+J12</f>
        <v>0</v>
      </c>
      <c r="L12" s="107">
        <v>0</v>
      </c>
      <c r="M12" s="228">
        <f>L12</f>
        <v>0</v>
      </c>
      <c r="N12" s="228">
        <f>((M12)/2)*$C12</f>
        <v>0</v>
      </c>
      <c r="O12" s="229">
        <f>M12+N12</f>
        <v>0</v>
      </c>
      <c r="P12" s="107">
        <v>0</v>
      </c>
      <c r="Q12" s="228">
        <f>P12</f>
        <v>0</v>
      </c>
      <c r="R12" s="228">
        <f>((Q12)/2)*$C12</f>
        <v>0</v>
      </c>
      <c r="S12" s="229">
        <f>Q12+R12</f>
        <v>0</v>
      </c>
      <c r="T12" s="230"/>
      <c r="U12" s="228">
        <f>T12</f>
        <v>0</v>
      </c>
      <c r="V12" s="228">
        <f>((U12)/2)*$C12</f>
        <v>0</v>
      </c>
      <c r="W12" s="229">
        <f>U12+V12</f>
        <v>0</v>
      </c>
    </row>
    <row r="13" spans="1:23" ht="15.75" customHeight="1" x14ac:dyDescent="0.25">
      <c r="A13" s="225" t="s">
        <v>8</v>
      </c>
      <c r="B13" s="226" t="s">
        <v>343</v>
      </c>
      <c r="C13" s="304">
        <v>2.8999999999999998E-3</v>
      </c>
      <c r="D13" s="227">
        <f>D12</f>
        <v>-421.01557275652885</v>
      </c>
      <c r="E13" s="228">
        <f>D13+G12</f>
        <v>-842.6416180935546</v>
      </c>
      <c r="F13" s="228">
        <f>(((E13+G12))/2)*$C13</f>
        <v>-1.8331881119743414</v>
      </c>
      <c r="G13" s="229">
        <f>E13+F13</f>
        <v>-844.47480620552892</v>
      </c>
      <c r="H13" s="107">
        <v>0</v>
      </c>
      <c r="I13" s="228">
        <f>H13+K12</f>
        <v>0</v>
      </c>
      <c r="J13" s="228">
        <f>(((I13+K12))/2)*$C13</f>
        <v>0</v>
      </c>
      <c r="K13" s="229">
        <f>I13+J13</f>
        <v>0</v>
      </c>
      <c r="L13" s="107">
        <v>0</v>
      </c>
      <c r="M13" s="228">
        <f>L13+O12</f>
        <v>0</v>
      </c>
      <c r="N13" s="228">
        <f>(((M13+O12))/2)*$C13</f>
        <v>0</v>
      </c>
      <c r="O13" s="229">
        <f>M13+N13</f>
        <v>0</v>
      </c>
      <c r="P13" s="107">
        <v>0</v>
      </c>
      <c r="Q13" s="228">
        <f>P13+S12</f>
        <v>0</v>
      </c>
      <c r="R13" s="228">
        <f>(((Q13+S12))/2)*$C13</f>
        <v>0</v>
      </c>
      <c r="S13" s="229">
        <f>Q13+R13</f>
        <v>0</v>
      </c>
      <c r="T13" s="230"/>
      <c r="U13" s="228">
        <f>T13+W12</f>
        <v>0</v>
      </c>
      <c r="V13" s="228">
        <f>(((U13+W12))/2)*$C13</f>
        <v>0</v>
      </c>
      <c r="W13" s="229">
        <f>U13+V13</f>
        <v>0</v>
      </c>
    </row>
    <row r="14" spans="1:23" ht="15.75" customHeight="1" x14ac:dyDescent="0.25">
      <c r="A14" s="225" t="s">
        <v>18</v>
      </c>
      <c r="B14" s="226" t="s">
        <v>343</v>
      </c>
      <c r="C14" s="304">
        <v>2.8999999999999998E-3</v>
      </c>
      <c r="D14" s="227">
        <f t="shared" ref="D14:D23" si="0">D13</f>
        <v>-421.01557275652885</v>
      </c>
      <c r="E14" s="228">
        <f t="shared" ref="E14:E35" si="1">D14+G13</f>
        <v>-1265.4903789620578</v>
      </c>
      <c r="F14" s="228">
        <f t="shared" ref="F14:F35" si="2">(((E14+G13))/2)*$C14</f>
        <v>-3.0594495184930004</v>
      </c>
      <c r="G14" s="229">
        <f t="shared" ref="G14:G23" si="3">E14+F14</f>
        <v>-1268.5498284805508</v>
      </c>
      <c r="H14" s="107">
        <v>0</v>
      </c>
      <c r="I14" s="228">
        <f t="shared" ref="I14:I71" si="4">H14+K13</f>
        <v>0</v>
      </c>
      <c r="J14" s="228">
        <f t="shared" ref="J14:J71" si="5">(((I14+K13))/2)*$C14</f>
        <v>0</v>
      </c>
      <c r="K14" s="229">
        <f t="shared" ref="K14:K71" si="6">I14+J14</f>
        <v>0</v>
      </c>
      <c r="L14" s="107">
        <v>0</v>
      </c>
      <c r="M14" s="228">
        <f>L14+O13</f>
        <v>0</v>
      </c>
      <c r="N14" s="228">
        <f>(((M14+O13))/2)*$C14</f>
        <v>0</v>
      </c>
      <c r="O14" s="229">
        <f>M14+N14</f>
        <v>0</v>
      </c>
      <c r="P14" s="107">
        <v>0</v>
      </c>
      <c r="Q14" s="228">
        <f>P14+S13</f>
        <v>0</v>
      </c>
      <c r="R14" s="228">
        <f>(((Q14+S13))/2)*$C14</f>
        <v>0</v>
      </c>
      <c r="S14" s="229">
        <f>Q14+R14</f>
        <v>0</v>
      </c>
      <c r="T14" s="230"/>
      <c r="U14" s="228">
        <f>T14+W13</f>
        <v>0</v>
      </c>
      <c r="V14" s="228">
        <f>(((U14+W13))/2)*$C14</f>
        <v>0</v>
      </c>
      <c r="W14" s="229">
        <f>U14+V14</f>
        <v>0</v>
      </c>
    </row>
    <row r="15" spans="1:23" ht="15.75" customHeight="1" x14ac:dyDescent="0.25">
      <c r="A15" s="225" t="s">
        <v>9</v>
      </c>
      <c r="B15" s="226" t="s">
        <v>343</v>
      </c>
      <c r="C15" s="304">
        <v>3.0999999999999999E-3</v>
      </c>
      <c r="D15" s="227">
        <f t="shared" si="0"/>
        <v>-421.01557275652885</v>
      </c>
      <c r="E15" s="228">
        <f t="shared" si="1"/>
        <v>-1689.5654012370796</v>
      </c>
      <c r="F15" s="228">
        <f t="shared" si="2"/>
        <v>-4.5850786060623268</v>
      </c>
      <c r="G15" s="229">
        <f t="shared" si="3"/>
        <v>-1694.150479843142</v>
      </c>
      <c r="H15" s="107">
        <v>0</v>
      </c>
      <c r="I15" s="228">
        <f t="shared" si="4"/>
        <v>0</v>
      </c>
      <c r="J15" s="228">
        <f t="shared" si="5"/>
        <v>0</v>
      </c>
      <c r="K15" s="229">
        <f t="shared" si="6"/>
        <v>0</v>
      </c>
      <c r="L15" s="107">
        <v>0</v>
      </c>
      <c r="M15" s="228">
        <f t="shared" ref="M15:M71" si="7">L15+O14</f>
        <v>0</v>
      </c>
      <c r="N15" s="228">
        <f t="shared" ref="N15:N71" si="8">(((M15+O14))/2)*$C15</f>
        <v>0</v>
      </c>
      <c r="O15" s="229">
        <f t="shared" ref="O15:O71" si="9">M15+N15</f>
        <v>0</v>
      </c>
      <c r="P15" s="107">
        <v>0</v>
      </c>
      <c r="Q15" s="228">
        <f t="shared" ref="Q15:Q71" si="10">P15+S14</f>
        <v>0</v>
      </c>
      <c r="R15" s="228">
        <f t="shared" ref="R15:R71" si="11">(((Q15+S14))/2)*$C15</f>
        <v>0</v>
      </c>
      <c r="S15" s="229">
        <f t="shared" ref="S15:S71" si="12">Q15+R15</f>
        <v>0</v>
      </c>
      <c r="T15" s="230"/>
      <c r="U15" s="228">
        <f t="shared" ref="U15:U71" si="13">T15+W14</f>
        <v>0</v>
      </c>
      <c r="V15" s="228">
        <f t="shared" ref="V15:V71" si="14">(((U15+W14))/2)*$C15</f>
        <v>0</v>
      </c>
      <c r="W15" s="229">
        <f t="shared" ref="W15:W71" si="15">U15+V15</f>
        <v>0</v>
      </c>
    </row>
    <row r="16" spans="1:23" ht="15.75" customHeight="1" x14ac:dyDescent="0.25">
      <c r="A16" s="225" t="s">
        <v>10</v>
      </c>
      <c r="B16" s="226" t="s">
        <v>343</v>
      </c>
      <c r="C16" s="304">
        <v>3.0999999999999999E-3</v>
      </c>
      <c r="D16" s="227">
        <f t="shared" si="0"/>
        <v>-421.01557275652885</v>
      </c>
      <c r="E16" s="228">
        <f t="shared" si="1"/>
        <v>-2115.1660525996708</v>
      </c>
      <c r="F16" s="228">
        <f t="shared" si="2"/>
        <v>-5.9044406252863597</v>
      </c>
      <c r="G16" s="229">
        <f t="shared" si="3"/>
        <v>-2121.0704932249573</v>
      </c>
      <c r="H16" s="107">
        <v>0</v>
      </c>
      <c r="I16" s="228">
        <f t="shared" si="4"/>
        <v>0</v>
      </c>
      <c r="J16" s="228">
        <f t="shared" si="5"/>
        <v>0</v>
      </c>
      <c r="K16" s="229">
        <f t="shared" si="6"/>
        <v>0</v>
      </c>
      <c r="L16" s="107">
        <v>0</v>
      </c>
      <c r="M16" s="228">
        <f t="shared" si="7"/>
        <v>0</v>
      </c>
      <c r="N16" s="228">
        <f t="shared" si="8"/>
        <v>0</v>
      </c>
      <c r="O16" s="229">
        <f t="shared" si="9"/>
        <v>0</v>
      </c>
      <c r="P16" s="107">
        <v>0</v>
      </c>
      <c r="Q16" s="228">
        <f t="shared" si="10"/>
        <v>0</v>
      </c>
      <c r="R16" s="228">
        <f t="shared" si="11"/>
        <v>0</v>
      </c>
      <c r="S16" s="229">
        <f t="shared" si="12"/>
        <v>0</v>
      </c>
      <c r="T16" s="230"/>
      <c r="U16" s="228">
        <f t="shared" si="13"/>
        <v>0</v>
      </c>
      <c r="V16" s="228">
        <f t="shared" si="14"/>
        <v>0</v>
      </c>
      <c r="W16" s="229">
        <f t="shared" si="15"/>
        <v>0</v>
      </c>
    </row>
    <row r="17" spans="1:23" ht="15.75" customHeight="1" x14ac:dyDescent="0.25">
      <c r="A17" s="225" t="s">
        <v>25</v>
      </c>
      <c r="B17" s="226" t="s">
        <v>343</v>
      </c>
      <c r="C17" s="304">
        <v>3.0999999999999999E-3</v>
      </c>
      <c r="D17" s="227">
        <f t="shared" si="0"/>
        <v>-421.01557275652885</v>
      </c>
      <c r="E17" s="228">
        <f t="shared" si="1"/>
        <v>-2542.0860659814862</v>
      </c>
      <c r="F17" s="228">
        <f t="shared" si="2"/>
        <v>-7.2278926667699874</v>
      </c>
      <c r="G17" s="229">
        <f t="shared" si="3"/>
        <v>-2549.3139586482562</v>
      </c>
      <c r="H17" s="107">
        <v>0</v>
      </c>
      <c r="I17" s="228">
        <f t="shared" si="4"/>
        <v>0</v>
      </c>
      <c r="J17" s="228">
        <f t="shared" si="5"/>
        <v>0</v>
      </c>
      <c r="K17" s="229">
        <f t="shared" si="6"/>
        <v>0</v>
      </c>
      <c r="L17" s="107">
        <v>0</v>
      </c>
      <c r="M17" s="228">
        <f t="shared" si="7"/>
        <v>0</v>
      </c>
      <c r="N17" s="228">
        <f t="shared" si="8"/>
        <v>0</v>
      </c>
      <c r="O17" s="229">
        <f t="shared" si="9"/>
        <v>0</v>
      </c>
      <c r="P17" s="107">
        <v>0</v>
      </c>
      <c r="Q17" s="228">
        <f t="shared" si="10"/>
        <v>0</v>
      </c>
      <c r="R17" s="228">
        <f t="shared" si="11"/>
        <v>0</v>
      </c>
      <c r="S17" s="229">
        <f t="shared" si="12"/>
        <v>0</v>
      </c>
      <c r="T17" s="230"/>
      <c r="U17" s="228">
        <f t="shared" si="13"/>
        <v>0</v>
      </c>
      <c r="V17" s="228">
        <f t="shared" si="14"/>
        <v>0</v>
      </c>
      <c r="W17" s="229">
        <f t="shared" si="15"/>
        <v>0</v>
      </c>
    </row>
    <row r="18" spans="1:23" ht="15.75" customHeight="1" x14ac:dyDescent="0.25">
      <c r="A18" s="225" t="s">
        <v>11</v>
      </c>
      <c r="B18" s="226" t="s">
        <v>343</v>
      </c>
      <c r="C18" s="304">
        <v>3.3E-3</v>
      </c>
      <c r="D18" s="227">
        <f t="shared" si="0"/>
        <v>-421.01557275652885</v>
      </c>
      <c r="E18" s="228">
        <f t="shared" si="1"/>
        <v>-2970.329531404785</v>
      </c>
      <c r="F18" s="228">
        <f t="shared" si="2"/>
        <v>-9.1074117585875172</v>
      </c>
      <c r="G18" s="229">
        <f t="shared" si="3"/>
        <v>-2979.4369431633727</v>
      </c>
      <c r="H18" s="107">
        <v>0</v>
      </c>
      <c r="I18" s="228">
        <f t="shared" si="4"/>
        <v>0</v>
      </c>
      <c r="J18" s="228">
        <f t="shared" si="5"/>
        <v>0</v>
      </c>
      <c r="K18" s="229">
        <f t="shared" si="6"/>
        <v>0</v>
      </c>
      <c r="L18" s="107">
        <v>0</v>
      </c>
      <c r="M18" s="228">
        <f t="shared" si="7"/>
        <v>0</v>
      </c>
      <c r="N18" s="228">
        <f t="shared" si="8"/>
        <v>0</v>
      </c>
      <c r="O18" s="229">
        <f t="shared" si="9"/>
        <v>0</v>
      </c>
      <c r="P18" s="107">
        <v>0</v>
      </c>
      <c r="Q18" s="228">
        <f t="shared" si="10"/>
        <v>0</v>
      </c>
      <c r="R18" s="228">
        <f t="shared" si="11"/>
        <v>0</v>
      </c>
      <c r="S18" s="229">
        <f t="shared" si="12"/>
        <v>0</v>
      </c>
      <c r="T18" s="230"/>
      <c r="U18" s="228">
        <f t="shared" si="13"/>
        <v>0</v>
      </c>
      <c r="V18" s="228">
        <f t="shared" si="14"/>
        <v>0</v>
      </c>
      <c r="W18" s="229">
        <f t="shared" si="15"/>
        <v>0</v>
      </c>
    </row>
    <row r="19" spans="1:23" ht="15.75" customHeight="1" x14ac:dyDescent="0.25">
      <c r="A19" s="225" t="s">
        <v>12</v>
      </c>
      <c r="B19" s="226" t="s">
        <v>343</v>
      </c>
      <c r="C19" s="304">
        <v>3.3E-3</v>
      </c>
      <c r="D19" s="227">
        <f t="shared" si="0"/>
        <v>-421.01557275652885</v>
      </c>
      <c r="E19" s="228">
        <f t="shared" si="1"/>
        <v>-3400.4525159199015</v>
      </c>
      <c r="F19" s="228">
        <f t="shared" si="2"/>
        <v>-10.526817607487402</v>
      </c>
      <c r="G19" s="229">
        <f t="shared" si="3"/>
        <v>-3410.9793335273889</v>
      </c>
      <c r="H19" s="107">
        <v>0</v>
      </c>
      <c r="I19" s="228">
        <f t="shared" si="4"/>
        <v>0</v>
      </c>
      <c r="J19" s="228">
        <f t="shared" si="5"/>
        <v>0</v>
      </c>
      <c r="K19" s="229">
        <f t="shared" si="6"/>
        <v>0</v>
      </c>
      <c r="L19" s="107">
        <v>0</v>
      </c>
      <c r="M19" s="228">
        <f t="shared" si="7"/>
        <v>0</v>
      </c>
      <c r="N19" s="228">
        <f t="shared" si="8"/>
        <v>0</v>
      </c>
      <c r="O19" s="229">
        <f t="shared" si="9"/>
        <v>0</v>
      </c>
      <c r="P19" s="107">
        <v>0</v>
      </c>
      <c r="Q19" s="228">
        <f t="shared" si="10"/>
        <v>0</v>
      </c>
      <c r="R19" s="228">
        <f t="shared" si="11"/>
        <v>0</v>
      </c>
      <c r="S19" s="229">
        <f t="shared" si="12"/>
        <v>0</v>
      </c>
      <c r="T19" s="230"/>
      <c r="U19" s="228">
        <f t="shared" si="13"/>
        <v>0</v>
      </c>
      <c r="V19" s="228">
        <f t="shared" si="14"/>
        <v>0</v>
      </c>
      <c r="W19" s="229">
        <f t="shared" si="15"/>
        <v>0</v>
      </c>
    </row>
    <row r="20" spans="1:23" ht="15.75" customHeight="1" x14ac:dyDescent="0.25">
      <c r="A20" s="225" t="s">
        <v>13</v>
      </c>
      <c r="B20" s="226" t="s">
        <v>343</v>
      </c>
      <c r="C20" s="304">
        <v>3.3E-3</v>
      </c>
      <c r="D20" s="227">
        <f t="shared" si="0"/>
        <v>-421.01557275652885</v>
      </c>
      <c r="E20" s="228">
        <f t="shared" si="1"/>
        <v>-3831.9949062839178</v>
      </c>
      <c r="F20" s="228">
        <f t="shared" si="2"/>
        <v>-11.950907495688655</v>
      </c>
      <c r="G20" s="229">
        <f t="shared" si="3"/>
        <v>-3843.9458137796064</v>
      </c>
      <c r="H20" s="107">
        <v>0</v>
      </c>
      <c r="I20" s="228">
        <f t="shared" si="4"/>
        <v>0</v>
      </c>
      <c r="J20" s="228">
        <f t="shared" si="5"/>
        <v>0</v>
      </c>
      <c r="K20" s="229">
        <f t="shared" si="6"/>
        <v>0</v>
      </c>
      <c r="L20" s="107">
        <v>0</v>
      </c>
      <c r="M20" s="228">
        <f t="shared" si="7"/>
        <v>0</v>
      </c>
      <c r="N20" s="228">
        <f t="shared" si="8"/>
        <v>0</v>
      </c>
      <c r="O20" s="229">
        <f t="shared" si="9"/>
        <v>0</v>
      </c>
      <c r="P20" s="107">
        <v>0</v>
      </c>
      <c r="Q20" s="228">
        <f t="shared" si="10"/>
        <v>0</v>
      </c>
      <c r="R20" s="228">
        <f t="shared" si="11"/>
        <v>0</v>
      </c>
      <c r="S20" s="229">
        <f t="shared" si="12"/>
        <v>0</v>
      </c>
      <c r="T20" s="230"/>
      <c r="U20" s="228">
        <f t="shared" si="13"/>
        <v>0</v>
      </c>
      <c r="V20" s="228">
        <f t="shared" si="14"/>
        <v>0</v>
      </c>
      <c r="W20" s="229">
        <f t="shared" si="15"/>
        <v>0</v>
      </c>
    </row>
    <row r="21" spans="1:23" ht="15.75" customHeight="1" x14ac:dyDescent="0.25">
      <c r="A21" s="225" t="s">
        <v>15</v>
      </c>
      <c r="B21" s="226" t="s">
        <v>343</v>
      </c>
      <c r="C21" s="304">
        <v>3.5000000000000001E-3</v>
      </c>
      <c r="D21" s="227">
        <f t="shared" si="0"/>
        <v>-421.01557275652885</v>
      </c>
      <c r="E21" s="228">
        <f t="shared" si="1"/>
        <v>-4264.9613865361353</v>
      </c>
      <c r="F21" s="228">
        <f t="shared" si="2"/>
        <v>-14.190587600552549</v>
      </c>
      <c r="G21" s="229">
        <f t="shared" si="3"/>
        <v>-4279.1519741366874</v>
      </c>
      <c r="H21" s="107">
        <v>0</v>
      </c>
      <c r="I21" s="228">
        <f t="shared" si="4"/>
        <v>0</v>
      </c>
      <c r="J21" s="228">
        <f t="shared" si="5"/>
        <v>0</v>
      </c>
      <c r="K21" s="229">
        <f t="shared" si="6"/>
        <v>0</v>
      </c>
      <c r="L21" s="107">
        <v>0</v>
      </c>
      <c r="M21" s="228">
        <f t="shared" si="7"/>
        <v>0</v>
      </c>
      <c r="N21" s="228">
        <f t="shared" si="8"/>
        <v>0</v>
      </c>
      <c r="O21" s="229">
        <f t="shared" si="9"/>
        <v>0</v>
      </c>
      <c r="P21" s="107">
        <v>0</v>
      </c>
      <c r="Q21" s="228">
        <f t="shared" si="10"/>
        <v>0</v>
      </c>
      <c r="R21" s="228">
        <f t="shared" si="11"/>
        <v>0</v>
      </c>
      <c r="S21" s="229">
        <f t="shared" si="12"/>
        <v>0</v>
      </c>
      <c r="T21" s="230"/>
      <c r="U21" s="228">
        <f t="shared" si="13"/>
        <v>0</v>
      </c>
      <c r="V21" s="228">
        <f t="shared" si="14"/>
        <v>0</v>
      </c>
      <c r="W21" s="229">
        <f t="shared" si="15"/>
        <v>0</v>
      </c>
    </row>
    <row r="22" spans="1:23" ht="15.75" customHeight="1" x14ac:dyDescent="0.25">
      <c r="A22" s="225" t="s">
        <v>14</v>
      </c>
      <c r="B22" s="226" t="s">
        <v>343</v>
      </c>
      <c r="C22" s="304">
        <v>3.5000000000000001E-3</v>
      </c>
      <c r="D22" s="227">
        <f t="shared" si="0"/>
        <v>-421.01557275652885</v>
      </c>
      <c r="E22" s="228">
        <f t="shared" si="1"/>
        <v>-4700.1675468932162</v>
      </c>
      <c r="F22" s="228">
        <f t="shared" si="2"/>
        <v>-15.713809161802331</v>
      </c>
      <c r="G22" s="229">
        <f t="shared" si="3"/>
        <v>-4715.8813560550188</v>
      </c>
      <c r="H22" s="107">
        <v>0</v>
      </c>
      <c r="I22" s="228">
        <f t="shared" si="4"/>
        <v>0</v>
      </c>
      <c r="J22" s="228">
        <f t="shared" si="5"/>
        <v>0</v>
      </c>
      <c r="K22" s="229">
        <f t="shared" si="6"/>
        <v>0</v>
      </c>
      <c r="L22" s="107">
        <v>0</v>
      </c>
      <c r="M22" s="228">
        <f t="shared" si="7"/>
        <v>0</v>
      </c>
      <c r="N22" s="228">
        <f t="shared" si="8"/>
        <v>0</v>
      </c>
      <c r="O22" s="229">
        <f t="shared" si="9"/>
        <v>0</v>
      </c>
      <c r="P22" s="107">
        <v>0</v>
      </c>
      <c r="Q22" s="228">
        <f t="shared" si="10"/>
        <v>0</v>
      </c>
      <c r="R22" s="228">
        <f t="shared" si="11"/>
        <v>0</v>
      </c>
      <c r="S22" s="229">
        <f t="shared" si="12"/>
        <v>0</v>
      </c>
      <c r="T22" s="230"/>
      <c r="U22" s="228">
        <f t="shared" si="13"/>
        <v>0</v>
      </c>
      <c r="V22" s="228">
        <f t="shared" si="14"/>
        <v>0</v>
      </c>
      <c r="W22" s="229">
        <f t="shared" si="15"/>
        <v>0</v>
      </c>
    </row>
    <row r="23" spans="1:23" ht="15.75" customHeight="1" x14ac:dyDescent="0.25">
      <c r="A23" s="225" t="s">
        <v>6</v>
      </c>
      <c r="B23" s="226" t="s">
        <v>343</v>
      </c>
      <c r="C23" s="304">
        <v>3.5000000000000001E-3</v>
      </c>
      <c r="D23" s="227">
        <f t="shared" si="0"/>
        <v>-421.01557275652885</v>
      </c>
      <c r="E23" s="228">
        <f t="shared" si="1"/>
        <v>-5136.8969288115477</v>
      </c>
      <c r="F23" s="228">
        <f t="shared" si="2"/>
        <v>-17.242361998516493</v>
      </c>
      <c r="G23" s="229">
        <f t="shared" si="3"/>
        <v>-5154.1392908100643</v>
      </c>
      <c r="H23" s="108">
        <v>0</v>
      </c>
      <c r="I23" s="228">
        <f t="shared" si="4"/>
        <v>0</v>
      </c>
      <c r="J23" s="228">
        <f t="shared" si="5"/>
        <v>0</v>
      </c>
      <c r="K23" s="229">
        <f t="shared" si="6"/>
        <v>0</v>
      </c>
      <c r="L23" s="108">
        <v>0</v>
      </c>
      <c r="M23" s="228">
        <f t="shared" si="7"/>
        <v>0</v>
      </c>
      <c r="N23" s="228">
        <f t="shared" si="8"/>
        <v>0</v>
      </c>
      <c r="O23" s="229">
        <f t="shared" si="9"/>
        <v>0</v>
      </c>
      <c r="P23" s="108">
        <v>0</v>
      </c>
      <c r="Q23" s="228">
        <f t="shared" si="10"/>
        <v>0</v>
      </c>
      <c r="R23" s="228">
        <f t="shared" si="11"/>
        <v>0</v>
      </c>
      <c r="S23" s="229">
        <f t="shared" si="12"/>
        <v>0</v>
      </c>
      <c r="T23" s="230"/>
      <c r="U23" s="228">
        <f t="shared" si="13"/>
        <v>0</v>
      </c>
      <c r="V23" s="228">
        <f t="shared" si="14"/>
        <v>0</v>
      </c>
      <c r="W23" s="229">
        <f t="shared" si="15"/>
        <v>0</v>
      </c>
    </row>
    <row r="24" spans="1:23" ht="15.75" customHeight="1" x14ac:dyDescent="0.25">
      <c r="A24" s="225" t="s">
        <v>7</v>
      </c>
      <c r="B24" s="226" t="s">
        <v>344</v>
      </c>
      <c r="C24" s="304">
        <v>3.5000000000000001E-3</v>
      </c>
      <c r="D24" s="227">
        <v>0</v>
      </c>
      <c r="E24" s="228">
        <f t="shared" si="1"/>
        <v>-5154.1392908100643</v>
      </c>
      <c r="F24" s="228">
        <f t="shared" si="2"/>
        <v>-18.039487517835227</v>
      </c>
      <c r="G24" s="229">
        <f>E24+F24</f>
        <v>-5172.1787783278996</v>
      </c>
      <c r="H24" s="108">
        <f>'WP-2018 True Up TRR Adj'!$D$8/12</f>
        <v>-1641.0997417171795</v>
      </c>
      <c r="I24" s="228">
        <f t="shared" si="4"/>
        <v>-1641.0997417171795</v>
      </c>
      <c r="J24" s="228">
        <f t="shared" si="5"/>
        <v>-2.8719245480050644</v>
      </c>
      <c r="K24" s="229">
        <f t="shared" si="6"/>
        <v>-1643.9716662651847</v>
      </c>
      <c r="L24" s="107">
        <v>0</v>
      </c>
      <c r="M24" s="228">
        <f t="shared" si="7"/>
        <v>0</v>
      </c>
      <c r="N24" s="228">
        <f t="shared" si="8"/>
        <v>0</v>
      </c>
      <c r="O24" s="229">
        <f t="shared" si="9"/>
        <v>0</v>
      </c>
      <c r="P24" s="107">
        <v>0</v>
      </c>
      <c r="Q24" s="228">
        <f t="shared" si="10"/>
        <v>0</v>
      </c>
      <c r="R24" s="228">
        <f t="shared" si="11"/>
        <v>0</v>
      </c>
      <c r="S24" s="229">
        <f t="shared" si="12"/>
        <v>0</v>
      </c>
      <c r="T24" s="230"/>
      <c r="U24" s="228">
        <f t="shared" si="13"/>
        <v>0</v>
      </c>
      <c r="V24" s="228">
        <f t="shared" si="14"/>
        <v>0</v>
      </c>
      <c r="W24" s="229">
        <f t="shared" si="15"/>
        <v>0</v>
      </c>
    </row>
    <row r="25" spans="1:23" ht="15.75" customHeight="1" x14ac:dyDescent="0.25">
      <c r="A25" s="225" t="s">
        <v>8</v>
      </c>
      <c r="B25" s="226" t="s">
        <v>344</v>
      </c>
      <c r="C25" s="304">
        <v>3.5000000000000001E-3</v>
      </c>
      <c r="D25" s="227">
        <f>D24</f>
        <v>0</v>
      </c>
      <c r="E25" s="228">
        <f t="shared" si="1"/>
        <v>-5172.1787783278996</v>
      </c>
      <c r="F25" s="228">
        <f t="shared" si="2"/>
        <v>-18.10262572414765</v>
      </c>
      <c r="G25" s="229">
        <f t="shared" ref="G25:G35" si="16">E25+F25</f>
        <v>-5190.281404052047</v>
      </c>
      <c r="H25" s="108">
        <f>H24</f>
        <v>-1641.0997417171795</v>
      </c>
      <c r="I25" s="228">
        <f t="shared" si="4"/>
        <v>-3285.0714079823642</v>
      </c>
      <c r="J25" s="228">
        <f t="shared" si="5"/>
        <v>-8.625825379933211</v>
      </c>
      <c r="K25" s="229">
        <f t="shared" si="6"/>
        <v>-3293.6972333622975</v>
      </c>
      <c r="L25" s="107">
        <v>0</v>
      </c>
      <c r="M25" s="228">
        <f t="shared" si="7"/>
        <v>0</v>
      </c>
      <c r="N25" s="228">
        <f t="shared" si="8"/>
        <v>0</v>
      </c>
      <c r="O25" s="229">
        <f t="shared" si="9"/>
        <v>0</v>
      </c>
      <c r="P25" s="107">
        <v>0</v>
      </c>
      <c r="Q25" s="228">
        <f t="shared" si="10"/>
        <v>0</v>
      </c>
      <c r="R25" s="228">
        <f t="shared" si="11"/>
        <v>0</v>
      </c>
      <c r="S25" s="229">
        <f t="shared" si="12"/>
        <v>0</v>
      </c>
      <c r="T25" s="230"/>
      <c r="U25" s="228">
        <f t="shared" si="13"/>
        <v>0</v>
      </c>
      <c r="V25" s="228">
        <f t="shared" si="14"/>
        <v>0</v>
      </c>
      <c r="W25" s="229">
        <f t="shared" si="15"/>
        <v>0</v>
      </c>
    </row>
    <row r="26" spans="1:23" ht="15.75" customHeight="1" x14ac:dyDescent="0.25">
      <c r="A26" s="225" t="s">
        <v>18</v>
      </c>
      <c r="B26" s="226" t="s">
        <v>344</v>
      </c>
      <c r="C26" s="304">
        <v>3.5000000000000001E-3</v>
      </c>
      <c r="D26" s="227">
        <f t="shared" ref="D26:D34" si="17">D25</f>
        <v>0</v>
      </c>
      <c r="E26" s="228">
        <f t="shared" si="1"/>
        <v>-5190.281404052047</v>
      </c>
      <c r="F26" s="228">
        <f t="shared" si="2"/>
        <v>-18.165984914182165</v>
      </c>
      <c r="G26" s="229">
        <f t="shared" si="16"/>
        <v>-5208.4473889662295</v>
      </c>
      <c r="H26" s="108">
        <f t="shared" ref="H26:H35" si="18">H25</f>
        <v>-1641.0997417171795</v>
      </c>
      <c r="I26" s="228">
        <f t="shared" si="4"/>
        <v>-4934.7969750794773</v>
      </c>
      <c r="J26" s="228">
        <f t="shared" si="5"/>
        <v>-14.399864864773106</v>
      </c>
      <c r="K26" s="229">
        <f t="shared" si="6"/>
        <v>-4949.1968399442503</v>
      </c>
      <c r="L26" s="107">
        <v>0</v>
      </c>
      <c r="M26" s="228">
        <f t="shared" si="7"/>
        <v>0</v>
      </c>
      <c r="N26" s="228">
        <f t="shared" si="8"/>
        <v>0</v>
      </c>
      <c r="O26" s="229">
        <f t="shared" si="9"/>
        <v>0</v>
      </c>
      <c r="P26" s="107">
        <v>0</v>
      </c>
      <c r="Q26" s="228">
        <f t="shared" si="10"/>
        <v>0</v>
      </c>
      <c r="R26" s="228">
        <f t="shared" si="11"/>
        <v>0</v>
      </c>
      <c r="S26" s="229">
        <f t="shared" si="12"/>
        <v>0</v>
      </c>
      <c r="T26" s="230"/>
      <c r="U26" s="228">
        <f t="shared" si="13"/>
        <v>0</v>
      </c>
      <c r="V26" s="228">
        <f t="shared" si="14"/>
        <v>0</v>
      </c>
      <c r="W26" s="229">
        <f t="shared" si="15"/>
        <v>0</v>
      </c>
    </row>
    <row r="27" spans="1:23" ht="15.75" customHeight="1" x14ac:dyDescent="0.25">
      <c r="A27" s="225" t="s">
        <v>9</v>
      </c>
      <c r="B27" s="226" t="s">
        <v>344</v>
      </c>
      <c r="C27" s="304">
        <v>3.7000000000000002E-3</v>
      </c>
      <c r="D27" s="227">
        <f t="shared" si="17"/>
        <v>0</v>
      </c>
      <c r="E27" s="228">
        <f t="shared" si="1"/>
        <v>-5208.4473889662295</v>
      </c>
      <c r="F27" s="228">
        <f t="shared" si="2"/>
        <v>-19.271255339175049</v>
      </c>
      <c r="G27" s="229">
        <f t="shared" si="16"/>
        <v>-5227.7186443054043</v>
      </c>
      <c r="H27" s="108">
        <f t="shared" si="18"/>
        <v>-1641.0997417171795</v>
      </c>
      <c r="I27" s="228">
        <f t="shared" si="4"/>
        <v>-6590.2965816614296</v>
      </c>
      <c r="J27" s="228">
        <f t="shared" si="5"/>
        <v>-21.348062829970509</v>
      </c>
      <c r="K27" s="229">
        <f t="shared" si="6"/>
        <v>-6611.6446444914</v>
      </c>
      <c r="L27" s="107">
        <v>0</v>
      </c>
      <c r="M27" s="228">
        <f t="shared" si="7"/>
        <v>0</v>
      </c>
      <c r="N27" s="228">
        <f t="shared" si="8"/>
        <v>0</v>
      </c>
      <c r="O27" s="229">
        <f t="shared" si="9"/>
        <v>0</v>
      </c>
      <c r="P27" s="107">
        <v>0</v>
      </c>
      <c r="Q27" s="228">
        <f t="shared" si="10"/>
        <v>0</v>
      </c>
      <c r="R27" s="228">
        <f t="shared" si="11"/>
        <v>0</v>
      </c>
      <c r="S27" s="229">
        <f t="shared" si="12"/>
        <v>0</v>
      </c>
      <c r="T27" s="230"/>
      <c r="U27" s="228">
        <f t="shared" si="13"/>
        <v>0</v>
      </c>
      <c r="V27" s="228">
        <f t="shared" si="14"/>
        <v>0</v>
      </c>
      <c r="W27" s="229">
        <f t="shared" si="15"/>
        <v>0</v>
      </c>
    </row>
    <row r="28" spans="1:23" ht="15.75" customHeight="1" x14ac:dyDescent="0.25">
      <c r="A28" s="225" t="s">
        <v>10</v>
      </c>
      <c r="B28" s="226" t="s">
        <v>344</v>
      </c>
      <c r="C28" s="304">
        <v>3.7000000000000002E-3</v>
      </c>
      <c r="D28" s="227">
        <f t="shared" si="17"/>
        <v>0</v>
      </c>
      <c r="E28" s="228">
        <f t="shared" si="1"/>
        <v>-5227.7186443054043</v>
      </c>
      <c r="F28" s="228">
        <f t="shared" si="2"/>
        <v>-19.342558983929997</v>
      </c>
      <c r="G28" s="229">
        <f>E28+F28</f>
        <v>-5247.0612032893341</v>
      </c>
      <c r="H28" s="108">
        <f t="shared" si="18"/>
        <v>-1641.0997417171795</v>
      </c>
      <c r="I28" s="228">
        <f t="shared" si="4"/>
        <v>-8252.7443862085802</v>
      </c>
      <c r="J28" s="228">
        <f t="shared" si="5"/>
        <v>-27.499119706794964</v>
      </c>
      <c r="K28" s="229">
        <f t="shared" si="6"/>
        <v>-8280.2435059153759</v>
      </c>
      <c r="L28" s="107">
        <v>0</v>
      </c>
      <c r="M28" s="228">
        <f t="shared" si="7"/>
        <v>0</v>
      </c>
      <c r="N28" s="228">
        <f t="shared" si="8"/>
        <v>0</v>
      </c>
      <c r="O28" s="229">
        <f t="shared" si="9"/>
        <v>0</v>
      </c>
      <c r="P28" s="107">
        <v>0</v>
      </c>
      <c r="Q28" s="228">
        <f t="shared" si="10"/>
        <v>0</v>
      </c>
      <c r="R28" s="228">
        <f t="shared" si="11"/>
        <v>0</v>
      </c>
      <c r="S28" s="229">
        <f t="shared" si="12"/>
        <v>0</v>
      </c>
      <c r="T28" s="230"/>
      <c r="U28" s="228">
        <f t="shared" si="13"/>
        <v>0</v>
      </c>
      <c r="V28" s="228">
        <f t="shared" si="14"/>
        <v>0</v>
      </c>
      <c r="W28" s="229">
        <f t="shared" si="15"/>
        <v>0</v>
      </c>
    </row>
    <row r="29" spans="1:23" ht="15.75" customHeight="1" x14ac:dyDescent="0.25">
      <c r="A29" s="225" t="s">
        <v>25</v>
      </c>
      <c r="B29" s="226" t="s">
        <v>344</v>
      </c>
      <c r="C29" s="304">
        <v>3.7000000000000002E-3</v>
      </c>
      <c r="D29" s="227">
        <f t="shared" si="17"/>
        <v>0</v>
      </c>
      <c r="E29" s="228">
        <f t="shared" si="1"/>
        <v>-5247.0612032893341</v>
      </c>
      <c r="F29" s="228">
        <f t="shared" si="2"/>
        <v>-19.414126452170539</v>
      </c>
      <c r="G29" s="229">
        <f>E29+F29</f>
        <v>-5266.4753297415045</v>
      </c>
      <c r="H29" s="108">
        <f t="shared" si="18"/>
        <v>-1641.0997417171795</v>
      </c>
      <c r="I29" s="228">
        <f t="shared" si="4"/>
        <v>-9921.3432476325561</v>
      </c>
      <c r="J29" s="228">
        <f t="shared" si="5"/>
        <v>-33.67293549406368</v>
      </c>
      <c r="K29" s="229">
        <f t="shared" si="6"/>
        <v>-9955.0161831266196</v>
      </c>
      <c r="L29" s="107">
        <v>0</v>
      </c>
      <c r="M29" s="228">
        <f t="shared" si="7"/>
        <v>0</v>
      </c>
      <c r="N29" s="228">
        <f t="shared" si="8"/>
        <v>0</v>
      </c>
      <c r="O29" s="229">
        <f t="shared" si="9"/>
        <v>0</v>
      </c>
      <c r="P29" s="107">
        <v>0</v>
      </c>
      <c r="Q29" s="228">
        <f t="shared" si="10"/>
        <v>0</v>
      </c>
      <c r="R29" s="228">
        <f t="shared" si="11"/>
        <v>0</v>
      </c>
      <c r="S29" s="229">
        <f t="shared" si="12"/>
        <v>0</v>
      </c>
      <c r="T29" s="230"/>
      <c r="U29" s="228">
        <f t="shared" si="13"/>
        <v>0</v>
      </c>
      <c r="V29" s="228">
        <f t="shared" si="14"/>
        <v>0</v>
      </c>
      <c r="W29" s="229">
        <f t="shared" si="15"/>
        <v>0</v>
      </c>
    </row>
    <row r="30" spans="1:23" ht="15.75" customHeight="1" x14ac:dyDescent="0.25">
      <c r="A30" s="225" t="s">
        <v>11</v>
      </c>
      <c r="B30" s="226" t="s">
        <v>344</v>
      </c>
      <c r="C30" s="304">
        <v>3.8999999999999998E-3</v>
      </c>
      <c r="D30" s="227">
        <f t="shared" si="17"/>
        <v>0</v>
      </c>
      <c r="E30" s="228">
        <f t="shared" si="1"/>
        <v>-5266.4753297415045</v>
      </c>
      <c r="F30" s="228">
        <f t="shared" si="2"/>
        <v>-20.539253785991868</v>
      </c>
      <c r="G30" s="229">
        <f t="shared" si="16"/>
        <v>-5287.0145835274961</v>
      </c>
      <c r="H30" s="108">
        <f t="shared" si="18"/>
        <v>-1641.0997417171795</v>
      </c>
      <c r="I30" s="228">
        <f t="shared" si="4"/>
        <v>-11596.1159248438</v>
      </c>
      <c r="J30" s="228">
        <f t="shared" si="5"/>
        <v>-42.024707610542322</v>
      </c>
      <c r="K30" s="229">
        <f t="shared" si="6"/>
        <v>-11638.140632454342</v>
      </c>
      <c r="L30" s="107">
        <v>0</v>
      </c>
      <c r="M30" s="228">
        <f t="shared" si="7"/>
        <v>0</v>
      </c>
      <c r="N30" s="228">
        <f t="shared" si="8"/>
        <v>0</v>
      </c>
      <c r="O30" s="229">
        <f t="shared" si="9"/>
        <v>0</v>
      </c>
      <c r="P30" s="107">
        <v>0</v>
      </c>
      <c r="Q30" s="228">
        <f t="shared" si="10"/>
        <v>0</v>
      </c>
      <c r="R30" s="228">
        <f t="shared" si="11"/>
        <v>0</v>
      </c>
      <c r="S30" s="229">
        <f t="shared" si="12"/>
        <v>0</v>
      </c>
      <c r="T30" s="230"/>
      <c r="U30" s="228">
        <f t="shared" si="13"/>
        <v>0</v>
      </c>
      <c r="V30" s="228">
        <f t="shared" si="14"/>
        <v>0</v>
      </c>
      <c r="W30" s="229">
        <f t="shared" si="15"/>
        <v>0</v>
      </c>
    </row>
    <row r="31" spans="1:23" ht="15.75" customHeight="1" x14ac:dyDescent="0.25">
      <c r="A31" s="225" t="s">
        <v>12</v>
      </c>
      <c r="B31" s="226" t="s">
        <v>344</v>
      </c>
      <c r="C31" s="304">
        <v>3.8999999999999998E-3</v>
      </c>
      <c r="D31" s="227">
        <f t="shared" si="17"/>
        <v>0</v>
      </c>
      <c r="E31" s="228">
        <f t="shared" si="1"/>
        <v>-5287.0145835274961</v>
      </c>
      <c r="F31" s="228">
        <f t="shared" si="2"/>
        <v>-20.619356875757234</v>
      </c>
      <c r="G31" s="229">
        <f t="shared" si="16"/>
        <v>-5307.6339404032533</v>
      </c>
      <c r="H31" s="108">
        <f t="shared" si="18"/>
        <v>-1641.0997417171795</v>
      </c>
      <c r="I31" s="228">
        <f t="shared" si="4"/>
        <v>-13279.240374171522</v>
      </c>
      <c r="J31" s="228">
        <f t="shared" si="5"/>
        <v>-48.58889296292044</v>
      </c>
      <c r="K31" s="229">
        <f t="shared" si="6"/>
        <v>-13327.829267134442</v>
      </c>
      <c r="L31" s="107">
        <v>0</v>
      </c>
      <c r="M31" s="228">
        <f t="shared" si="7"/>
        <v>0</v>
      </c>
      <c r="N31" s="228">
        <f t="shared" si="8"/>
        <v>0</v>
      </c>
      <c r="O31" s="229">
        <f t="shared" si="9"/>
        <v>0</v>
      </c>
      <c r="P31" s="107">
        <v>0</v>
      </c>
      <c r="Q31" s="228">
        <f t="shared" si="10"/>
        <v>0</v>
      </c>
      <c r="R31" s="228">
        <f t="shared" si="11"/>
        <v>0</v>
      </c>
      <c r="S31" s="229">
        <f t="shared" si="12"/>
        <v>0</v>
      </c>
      <c r="T31" s="230"/>
      <c r="U31" s="228">
        <f t="shared" si="13"/>
        <v>0</v>
      </c>
      <c r="V31" s="228">
        <f t="shared" si="14"/>
        <v>0</v>
      </c>
      <c r="W31" s="229">
        <f t="shared" si="15"/>
        <v>0</v>
      </c>
    </row>
    <row r="32" spans="1:23" ht="15.75" customHeight="1" x14ac:dyDescent="0.25">
      <c r="A32" s="225" t="s">
        <v>13</v>
      </c>
      <c r="B32" s="226" t="s">
        <v>344</v>
      </c>
      <c r="C32" s="304">
        <v>3.8999999999999998E-3</v>
      </c>
      <c r="D32" s="227">
        <f t="shared" si="17"/>
        <v>0</v>
      </c>
      <c r="E32" s="228">
        <f t="shared" si="1"/>
        <v>-5307.6339404032533</v>
      </c>
      <c r="F32" s="228">
        <f t="shared" si="2"/>
        <v>-20.699772367572688</v>
      </c>
      <c r="G32" s="229">
        <f t="shared" si="16"/>
        <v>-5328.3337127708264</v>
      </c>
      <c r="H32" s="108">
        <f t="shared" si="18"/>
        <v>-1641.0997417171795</v>
      </c>
      <c r="I32" s="228">
        <f t="shared" si="4"/>
        <v>-14968.929008851623</v>
      </c>
      <c r="J32" s="228">
        <f t="shared" si="5"/>
        <v>-55.178678638172826</v>
      </c>
      <c r="K32" s="229">
        <f t="shared" si="6"/>
        <v>-15024.107687489795</v>
      </c>
      <c r="L32" s="107">
        <v>0</v>
      </c>
      <c r="M32" s="228">
        <f t="shared" si="7"/>
        <v>0</v>
      </c>
      <c r="N32" s="228">
        <f t="shared" si="8"/>
        <v>0</v>
      </c>
      <c r="O32" s="229">
        <f t="shared" si="9"/>
        <v>0</v>
      </c>
      <c r="P32" s="107">
        <v>0</v>
      </c>
      <c r="Q32" s="228">
        <f t="shared" si="10"/>
        <v>0</v>
      </c>
      <c r="R32" s="228">
        <f t="shared" si="11"/>
        <v>0</v>
      </c>
      <c r="S32" s="229">
        <f t="shared" si="12"/>
        <v>0</v>
      </c>
      <c r="T32" s="230"/>
      <c r="U32" s="228">
        <f t="shared" si="13"/>
        <v>0</v>
      </c>
      <c r="V32" s="228">
        <f t="shared" si="14"/>
        <v>0</v>
      </c>
      <c r="W32" s="229">
        <f t="shared" si="15"/>
        <v>0</v>
      </c>
    </row>
    <row r="33" spans="1:23" ht="15.75" customHeight="1" x14ac:dyDescent="0.25">
      <c r="A33" s="225" t="s">
        <v>15</v>
      </c>
      <c r="B33" s="226" t="s">
        <v>344</v>
      </c>
      <c r="C33" s="304">
        <v>4.1000000000000003E-3</v>
      </c>
      <c r="D33" s="227">
        <f t="shared" si="17"/>
        <v>0</v>
      </c>
      <c r="E33" s="228">
        <f t="shared" si="1"/>
        <v>-5328.3337127708264</v>
      </c>
      <c r="F33" s="228">
        <f t="shared" si="2"/>
        <v>-21.84616822236039</v>
      </c>
      <c r="G33" s="229">
        <f t="shared" si="16"/>
        <v>-5350.179880993187</v>
      </c>
      <c r="H33" s="108">
        <f t="shared" si="18"/>
        <v>-1641.0997417171795</v>
      </c>
      <c r="I33" s="228">
        <f t="shared" si="4"/>
        <v>-16665.207429206974</v>
      </c>
      <c r="J33" s="228">
        <f t="shared" si="5"/>
        <v>-64.963095989228378</v>
      </c>
      <c r="K33" s="229">
        <f t="shared" si="6"/>
        <v>-16730.170525196201</v>
      </c>
      <c r="L33" s="107">
        <v>0</v>
      </c>
      <c r="M33" s="228">
        <f t="shared" si="7"/>
        <v>0</v>
      </c>
      <c r="N33" s="228">
        <f t="shared" si="8"/>
        <v>0</v>
      </c>
      <c r="O33" s="229">
        <f t="shared" si="9"/>
        <v>0</v>
      </c>
      <c r="P33" s="107">
        <v>0</v>
      </c>
      <c r="Q33" s="228">
        <f t="shared" si="10"/>
        <v>0</v>
      </c>
      <c r="R33" s="228">
        <f t="shared" si="11"/>
        <v>0</v>
      </c>
      <c r="S33" s="229">
        <f t="shared" si="12"/>
        <v>0</v>
      </c>
      <c r="T33" s="230"/>
      <c r="U33" s="228">
        <f t="shared" si="13"/>
        <v>0</v>
      </c>
      <c r="V33" s="228">
        <f t="shared" si="14"/>
        <v>0</v>
      </c>
      <c r="W33" s="229">
        <f t="shared" si="15"/>
        <v>0</v>
      </c>
    </row>
    <row r="34" spans="1:23" ht="15.75" customHeight="1" x14ac:dyDescent="0.25">
      <c r="A34" s="225" t="s">
        <v>14</v>
      </c>
      <c r="B34" s="226" t="s">
        <v>344</v>
      </c>
      <c r="C34" s="304">
        <v>4.1000000000000003E-3</v>
      </c>
      <c r="D34" s="227">
        <f t="shared" si="17"/>
        <v>0</v>
      </c>
      <c r="E34" s="228">
        <f t="shared" si="1"/>
        <v>-5350.179880993187</v>
      </c>
      <c r="F34" s="228">
        <f t="shared" si="2"/>
        <v>-21.93573751207207</v>
      </c>
      <c r="G34" s="229">
        <f t="shared" si="16"/>
        <v>-5372.1156185052587</v>
      </c>
      <c r="H34" s="108">
        <f t="shared" si="18"/>
        <v>-1641.0997417171795</v>
      </c>
      <c r="I34" s="228">
        <f t="shared" si="4"/>
        <v>-18371.27026691338</v>
      </c>
      <c r="J34" s="228">
        <f t="shared" si="5"/>
        <v>-71.95795362382465</v>
      </c>
      <c r="K34" s="229">
        <f t="shared" si="6"/>
        <v>-18443.228220537203</v>
      </c>
      <c r="L34" s="107">
        <v>0</v>
      </c>
      <c r="M34" s="228">
        <f t="shared" si="7"/>
        <v>0</v>
      </c>
      <c r="N34" s="228">
        <f t="shared" si="8"/>
        <v>0</v>
      </c>
      <c r="O34" s="229">
        <f t="shared" si="9"/>
        <v>0</v>
      </c>
      <c r="P34" s="107">
        <v>0</v>
      </c>
      <c r="Q34" s="228">
        <f t="shared" si="10"/>
        <v>0</v>
      </c>
      <c r="R34" s="228">
        <f t="shared" si="11"/>
        <v>0</v>
      </c>
      <c r="S34" s="229">
        <f t="shared" si="12"/>
        <v>0</v>
      </c>
      <c r="T34" s="230"/>
      <c r="U34" s="228">
        <f t="shared" si="13"/>
        <v>0</v>
      </c>
      <c r="V34" s="228">
        <f t="shared" si="14"/>
        <v>0</v>
      </c>
      <c r="W34" s="229">
        <f t="shared" si="15"/>
        <v>0</v>
      </c>
    </row>
    <row r="35" spans="1:23" ht="15.75" customHeight="1" x14ac:dyDescent="0.25">
      <c r="A35" s="225" t="s">
        <v>6</v>
      </c>
      <c r="B35" s="226" t="s">
        <v>344</v>
      </c>
      <c r="C35" s="304">
        <v>4.1000000000000003E-3</v>
      </c>
      <c r="D35" s="227">
        <f>D34</f>
        <v>0</v>
      </c>
      <c r="E35" s="228">
        <f t="shared" si="1"/>
        <v>-5372.1156185052587</v>
      </c>
      <c r="F35" s="228">
        <f t="shared" si="2"/>
        <v>-22.025674035871564</v>
      </c>
      <c r="G35" s="229">
        <f t="shared" si="16"/>
        <v>-5394.1412925411305</v>
      </c>
      <c r="H35" s="108">
        <f t="shared" si="18"/>
        <v>-1641.0997417171795</v>
      </c>
      <c r="I35" s="228">
        <f t="shared" si="4"/>
        <v>-20084.327962254381</v>
      </c>
      <c r="J35" s="228">
        <f t="shared" si="5"/>
        <v>-78.981490174722751</v>
      </c>
      <c r="K35" s="229">
        <f t="shared" si="6"/>
        <v>-20163.309452429105</v>
      </c>
      <c r="L35" s="108">
        <v>0</v>
      </c>
      <c r="M35" s="228">
        <f t="shared" si="7"/>
        <v>0</v>
      </c>
      <c r="N35" s="228">
        <f t="shared" si="8"/>
        <v>0</v>
      </c>
      <c r="O35" s="229">
        <f t="shared" si="9"/>
        <v>0</v>
      </c>
      <c r="P35" s="108">
        <v>0</v>
      </c>
      <c r="Q35" s="228">
        <f t="shared" si="10"/>
        <v>0</v>
      </c>
      <c r="R35" s="228">
        <f t="shared" si="11"/>
        <v>0</v>
      </c>
      <c r="S35" s="229">
        <f t="shared" si="12"/>
        <v>0</v>
      </c>
      <c r="T35" s="230"/>
      <c r="U35" s="228">
        <f t="shared" si="13"/>
        <v>0</v>
      </c>
      <c r="V35" s="228">
        <f t="shared" si="14"/>
        <v>0</v>
      </c>
      <c r="W35" s="229">
        <f t="shared" si="15"/>
        <v>0</v>
      </c>
    </row>
    <row r="36" spans="1:23" ht="15.75" customHeight="1" x14ac:dyDescent="0.25">
      <c r="A36" s="92" t="s">
        <v>7</v>
      </c>
      <c r="B36" s="196">
        <v>2019</v>
      </c>
      <c r="C36" s="304">
        <v>4.3E-3</v>
      </c>
      <c r="D36" s="227">
        <f>D35</f>
        <v>0</v>
      </c>
      <c r="E36" s="228">
        <f>D36+G35</f>
        <v>-5394.1412925411305</v>
      </c>
      <c r="F36" s="228">
        <f t="shared" ref="F36" si="19">(((E36+G35))/2)*$C36</f>
        <v>-23.194807557926861</v>
      </c>
      <c r="G36" s="229">
        <f t="shared" ref="G36" si="20">E36+F36</f>
        <v>-5417.3361000990571</v>
      </c>
      <c r="H36" s="107">
        <v>0</v>
      </c>
      <c r="I36" s="228">
        <f t="shared" si="4"/>
        <v>-20163.309452429105</v>
      </c>
      <c r="J36" s="228">
        <f t="shared" si="5"/>
        <v>-86.702230645445155</v>
      </c>
      <c r="K36" s="229">
        <f t="shared" si="6"/>
        <v>-20250.01168307455</v>
      </c>
      <c r="L36" s="107">
        <f>'WP-2019 True Up TRR Adj'!G12/12</f>
        <v>-2217.8438147356114</v>
      </c>
      <c r="M36" s="228">
        <f t="shared" si="7"/>
        <v>-2217.8438147356114</v>
      </c>
      <c r="N36" s="228">
        <f t="shared" si="8"/>
        <v>-4.7683642016815648</v>
      </c>
      <c r="O36" s="229">
        <f t="shared" si="9"/>
        <v>-2222.6121789372928</v>
      </c>
      <c r="P36" s="107">
        <v>0</v>
      </c>
      <c r="Q36" s="228">
        <f t="shared" si="10"/>
        <v>0</v>
      </c>
      <c r="R36" s="228">
        <f t="shared" si="11"/>
        <v>0</v>
      </c>
      <c r="S36" s="229">
        <f t="shared" si="12"/>
        <v>0</v>
      </c>
      <c r="T36" s="107">
        <v>0</v>
      </c>
      <c r="U36" s="228">
        <f t="shared" si="13"/>
        <v>0</v>
      </c>
      <c r="V36" s="228">
        <f t="shared" si="14"/>
        <v>0</v>
      </c>
      <c r="W36" s="229">
        <f t="shared" si="15"/>
        <v>0</v>
      </c>
    </row>
    <row r="37" spans="1:23" ht="15.75" customHeight="1" x14ac:dyDescent="0.25">
      <c r="A37" s="92" t="s">
        <v>8</v>
      </c>
      <c r="B37" s="196">
        <v>2019</v>
      </c>
      <c r="C37" s="304">
        <v>4.3E-3</v>
      </c>
      <c r="D37" s="107">
        <f>D36</f>
        <v>0</v>
      </c>
      <c r="E37" s="228">
        <f t="shared" ref="E37:E71" si="21">D37+G36</f>
        <v>-5417.3361000990571</v>
      </c>
      <c r="F37" s="228">
        <f t="shared" ref="F37:F71" si="22">(((E37+G36))/2)*$C37</f>
        <v>-23.294545230425946</v>
      </c>
      <c r="G37" s="229">
        <f t="shared" ref="G37:G71" si="23">E37+F37</f>
        <v>-5440.6306453294828</v>
      </c>
      <c r="H37" s="107">
        <v>0</v>
      </c>
      <c r="I37" s="228">
        <f t="shared" si="4"/>
        <v>-20250.01168307455</v>
      </c>
      <c r="J37" s="228">
        <f t="shared" si="5"/>
        <v>-87.075050237220566</v>
      </c>
      <c r="K37" s="229">
        <f t="shared" si="6"/>
        <v>-20337.086733311771</v>
      </c>
      <c r="L37" s="107">
        <f>L36</f>
        <v>-2217.8438147356114</v>
      </c>
      <c r="M37" s="228">
        <f t="shared" si="7"/>
        <v>-4440.4559936729038</v>
      </c>
      <c r="N37" s="228">
        <f t="shared" si="8"/>
        <v>-14.325596571111923</v>
      </c>
      <c r="O37" s="229">
        <f t="shared" si="9"/>
        <v>-4454.7815902440161</v>
      </c>
      <c r="P37" s="107">
        <v>0</v>
      </c>
      <c r="Q37" s="228">
        <f t="shared" si="10"/>
        <v>0</v>
      </c>
      <c r="R37" s="228">
        <f t="shared" si="11"/>
        <v>0</v>
      </c>
      <c r="S37" s="229">
        <f t="shared" si="12"/>
        <v>0</v>
      </c>
      <c r="T37" s="107">
        <v>0</v>
      </c>
      <c r="U37" s="228">
        <f t="shared" si="13"/>
        <v>0</v>
      </c>
      <c r="V37" s="228">
        <f t="shared" si="14"/>
        <v>0</v>
      </c>
      <c r="W37" s="229">
        <f t="shared" si="15"/>
        <v>0</v>
      </c>
    </row>
    <row r="38" spans="1:23" ht="15.75" customHeight="1" x14ac:dyDescent="0.25">
      <c r="A38" s="92" t="s">
        <v>18</v>
      </c>
      <c r="B38" s="196">
        <v>2019</v>
      </c>
      <c r="C38" s="304">
        <v>4.3E-3</v>
      </c>
      <c r="D38" s="107">
        <f t="shared" ref="D38:D47" si="24">D37</f>
        <v>0</v>
      </c>
      <c r="E38" s="228">
        <f t="shared" si="21"/>
        <v>-5440.6306453294828</v>
      </c>
      <c r="F38" s="228">
        <f t="shared" si="22"/>
        <v>-23.394711774916775</v>
      </c>
      <c r="G38" s="229">
        <f t="shared" si="23"/>
        <v>-5464.0253571043995</v>
      </c>
      <c r="H38" s="107">
        <v>0</v>
      </c>
      <c r="I38" s="228">
        <f t="shared" si="4"/>
        <v>-20337.086733311771</v>
      </c>
      <c r="J38" s="228">
        <f t="shared" si="5"/>
        <v>-87.449472953240615</v>
      </c>
      <c r="K38" s="229">
        <f t="shared" si="6"/>
        <v>-20424.536206265013</v>
      </c>
      <c r="L38" s="107">
        <f t="shared" ref="L38:L47" si="25">L37</f>
        <v>-2217.8438147356114</v>
      </c>
      <c r="M38" s="228">
        <f t="shared" si="7"/>
        <v>-6672.625404979628</v>
      </c>
      <c r="N38" s="228">
        <f t="shared" si="8"/>
        <v>-23.923925039730836</v>
      </c>
      <c r="O38" s="229">
        <f t="shared" si="9"/>
        <v>-6696.5493300193584</v>
      </c>
      <c r="P38" s="107">
        <v>0</v>
      </c>
      <c r="Q38" s="228">
        <f t="shared" si="10"/>
        <v>0</v>
      </c>
      <c r="R38" s="228">
        <f t="shared" si="11"/>
        <v>0</v>
      </c>
      <c r="S38" s="229">
        <f t="shared" si="12"/>
        <v>0</v>
      </c>
      <c r="T38" s="107">
        <v>0</v>
      </c>
      <c r="U38" s="228">
        <f t="shared" si="13"/>
        <v>0</v>
      </c>
      <c r="V38" s="228">
        <f t="shared" si="14"/>
        <v>0</v>
      </c>
      <c r="W38" s="229">
        <f t="shared" si="15"/>
        <v>0</v>
      </c>
    </row>
    <row r="39" spans="1:23" ht="15.75" customHeight="1" x14ac:dyDescent="0.25">
      <c r="A39" s="92" t="s">
        <v>9</v>
      </c>
      <c r="B39" s="196">
        <v>2019</v>
      </c>
      <c r="C39" s="304">
        <v>4.4999999999999997E-3</v>
      </c>
      <c r="D39" s="107">
        <f t="shared" si="24"/>
        <v>0</v>
      </c>
      <c r="E39" s="228">
        <f t="shared" si="21"/>
        <v>-5464.0253571043995</v>
      </c>
      <c r="F39" s="228">
        <f t="shared" si="22"/>
        <v>-24.588114106969797</v>
      </c>
      <c r="G39" s="229">
        <f t="shared" si="23"/>
        <v>-5488.613471211369</v>
      </c>
      <c r="H39" s="107">
        <v>0</v>
      </c>
      <c r="I39" s="228">
        <f t="shared" si="4"/>
        <v>-20424.536206265013</v>
      </c>
      <c r="J39" s="228">
        <f t="shared" si="5"/>
        <v>-91.910412928192557</v>
      </c>
      <c r="K39" s="229">
        <f t="shared" si="6"/>
        <v>-20516.446619193204</v>
      </c>
      <c r="L39" s="107">
        <f t="shared" si="25"/>
        <v>-2217.8438147356114</v>
      </c>
      <c r="M39" s="228">
        <f t="shared" si="7"/>
        <v>-8914.3931447549694</v>
      </c>
      <c r="N39" s="228">
        <f t="shared" si="8"/>
        <v>-35.124620568242236</v>
      </c>
      <c r="O39" s="229">
        <f t="shared" si="9"/>
        <v>-8949.5177653232113</v>
      </c>
      <c r="P39" s="107">
        <v>0</v>
      </c>
      <c r="Q39" s="228">
        <f t="shared" si="10"/>
        <v>0</v>
      </c>
      <c r="R39" s="228">
        <f t="shared" si="11"/>
        <v>0</v>
      </c>
      <c r="S39" s="229">
        <f t="shared" si="12"/>
        <v>0</v>
      </c>
      <c r="T39" s="107">
        <v>0</v>
      </c>
      <c r="U39" s="228">
        <f t="shared" si="13"/>
        <v>0</v>
      </c>
      <c r="V39" s="228">
        <f t="shared" si="14"/>
        <v>0</v>
      </c>
      <c r="W39" s="229">
        <f t="shared" si="15"/>
        <v>0</v>
      </c>
    </row>
    <row r="40" spans="1:23" ht="15.75" customHeight="1" x14ac:dyDescent="0.25">
      <c r="A40" s="92" t="s">
        <v>10</v>
      </c>
      <c r="B40" s="196">
        <v>2019</v>
      </c>
      <c r="C40" s="304">
        <v>4.4999999999999997E-3</v>
      </c>
      <c r="D40" s="107">
        <f t="shared" si="24"/>
        <v>0</v>
      </c>
      <c r="E40" s="228">
        <f t="shared" si="21"/>
        <v>-5488.613471211369</v>
      </c>
      <c r="F40" s="228">
        <f t="shared" si="22"/>
        <v>-24.698760620451157</v>
      </c>
      <c r="G40" s="229">
        <f t="shared" si="23"/>
        <v>-5513.3122318318201</v>
      </c>
      <c r="H40" s="107">
        <v>0</v>
      </c>
      <c r="I40" s="228">
        <f t="shared" si="4"/>
        <v>-20516.446619193204</v>
      </c>
      <c r="J40" s="228">
        <f t="shared" si="5"/>
        <v>-92.324009786369416</v>
      </c>
      <c r="K40" s="229">
        <f t="shared" si="6"/>
        <v>-20608.770628979575</v>
      </c>
      <c r="L40" s="107">
        <f t="shared" si="25"/>
        <v>-2217.8438147356114</v>
      </c>
      <c r="M40" s="228">
        <f t="shared" si="7"/>
        <v>-11167.361580058823</v>
      </c>
      <c r="N40" s="228">
        <f t="shared" si="8"/>
        <v>-45.262978527109567</v>
      </c>
      <c r="O40" s="229">
        <f t="shared" si="9"/>
        <v>-11212.624558585932</v>
      </c>
      <c r="P40" s="107">
        <v>0</v>
      </c>
      <c r="Q40" s="228">
        <f t="shared" si="10"/>
        <v>0</v>
      </c>
      <c r="R40" s="228">
        <f t="shared" si="11"/>
        <v>0</v>
      </c>
      <c r="S40" s="229">
        <f t="shared" si="12"/>
        <v>0</v>
      </c>
      <c r="T40" s="107">
        <v>0</v>
      </c>
      <c r="U40" s="228">
        <f t="shared" si="13"/>
        <v>0</v>
      </c>
      <c r="V40" s="228">
        <f t="shared" si="14"/>
        <v>0</v>
      </c>
      <c r="W40" s="229">
        <f t="shared" si="15"/>
        <v>0</v>
      </c>
    </row>
    <row r="41" spans="1:23" ht="15.75" customHeight="1" x14ac:dyDescent="0.25">
      <c r="A41" s="92" t="s">
        <v>25</v>
      </c>
      <c r="B41" s="196">
        <v>2019</v>
      </c>
      <c r="C41" s="304">
        <v>4.4999999999999997E-3</v>
      </c>
      <c r="D41" s="107">
        <f t="shared" si="24"/>
        <v>0</v>
      </c>
      <c r="E41" s="228">
        <f t="shared" si="21"/>
        <v>-5513.3122318318201</v>
      </c>
      <c r="F41" s="228">
        <f t="shared" si="22"/>
        <v>-24.809905043243187</v>
      </c>
      <c r="G41" s="229">
        <f t="shared" si="23"/>
        <v>-5538.122136875063</v>
      </c>
      <c r="H41" s="107">
        <v>0</v>
      </c>
      <c r="I41" s="228">
        <f t="shared" si="4"/>
        <v>-20608.770628979575</v>
      </c>
      <c r="J41" s="228">
        <f t="shared" si="5"/>
        <v>-92.739467830408074</v>
      </c>
      <c r="K41" s="229">
        <f t="shared" si="6"/>
        <v>-20701.510096809983</v>
      </c>
      <c r="L41" s="107">
        <f t="shared" si="25"/>
        <v>-2217.8438147356114</v>
      </c>
      <c r="M41" s="228">
        <f t="shared" si="7"/>
        <v>-13430.468373321544</v>
      </c>
      <c r="N41" s="228">
        <f t="shared" si="8"/>
        <v>-55.446959096791822</v>
      </c>
      <c r="O41" s="229">
        <f t="shared" si="9"/>
        <v>-13485.915332418335</v>
      </c>
      <c r="P41" s="107">
        <v>0</v>
      </c>
      <c r="Q41" s="228">
        <f t="shared" si="10"/>
        <v>0</v>
      </c>
      <c r="R41" s="228">
        <f t="shared" si="11"/>
        <v>0</v>
      </c>
      <c r="S41" s="229">
        <f t="shared" si="12"/>
        <v>0</v>
      </c>
      <c r="T41" s="107">
        <v>0</v>
      </c>
      <c r="U41" s="228">
        <f t="shared" si="13"/>
        <v>0</v>
      </c>
      <c r="V41" s="228">
        <f t="shared" si="14"/>
        <v>0</v>
      </c>
      <c r="W41" s="229">
        <f t="shared" si="15"/>
        <v>0</v>
      </c>
    </row>
    <row r="42" spans="1:23" ht="15.75" customHeight="1" x14ac:dyDescent="0.25">
      <c r="A42" s="92" t="s">
        <v>11</v>
      </c>
      <c r="B42" s="196">
        <v>2019</v>
      </c>
      <c r="C42" s="304">
        <v>4.5999999999999999E-3</v>
      </c>
      <c r="D42" s="107">
        <f t="shared" si="24"/>
        <v>0</v>
      </c>
      <c r="E42" s="228">
        <f t="shared" si="21"/>
        <v>-5538.122136875063</v>
      </c>
      <c r="F42" s="228">
        <f t="shared" si="22"/>
        <v>-25.475361829625289</v>
      </c>
      <c r="G42" s="229">
        <f t="shared" si="23"/>
        <v>-5563.5974987046884</v>
      </c>
      <c r="H42" s="107">
        <v>0</v>
      </c>
      <c r="I42" s="228">
        <f t="shared" si="4"/>
        <v>-20701.510096809983</v>
      </c>
      <c r="J42" s="228">
        <f t="shared" si="5"/>
        <v>-95.226946445325922</v>
      </c>
      <c r="K42" s="229">
        <f t="shared" si="6"/>
        <v>-20796.737043255311</v>
      </c>
      <c r="L42" s="107">
        <f t="shared" si="25"/>
        <v>-2217.8438147356114</v>
      </c>
      <c r="M42" s="228">
        <f t="shared" si="7"/>
        <v>-15703.759147153947</v>
      </c>
      <c r="N42" s="228">
        <f t="shared" si="8"/>
        <v>-67.136251303016252</v>
      </c>
      <c r="O42" s="229">
        <f t="shared" si="9"/>
        <v>-15770.895398456963</v>
      </c>
      <c r="P42" s="107">
        <v>0</v>
      </c>
      <c r="Q42" s="228">
        <f t="shared" si="10"/>
        <v>0</v>
      </c>
      <c r="R42" s="228">
        <f t="shared" si="11"/>
        <v>0</v>
      </c>
      <c r="S42" s="229">
        <f t="shared" si="12"/>
        <v>0</v>
      </c>
      <c r="T42" s="107">
        <v>0</v>
      </c>
      <c r="U42" s="228">
        <f t="shared" si="13"/>
        <v>0</v>
      </c>
      <c r="V42" s="228">
        <f t="shared" si="14"/>
        <v>0</v>
      </c>
      <c r="W42" s="229">
        <f t="shared" si="15"/>
        <v>0</v>
      </c>
    </row>
    <row r="43" spans="1:23" ht="15.75" customHeight="1" x14ac:dyDescent="0.25">
      <c r="A43" s="92" t="s">
        <v>12</v>
      </c>
      <c r="B43" s="196">
        <v>2019</v>
      </c>
      <c r="C43" s="304">
        <v>4.5999999999999999E-3</v>
      </c>
      <c r="D43" s="107">
        <f t="shared" si="24"/>
        <v>0</v>
      </c>
      <c r="E43" s="228">
        <f t="shared" si="21"/>
        <v>-5563.5974987046884</v>
      </c>
      <c r="F43" s="228">
        <f t="shared" si="22"/>
        <v>-25.592548494041566</v>
      </c>
      <c r="G43" s="229">
        <f t="shared" si="23"/>
        <v>-5589.1900471987301</v>
      </c>
      <c r="H43" s="107">
        <v>0</v>
      </c>
      <c r="I43" s="228">
        <f t="shared" si="4"/>
        <v>-20796.737043255311</v>
      </c>
      <c r="J43" s="228">
        <f t="shared" si="5"/>
        <v>-95.664990398974425</v>
      </c>
      <c r="K43" s="229">
        <f t="shared" si="6"/>
        <v>-20892.402033654285</v>
      </c>
      <c r="L43" s="107">
        <f t="shared" si="25"/>
        <v>-2217.8438147356114</v>
      </c>
      <c r="M43" s="228">
        <f t="shared" si="7"/>
        <v>-17988.739213192574</v>
      </c>
      <c r="N43" s="228">
        <f t="shared" si="8"/>
        <v>-77.647159606793949</v>
      </c>
      <c r="O43" s="229">
        <f t="shared" si="9"/>
        <v>-18066.386372799367</v>
      </c>
      <c r="P43" s="107">
        <v>0</v>
      </c>
      <c r="Q43" s="228">
        <f t="shared" si="10"/>
        <v>0</v>
      </c>
      <c r="R43" s="228">
        <f t="shared" si="11"/>
        <v>0</v>
      </c>
      <c r="S43" s="229">
        <f t="shared" si="12"/>
        <v>0</v>
      </c>
      <c r="T43" s="107">
        <v>0</v>
      </c>
      <c r="U43" s="228">
        <f t="shared" si="13"/>
        <v>0</v>
      </c>
      <c r="V43" s="228">
        <f t="shared" si="14"/>
        <v>0</v>
      </c>
      <c r="W43" s="229">
        <f t="shared" si="15"/>
        <v>0</v>
      </c>
    </row>
    <row r="44" spans="1:23" ht="15.75" customHeight="1" x14ac:dyDescent="0.25">
      <c r="A44" s="92" t="s">
        <v>13</v>
      </c>
      <c r="B44" s="196">
        <v>2019</v>
      </c>
      <c r="C44" s="304">
        <v>4.5999999999999999E-3</v>
      </c>
      <c r="D44" s="107">
        <f t="shared" si="24"/>
        <v>0</v>
      </c>
      <c r="E44" s="228">
        <f t="shared" si="21"/>
        <v>-5589.1900471987301</v>
      </c>
      <c r="F44" s="228">
        <f t="shared" si="22"/>
        <v>-25.710274217114158</v>
      </c>
      <c r="G44" s="229">
        <f t="shared" si="23"/>
        <v>-5614.9003214158447</v>
      </c>
      <c r="H44" s="107">
        <v>0</v>
      </c>
      <c r="I44" s="228">
        <f t="shared" si="4"/>
        <v>-20892.402033654285</v>
      </c>
      <c r="J44" s="228">
        <f t="shared" si="5"/>
        <v>-96.105049354809708</v>
      </c>
      <c r="K44" s="229">
        <f t="shared" si="6"/>
        <v>-20988.507083009095</v>
      </c>
      <c r="L44" s="107">
        <f t="shared" si="25"/>
        <v>-2217.8438147356114</v>
      </c>
      <c r="M44" s="228">
        <f t="shared" si="7"/>
        <v>-20284.230187534977</v>
      </c>
      <c r="N44" s="228">
        <f t="shared" si="8"/>
        <v>-88.206418088768984</v>
      </c>
      <c r="O44" s="229">
        <f t="shared" si="9"/>
        <v>-20372.436605623745</v>
      </c>
      <c r="P44" s="107">
        <v>0</v>
      </c>
      <c r="Q44" s="228">
        <f t="shared" si="10"/>
        <v>0</v>
      </c>
      <c r="R44" s="228">
        <f t="shared" si="11"/>
        <v>0</v>
      </c>
      <c r="S44" s="229">
        <f t="shared" si="12"/>
        <v>0</v>
      </c>
      <c r="T44" s="107">
        <v>0</v>
      </c>
      <c r="U44" s="228">
        <f t="shared" si="13"/>
        <v>0</v>
      </c>
      <c r="V44" s="228">
        <f t="shared" si="14"/>
        <v>0</v>
      </c>
      <c r="W44" s="229">
        <f t="shared" si="15"/>
        <v>0</v>
      </c>
    </row>
    <row r="45" spans="1:23" ht="15.75" customHeight="1" x14ac:dyDescent="0.25">
      <c r="A45" s="92" t="s">
        <v>15</v>
      </c>
      <c r="B45" s="196">
        <v>2019</v>
      </c>
      <c r="C45" s="304">
        <v>4.4999999999999997E-3</v>
      </c>
      <c r="D45" s="107">
        <f t="shared" si="24"/>
        <v>0</v>
      </c>
      <c r="E45" s="228">
        <f t="shared" si="21"/>
        <v>-5614.9003214158447</v>
      </c>
      <c r="F45" s="228">
        <f t="shared" si="22"/>
        <v>-25.267051446371298</v>
      </c>
      <c r="G45" s="229">
        <f t="shared" si="23"/>
        <v>-5640.1673728622163</v>
      </c>
      <c r="H45" s="107">
        <v>0</v>
      </c>
      <c r="I45" s="228">
        <f t="shared" si="4"/>
        <v>-20988.507083009095</v>
      </c>
      <c r="J45" s="228">
        <f t="shared" si="5"/>
        <v>-94.448281873540921</v>
      </c>
      <c r="K45" s="229">
        <f t="shared" si="6"/>
        <v>-21082.955364882637</v>
      </c>
      <c r="L45" s="107">
        <f t="shared" si="25"/>
        <v>-2217.8438147356114</v>
      </c>
      <c r="M45" s="228">
        <f t="shared" si="7"/>
        <v>-22590.280420359355</v>
      </c>
      <c r="N45" s="228">
        <f t="shared" si="8"/>
        <v>-96.666113308461973</v>
      </c>
      <c r="O45" s="229">
        <f t="shared" si="9"/>
        <v>-22686.946533667819</v>
      </c>
      <c r="P45" s="107">
        <v>0</v>
      </c>
      <c r="Q45" s="228">
        <f t="shared" si="10"/>
        <v>0</v>
      </c>
      <c r="R45" s="228">
        <f t="shared" si="11"/>
        <v>0</v>
      </c>
      <c r="S45" s="229">
        <f t="shared" si="12"/>
        <v>0</v>
      </c>
      <c r="T45" s="107">
        <v>0</v>
      </c>
      <c r="U45" s="228">
        <f t="shared" si="13"/>
        <v>0</v>
      </c>
      <c r="V45" s="228">
        <f t="shared" si="14"/>
        <v>0</v>
      </c>
      <c r="W45" s="229">
        <f t="shared" si="15"/>
        <v>0</v>
      </c>
    </row>
    <row r="46" spans="1:23" ht="15.75" customHeight="1" x14ac:dyDescent="0.25">
      <c r="A46" s="92" t="s">
        <v>14</v>
      </c>
      <c r="B46" s="196">
        <v>2019</v>
      </c>
      <c r="C46" s="304">
        <v>4.4999999999999997E-3</v>
      </c>
      <c r="D46" s="107">
        <f t="shared" si="24"/>
        <v>0</v>
      </c>
      <c r="E46" s="228">
        <f t="shared" si="21"/>
        <v>-5640.1673728622163</v>
      </c>
      <c r="F46" s="228">
        <f t="shared" si="22"/>
        <v>-25.380753177879971</v>
      </c>
      <c r="G46" s="229">
        <f t="shared" si="23"/>
        <v>-5665.5481260400966</v>
      </c>
      <c r="H46" s="107">
        <v>0</v>
      </c>
      <c r="I46" s="228">
        <f t="shared" si="4"/>
        <v>-21082.955364882637</v>
      </c>
      <c r="J46" s="228">
        <f t="shared" si="5"/>
        <v>-94.873299141971856</v>
      </c>
      <c r="K46" s="229">
        <f t="shared" si="6"/>
        <v>-21177.828664024608</v>
      </c>
      <c r="L46" s="107">
        <f t="shared" si="25"/>
        <v>-2217.8438147356114</v>
      </c>
      <c r="M46" s="228">
        <f t="shared" si="7"/>
        <v>-24904.790348403429</v>
      </c>
      <c r="N46" s="228">
        <f t="shared" si="8"/>
        <v>-107.08140798466029</v>
      </c>
      <c r="O46" s="229">
        <f t="shared" si="9"/>
        <v>-25011.871756388089</v>
      </c>
      <c r="P46" s="107">
        <v>0</v>
      </c>
      <c r="Q46" s="228">
        <f t="shared" si="10"/>
        <v>0</v>
      </c>
      <c r="R46" s="228">
        <f t="shared" si="11"/>
        <v>0</v>
      </c>
      <c r="S46" s="229">
        <f t="shared" si="12"/>
        <v>0</v>
      </c>
      <c r="T46" s="107">
        <v>0</v>
      </c>
      <c r="U46" s="228">
        <f t="shared" si="13"/>
        <v>0</v>
      </c>
      <c r="V46" s="228">
        <f t="shared" si="14"/>
        <v>0</v>
      </c>
      <c r="W46" s="229">
        <f t="shared" si="15"/>
        <v>0</v>
      </c>
    </row>
    <row r="47" spans="1:23" ht="15.75" customHeight="1" x14ac:dyDescent="0.25">
      <c r="A47" s="92" t="s">
        <v>6</v>
      </c>
      <c r="B47" s="196">
        <v>2019</v>
      </c>
      <c r="C47" s="304">
        <v>4.4999999999999997E-3</v>
      </c>
      <c r="D47" s="107">
        <f t="shared" si="24"/>
        <v>0</v>
      </c>
      <c r="E47" s="228">
        <f t="shared" si="21"/>
        <v>-5665.5481260400966</v>
      </c>
      <c r="F47" s="228">
        <f t="shared" si="22"/>
        <v>-25.494966567180434</v>
      </c>
      <c r="G47" s="229">
        <f t="shared" si="23"/>
        <v>-5691.0430926072768</v>
      </c>
      <c r="H47" s="108">
        <v>0</v>
      </c>
      <c r="I47" s="228">
        <f t="shared" si="4"/>
        <v>-21177.828664024608</v>
      </c>
      <c r="J47" s="228">
        <f t="shared" si="5"/>
        <v>-95.300228988110732</v>
      </c>
      <c r="K47" s="229">
        <f t="shared" si="6"/>
        <v>-21273.128893012719</v>
      </c>
      <c r="L47" s="107">
        <f t="shared" si="25"/>
        <v>-2217.8438147356114</v>
      </c>
      <c r="M47" s="228">
        <f t="shared" si="7"/>
        <v>-27229.715571123699</v>
      </c>
      <c r="N47" s="228">
        <f t="shared" si="8"/>
        <v>-117.54357148690153</v>
      </c>
      <c r="O47" s="229">
        <f t="shared" si="9"/>
        <v>-27347.259142610601</v>
      </c>
      <c r="P47" s="108">
        <v>0</v>
      </c>
      <c r="Q47" s="228">
        <f t="shared" si="10"/>
        <v>0</v>
      </c>
      <c r="R47" s="228">
        <f t="shared" si="11"/>
        <v>0</v>
      </c>
      <c r="S47" s="229">
        <f t="shared" si="12"/>
        <v>0</v>
      </c>
      <c r="T47" s="108">
        <v>0</v>
      </c>
      <c r="U47" s="228">
        <f t="shared" si="13"/>
        <v>0</v>
      </c>
      <c r="V47" s="228">
        <f t="shared" si="14"/>
        <v>0</v>
      </c>
      <c r="W47" s="229">
        <f t="shared" si="15"/>
        <v>0</v>
      </c>
    </row>
    <row r="48" spans="1:23" x14ac:dyDescent="0.25">
      <c r="A48" s="92" t="s">
        <v>7</v>
      </c>
      <c r="B48" s="197">
        <v>2020</v>
      </c>
      <c r="C48" s="304">
        <v>4.1000000000000003E-3</v>
      </c>
      <c r="D48" s="107">
        <v>0</v>
      </c>
      <c r="E48" s="228">
        <f t="shared" si="21"/>
        <v>-5691.0430926072768</v>
      </c>
      <c r="F48" s="228">
        <f t="shared" si="22"/>
        <v>-23.333276679689838</v>
      </c>
      <c r="G48" s="229">
        <f t="shared" si="23"/>
        <v>-5714.376369286967</v>
      </c>
      <c r="H48" s="107">
        <v>0</v>
      </c>
      <c r="I48" s="228">
        <f t="shared" si="4"/>
        <v>-21273.128893012719</v>
      </c>
      <c r="J48" s="228">
        <f t="shared" si="5"/>
        <v>-87.219828461352151</v>
      </c>
      <c r="K48" s="229">
        <f t="shared" si="6"/>
        <v>-21360.348721474071</v>
      </c>
      <c r="L48" s="107">
        <v>0</v>
      </c>
      <c r="M48" s="228">
        <f t="shared" si="7"/>
        <v>-27347.259142610601</v>
      </c>
      <c r="N48" s="228">
        <f t="shared" si="8"/>
        <v>-112.12376248470348</v>
      </c>
      <c r="O48" s="229">
        <f t="shared" si="9"/>
        <v>-27459.382905095303</v>
      </c>
      <c r="P48" s="107">
        <f>'WP-2020 True Up TRR Adj'!D8/12</f>
        <v>-14782.156458079815</v>
      </c>
      <c r="Q48" s="228">
        <f t="shared" si="10"/>
        <v>-14782.156458079815</v>
      </c>
      <c r="R48" s="228">
        <f t="shared" si="11"/>
        <v>-30.303420739063622</v>
      </c>
      <c r="S48" s="229">
        <f t="shared" si="12"/>
        <v>-14812.459878818878</v>
      </c>
      <c r="T48" s="107">
        <f>'WP-2020 True Up TRR Adj'!P8/12</f>
        <v>0</v>
      </c>
      <c r="U48" s="228">
        <f t="shared" si="13"/>
        <v>0</v>
      </c>
      <c r="V48" s="228">
        <f t="shared" si="14"/>
        <v>0</v>
      </c>
      <c r="W48" s="229">
        <f t="shared" si="15"/>
        <v>0</v>
      </c>
    </row>
    <row r="49" spans="1:23" x14ac:dyDescent="0.25">
      <c r="A49" s="92" t="s">
        <v>8</v>
      </c>
      <c r="B49" s="197">
        <v>2020</v>
      </c>
      <c r="C49" s="304">
        <v>4.1000000000000003E-3</v>
      </c>
      <c r="D49" s="107">
        <f>D48</f>
        <v>0</v>
      </c>
      <c r="E49" s="228">
        <f t="shared" si="21"/>
        <v>-5714.376369286967</v>
      </c>
      <c r="F49" s="228">
        <f t="shared" si="22"/>
        <v>-23.428943114076567</v>
      </c>
      <c r="G49" s="229">
        <f t="shared" si="23"/>
        <v>-5737.8053124010439</v>
      </c>
      <c r="H49" s="107">
        <v>0</v>
      </c>
      <c r="I49" s="228">
        <f t="shared" si="4"/>
        <v>-21360.348721474071</v>
      </c>
      <c r="J49" s="228">
        <f t="shared" si="5"/>
        <v>-87.577429758043692</v>
      </c>
      <c r="K49" s="229">
        <f t="shared" si="6"/>
        <v>-21447.926151232114</v>
      </c>
      <c r="L49" s="107">
        <v>0</v>
      </c>
      <c r="M49" s="228">
        <f t="shared" si="7"/>
        <v>-27459.382905095303</v>
      </c>
      <c r="N49" s="228">
        <f t="shared" si="8"/>
        <v>-112.58346991089076</v>
      </c>
      <c r="O49" s="229">
        <f t="shared" si="9"/>
        <v>-27571.966375006192</v>
      </c>
      <c r="P49" s="107">
        <f>P48</f>
        <v>-14782.156458079815</v>
      </c>
      <c r="Q49" s="228">
        <f t="shared" si="10"/>
        <v>-29594.616336898693</v>
      </c>
      <c r="R49" s="228">
        <f t="shared" si="11"/>
        <v>-91.034506242221028</v>
      </c>
      <c r="S49" s="229">
        <f t="shared" si="12"/>
        <v>-29685.650843140913</v>
      </c>
      <c r="T49" s="107">
        <f>T48</f>
        <v>0</v>
      </c>
      <c r="U49" s="228">
        <f t="shared" si="13"/>
        <v>0</v>
      </c>
      <c r="V49" s="228">
        <f t="shared" si="14"/>
        <v>0</v>
      </c>
      <c r="W49" s="229">
        <f t="shared" si="15"/>
        <v>0</v>
      </c>
    </row>
    <row r="50" spans="1:23" x14ac:dyDescent="0.25">
      <c r="A50" s="92" t="s">
        <v>18</v>
      </c>
      <c r="B50" s="197">
        <v>2020</v>
      </c>
      <c r="C50" s="304">
        <v>4.1000000000000003E-3</v>
      </c>
      <c r="D50" s="107">
        <f t="shared" ref="D50:D59" si="26">D49</f>
        <v>0</v>
      </c>
      <c r="E50" s="228">
        <f t="shared" si="21"/>
        <v>-5737.8053124010439</v>
      </c>
      <c r="F50" s="228">
        <f t="shared" si="22"/>
        <v>-23.525001780844281</v>
      </c>
      <c r="G50" s="229">
        <f t="shared" si="23"/>
        <v>-5761.3303141818878</v>
      </c>
      <c r="H50" s="107">
        <v>0</v>
      </c>
      <c r="I50" s="228">
        <f t="shared" si="4"/>
        <v>-21447.926151232114</v>
      </c>
      <c r="J50" s="228">
        <f t="shared" si="5"/>
        <v>-87.936497220051677</v>
      </c>
      <c r="K50" s="229">
        <f t="shared" si="6"/>
        <v>-21535.862648452166</v>
      </c>
      <c r="L50" s="107">
        <v>0</v>
      </c>
      <c r="M50" s="228">
        <f t="shared" si="7"/>
        <v>-27571.966375006192</v>
      </c>
      <c r="N50" s="228">
        <f t="shared" si="8"/>
        <v>-113.04506213752539</v>
      </c>
      <c r="O50" s="229">
        <f t="shared" si="9"/>
        <v>-27685.011437143716</v>
      </c>
      <c r="P50" s="107">
        <f t="shared" ref="P50:P59" si="27">P49</f>
        <v>-14782.156458079815</v>
      </c>
      <c r="Q50" s="228">
        <f t="shared" si="10"/>
        <v>-44467.807301220731</v>
      </c>
      <c r="R50" s="228">
        <f t="shared" si="11"/>
        <v>-152.0145891959414</v>
      </c>
      <c r="S50" s="229">
        <f t="shared" si="12"/>
        <v>-44619.821890416672</v>
      </c>
      <c r="T50" s="107">
        <f t="shared" ref="T50:T59" si="28">T49</f>
        <v>0</v>
      </c>
      <c r="U50" s="228">
        <f t="shared" si="13"/>
        <v>0</v>
      </c>
      <c r="V50" s="228">
        <f t="shared" si="14"/>
        <v>0</v>
      </c>
      <c r="W50" s="229">
        <f t="shared" si="15"/>
        <v>0</v>
      </c>
    </row>
    <row r="51" spans="1:23" x14ac:dyDescent="0.25">
      <c r="A51" s="92" t="s">
        <v>9</v>
      </c>
      <c r="B51" s="197">
        <v>2020</v>
      </c>
      <c r="C51" s="304">
        <v>4.0000000000000001E-3</v>
      </c>
      <c r="D51" s="107">
        <f t="shared" si="26"/>
        <v>0</v>
      </c>
      <c r="E51" s="228">
        <f t="shared" si="21"/>
        <v>-5761.3303141818878</v>
      </c>
      <c r="F51" s="228">
        <f t="shared" si="22"/>
        <v>-23.045321256727551</v>
      </c>
      <c r="G51" s="229">
        <f t="shared" si="23"/>
        <v>-5784.3756354386151</v>
      </c>
      <c r="H51" s="107">
        <v>0</v>
      </c>
      <c r="I51" s="228">
        <f t="shared" si="4"/>
        <v>-21535.862648452166</v>
      </c>
      <c r="J51" s="228">
        <f t="shared" si="5"/>
        <v>-86.143450593808666</v>
      </c>
      <c r="K51" s="229">
        <f t="shared" si="6"/>
        <v>-21622.006099045975</v>
      </c>
      <c r="L51" s="107">
        <v>0</v>
      </c>
      <c r="M51" s="228">
        <f t="shared" si="7"/>
        <v>-27685.011437143716</v>
      </c>
      <c r="N51" s="228">
        <f t="shared" si="8"/>
        <v>-110.74004574857487</v>
      </c>
      <c r="O51" s="229">
        <f t="shared" si="9"/>
        <v>-27795.75148289229</v>
      </c>
      <c r="P51" s="107">
        <f t="shared" si="27"/>
        <v>-14782.156458079815</v>
      </c>
      <c r="Q51" s="228">
        <f t="shared" si="10"/>
        <v>-59401.978348496486</v>
      </c>
      <c r="R51" s="228">
        <f t="shared" si="11"/>
        <v>-208.04360047782632</v>
      </c>
      <c r="S51" s="229">
        <f t="shared" si="12"/>
        <v>-59610.02194897431</v>
      </c>
      <c r="T51" s="107">
        <f t="shared" si="28"/>
        <v>0</v>
      </c>
      <c r="U51" s="228">
        <f t="shared" si="13"/>
        <v>0</v>
      </c>
      <c r="V51" s="228">
        <f t="shared" si="14"/>
        <v>0</v>
      </c>
      <c r="W51" s="229">
        <f t="shared" si="15"/>
        <v>0</v>
      </c>
    </row>
    <row r="52" spans="1:23" x14ac:dyDescent="0.25">
      <c r="A52" s="92" t="s">
        <v>10</v>
      </c>
      <c r="B52" s="197">
        <v>2020</v>
      </c>
      <c r="C52" s="304">
        <v>4.0000000000000001E-3</v>
      </c>
      <c r="D52" s="107">
        <f t="shared" si="26"/>
        <v>0</v>
      </c>
      <c r="E52" s="228">
        <f t="shared" si="21"/>
        <v>-5784.3756354386151</v>
      </c>
      <c r="F52" s="228">
        <f t="shared" si="22"/>
        <v>-23.137502541754461</v>
      </c>
      <c r="G52" s="229">
        <f t="shared" si="23"/>
        <v>-5807.5131379803697</v>
      </c>
      <c r="H52" s="107">
        <v>0</v>
      </c>
      <c r="I52" s="228">
        <f t="shared" si="4"/>
        <v>-21622.006099045975</v>
      </c>
      <c r="J52" s="228">
        <f t="shared" si="5"/>
        <v>-86.488024396183903</v>
      </c>
      <c r="K52" s="229">
        <f t="shared" si="6"/>
        <v>-21708.49412344216</v>
      </c>
      <c r="L52" s="107">
        <v>0</v>
      </c>
      <c r="M52" s="228">
        <f t="shared" si="7"/>
        <v>-27795.75148289229</v>
      </c>
      <c r="N52" s="228">
        <f t="shared" si="8"/>
        <v>-111.18300593156917</v>
      </c>
      <c r="O52" s="229">
        <f t="shared" si="9"/>
        <v>-27906.934488823859</v>
      </c>
      <c r="P52" s="107">
        <f t="shared" si="27"/>
        <v>-14782.156458079815</v>
      </c>
      <c r="Q52" s="228">
        <f t="shared" si="10"/>
        <v>-74392.178407054133</v>
      </c>
      <c r="R52" s="228">
        <f t="shared" si="11"/>
        <v>-268.00440071205691</v>
      </c>
      <c r="S52" s="229">
        <f t="shared" si="12"/>
        <v>-74660.182807766192</v>
      </c>
      <c r="T52" s="107">
        <f t="shared" si="28"/>
        <v>0</v>
      </c>
      <c r="U52" s="228">
        <f t="shared" si="13"/>
        <v>0</v>
      </c>
      <c r="V52" s="228">
        <f t="shared" si="14"/>
        <v>0</v>
      </c>
      <c r="W52" s="229">
        <f t="shared" si="15"/>
        <v>0</v>
      </c>
    </row>
    <row r="53" spans="1:23" x14ac:dyDescent="0.25">
      <c r="A53" s="92" t="s">
        <v>25</v>
      </c>
      <c r="B53" s="197">
        <v>2020</v>
      </c>
      <c r="C53" s="304">
        <v>4.0000000000000001E-3</v>
      </c>
      <c r="D53" s="107">
        <f t="shared" si="26"/>
        <v>0</v>
      </c>
      <c r="E53" s="228">
        <f t="shared" si="21"/>
        <v>-5807.5131379803697</v>
      </c>
      <c r="F53" s="228">
        <f t="shared" si="22"/>
        <v>-23.230052551921478</v>
      </c>
      <c r="G53" s="229">
        <f t="shared" si="23"/>
        <v>-5830.743190532291</v>
      </c>
      <c r="H53" s="107">
        <v>0</v>
      </c>
      <c r="I53" s="228">
        <f t="shared" si="4"/>
        <v>-21708.49412344216</v>
      </c>
      <c r="J53" s="228">
        <f t="shared" si="5"/>
        <v>-86.833976493768645</v>
      </c>
      <c r="K53" s="229">
        <f t="shared" si="6"/>
        <v>-21795.32809993593</v>
      </c>
      <c r="L53" s="107">
        <v>0</v>
      </c>
      <c r="M53" s="228">
        <f t="shared" si="7"/>
        <v>-27906.934488823859</v>
      </c>
      <c r="N53" s="228">
        <f t="shared" si="8"/>
        <v>-111.62773795529544</v>
      </c>
      <c r="O53" s="229">
        <f t="shared" si="9"/>
        <v>-28018.562226779155</v>
      </c>
      <c r="P53" s="107">
        <f t="shared" si="27"/>
        <v>-14782.156458079815</v>
      </c>
      <c r="Q53" s="228">
        <f t="shared" si="10"/>
        <v>-89442.339265846007</v>
      </c>
      <c r="R53" s="228">
        <f t="shared" si="11"/>
        <v>-328.20504414722438</v>
      </c>
      <c r="S53" s="229">
        <f t="shared" si="12"/>
        <v>-89770.544309993231</v>
      </c>
      <c r="T53" s="107">
        <f t="shared" si="28"/>
        <v>0</v>
      </c>
      <c r="U53" s="228">
        <f t="shared" si="13"/>
        <v>0</v>
      </c>
      <c r="V53" s="228">
        <f t="shared" si="14"/>
        <v>0</v>
      </c>
      <c r="W53" s="229">
        <f t="shared" si="15"/>
        <v>0</v>
      </c>
    </row>
    <row r="54" spans="1:23" x14ac:dyDescent="0.25">
      <c r="A54" s="92" t="s">
        <v>11</v>
      </c>
      <c r="B54" s="197">
        <v>2020</v>
      </c>
      <c r="C54" s="304">
        <v>2.8999999999999998E-3</v>
      </c>
      <c r="D54" s="107">
        <f t="shared" si="26"/>
        <v>0</v>
      </c>
      <c r="E54" s="228">
        <f t="shared" si="21"/>
        <v>-5830.743190532291</v>
      </c>
      <c r="F54" s="228">
        <f t="shared" si="22"/>
        <v>-16.909155252543641</v>
      </c>
      <c r="G54" s="229">
        <f t="shared" si="23"/>
        <v>-5847.6523457848343</v>
      </c>
      <c r="H54" s="107">
        <v>0</v>
      </c>
      <c r="I54" s="228">
        <f t="shared" si="4"/>
        <v>-21795.32809993593</v>
      </c>
      <c r="J54" s="228">
        <f t="shared" si="5"/>
        <v>-63.206451489814192</v>
      </c>
      <c r="K54" s="229">
        <f t="shared" si="6"/>
        <v>-21858.534551425746</v>
      </c>
      <c r="L54" s="107">
        <v>0</v>
      </c>
      <c r="M54" s="228">
        <f t="shared" si="7"/>
        <v>-28018.562226779155</v>
      </c>
      <c r="N54" s="228">
        <f t="shared" si="8"/>
        <v>-81.253830457659546</v>
      </c>
      <c r="O54" s="229">
        <f t="shared" si="9"/>
        <v>-28099.816057236814</v>
      </c>
      <c r="P54" s="107">
        <f t="shared" si="27"/>
        <v>-14782.156458079815</v>
      </c>
      <c r="Q54" s="228">
        <f t="shared" si="10"/>
        <v>-104552.70076807305</v>
      </c>
      <c r="R54" s="228">
        <f t="shared" si="11"/>
        <v>-281.76870536319609</v>
      </c>
      <c r="S54" s="229">
        <f t="shared" si="12"/>
        <v>-104834.46947343624</v>
      </c>
      <c r="T54" s="107">
        <f t="shared" si="28"/>
        <v>0</v>
      </c>
      <c r="U54" s="228">
        <f t="shared" si="13"/>
        <v>0</v>
      </c>
      <c r="V54" s="228">
        <f t="shared" si="14"/>
        <v>0</v>
      </c>
      <c r="W54" s="229">
        <f t="shared" si="15"/>
        <v>0</v>
      </c>
    </row>
    <row r="55" spans="1:23" x14ac:dyDescent="0.25">
      <c r="A55" s="92" t="s">
        <v>12</v>
      </c>
      <c r="B55" s="197">
        <v>2020</v>
      </c>
      <c r="C55" s="304">
        <v>2.8999999999999998E-3</v>
      </c>
      <c r="D55" s="107">
        <f t="shared" si="26"/>
        <v>0</v>
      </c>
      <c r="E55" s="228">
        <f t="shared" si="21"/>
        <v>-5847.6523457848343</v>
      </c>
      <c r="F55" s="228">
        <f t="shared" si="22"/>
        <v>-16.958191802776017</v>
      </c>
      <c r="G55" s="229">
        <f t="shared" si="23"/>
        <v>-5864.6105375876105</v>
      </c>
      <c r="H55" s="107">
        <v>0</v>
      </c>
      <c r="I55" s="228">
        <f t="shared" si="4"/>
        <v>-21858.534551425746</v>
      </c>
      <c r="J55" s="228">
        <f t="shared" si="5"/>
        <v>-63.38975019913466</v>
      </c>
      <c r="K55" s="229">
        <f t="shared" si="6"/>
        <v>-21921.92430162488</v>
      </c>
      <c r="L55" s="107">
        <v>0</v>
      </c>
      <c r="M55" s="228">
        <f t="shared" si="7"/>
        <v>-28099.816057236814</v>
      </c>
      <c r="N55" s="228">
        <f t="shared" si="8"/>
        <v>-81.48946656598676</v>
      </c>
      <c r="O55" s="229">
        <f t="shared" si="9"/>
        <v>-28181.305523802803</v>
      </c>
      <c r="P55" s="107">
        <f t="shared" si="27"/>
        <v>-14782.156458079815</v>
      </c>
      <c r="Q55" s="228">
        <f t="shared" si="10"/>
        <v>-119616.62593151606</v>
      </c>
      <c r="R55" s="228">
        <f t="shared" si="11"/>
        <v>-325.45408833718079</v>
      </c>
      <c r="S55" s="229">
        <f t="shared" si="12"/>
        <v>-119942.08001985324</v>
      </c>
      <c r="T55" s="107">
        <f t="shared" si="28"/>
        <v>0</v>
      </c>
      <c r="U55" s="228">
        <f t="shared" si="13"/>
        <v>0</v>
      </c>
      <c r="V55" s="228">
        <f t="shared" si="14"/>
        <v>0</v>
      </c>
      <c r="W55" s="229">
        <f t="shared" si="15"/>
        <v>0</v>
      </c>
    </row>
    <row r="56" spans="1:23" x14ac:dyDescent="0.25">
      <c r="A56" s="92" t="s">
        <v>13</v>
      </c>
      <c r="B56" s="197">
        <v>2020</v>
      </c>
      <c r="C56" s="304">
        <v>2.8999999999999998E-3</v>
      </c>
      <c r="D56" s="107">
        <f t="shared" si="26"/>
        <v>0</v>
      </c>
      <c r="E56" s="228">
        <f t="shared" si="21"/>
        <v>-5864.6105375876105</v>
      </c>
      <c r="F56" s="228">
        <f t="shared" si="22"/>
        <v>-17.00737055900407</v>
      </c>
      <c r="G56" s="229">
        <f t="shared" si="23"/>
        <v>-5881.6179081466144</v>
      </c>
      <c r="H56" s="107">
        <v>0</v>
      </c>
      <c r="I56" s="228">
        <f t="shared" si="4"/>
        <v>-21921.92430162488</v>
      </c>
      <c r="J56" s="228">
        <f t="shared" si="5"/>
        <v>-63.573580474712145</v>
      </c>
      <c r="K56" s="229">
        <f t="shared" si="6"/>
        <v>-21985.497882099593</v>
      </c>
      <c r="L56" s="107">
        <v>0</v>
      </c>
      <c r="M56" s="228">
        <f t="shared" si="7"/>
        <v>-28181.305523802803</v>
      </c>
      <c r="N56" s="228">
        <f t="shared" si="8"/>
        <v>-81.725786019028121</v>
      </c>
      <c r="O56" s="229">
        <f t="shared" si="9"/>
        <v>-28263.031309821832</v>
      </c>
      <c r="P56" s="107">
        <f t="shared" si="27"/>
        <v>-14782.156458079815</v>
      </c>
      <c r="Q56" s="228">
        <f t="shared" si="10"/>
        <v>-134724.23647793307</v>
      </c>
      <c r="R56" s="228">
        <f t="shared" si="11"/>
        <v>-369.26615892179012</v>
      </c>
      <c r="S56" s="229">
        <f t="shared" si="12"/>
        <v>-135093.50263685486</v>
      </c>
      <c r="T56" s="107">
        <f t="shared" si="28"/>
        <v>0</v>
      </c>
      <c r="U56" s="228">
        <f t="shared" si="13"/>
        <v>0</v>
      </c>
      <c r="V56" s="228">
        <f t="shared" si="14"/>
        <v>0</v>
      </c>
      <c r="W56" s="229">
        <f t="shared" si="15"/>
        <v>0</v>
      </c>
    </row>
    <row r="57" spans="1:23" x14ac:dyDescent="0.25">
      <c r="A57" s="92" t="s">
        <v>15</v>
      </c>
      <c r="B57" s="197">
        <v>2020</v>
      </c>
      <c r="C57" s="304">
        <v>2.7000000000000001E-3</v>
      </c>
      <c r="D57" s="107">
        <f t="shared" si="26"/>
        <v>0</v>
      </c>
      <c r="E57" s="228">
        <f t="shared" si="21"/>
        <v>-5881.6179081466144</v>
      </c>
      <c r="F57" s="228">
        <f t="shared" si="22"/>
        <v>-15.880368351995859</v>
      </c>
      <c r="G57" s="229">
        <f t="shared" si="23"/>
        <v>-5897.4982764986098</v>
      </c>
      <c r="H57" s="107">
        <v>0</v>
      </c>
      <c r="I57" s="228">
        <f t="shared" si="4"/>
        <v>-21985.497882099593</v>
      </c>
      <c r="J57" s="228">
        <f t="shared" si="5"/>
        <v>-59.360844281668903</v>
      </c>
      <c r="K57" s="229">
        <f t="shared" si="6"/>
        <v>-22044.858726381262</v>
      </c>
      <c r="L57" s="107">
        <v>0</v>
      </c>
      <c r="M57" s="228">
        <f t="shared" si="7"/>
        <v>-28263.031309821832</v>
      </c>
      <c r="N57" s="228">
        <f t="shared" si="8"/>
        <v>-76.310184536518946</v>
      </c>
      <c r="O57" s="229">
        <f t="shared" si="9"/>
        <v>-28339.341494358352</v>
      </c>
      <c r="P57" s="107">
        <f t="shared" si="27"/>
        <v>-14782.156458079815</v>
      </c>
      <c r="Q57" s="228">
        <f t="shared" si="10"/>
        <v>-149875.65909493467</v>
      </c>
      <c r="R57" s="228">
        <f t="shared" si="11"/>
        <v>-384.70836833791589</v>
      </c>
      <c r="S57" s="229">
        <f t="shared" si="12"/>
        <v>-150260.36746327259</v>
      </c>
      <c r="T57" s="107">
        <f t="shared" si="28"/>
        <v>0</v>
      </c>
      <c r="U57" s="228">
        <f t="shared" si="13"/>
        <v>0</v>
      </c>
      <c r="V57" s="228">
        <f t="shared" si="14"/>
        <v>0</v>
      </c>
      <c r="W57" s="229">
        <f t="shared" si="15"/>
        <v>0</v>
      </c>
    </row>
    <row r="58" spans="1:23" x14ac:dyDescent="0.25">
      <c r="A58" s="92" t="s">
        <v>14</v>
      </c>
      <c r="B58" s="197">
        <v>2020</v>
      </c>
      <c r="C58" s="304">
        <v>2.7000000000000001E-3</v>
      </c>
      <c r="D58" s="107">
        <f t="shared" si="26"/>
        <v>0</v>
      </c>
      <c r="E58" s="228">
        <f t="shared" si="21"/>
        <v>-5897.4982764986098</v>
      </c>
      <c r="F58" s="228">
        <f t="shared" si="22"/>
        <v>-15.923245346546247</v>
      </c>
      <c r="G58" s="229">
        <f t="shared" si="23"/>
        <v>-5913.4215218451563</v>
      </c>
      <c r="H58" s="107">
        <v>0</v>
      </c>
      <c r="I58" s="228">
        <f t="shared" si="4"/>
        <v>-22044.858726381262</v>
      </c>
      <c r="J58" s="228">
        <f t="shared" si="5"/>
        <v>-59.521118561229414</v>
      </c>
      <c r="K58" s="229">
        <f t="shared" si="6"/>
        <v>-22104.37984494249</v>
      </c>
      <c r="L58" s="107">
        <v>0</v>
      </c>
      <c r="M58" s="228">
        <f t="shared" si="7"/>
        <v>-28339.341494358352</v>
      </c>
      <c r="N58" s="228">
        <f t="shared" si="8"/>
        <v>-76.516222034767551</v>
      </c>
      <c r="O58" s="229">
        <f t="shared" si="9"/>
        <v>-28415.857716393119</v>
      </c>
      <c r="P58" s="107">
        <f t="shared" si="27"/>
        <v>-14782.156458079815</v>
      </c>
      <c r="Q58" s="228">
        <f t="shared" si="10"/>
        <v>-165042.5239213524</v>
      </c>
      <c r="R58" s="228">
        <f t="shared" si="11"/>
        <v>-425.65890336924377</v>
      </c>
      <c r="S58" s="229">
        <f t="shared" si="12"/>
        <v>-165468.18282472165</v>
      </c>
      <c r="T58" s="107">
        <f t="shared" si="28"/>
        <v>0</v>
      </c>
      <c r="U58" s="228">
        <f t="shared" si="13"/>
        <v>0</v>
      </c>
      <c r="V58" s="228">
        <f t="shared" si="14"/>
        <v>0</v>
      </c>
      <c r="W58" s="229">
        <f t="shared" si="15"/>
        <v>0</v>
      </c>
    </row>
    <row r="59" spans="1:23" x14ac:dyDescent="0.25">
      <c r="A59" s="92" t="s">
        <v>6</v>
      </c>
      <c r="B59" s="197">
        <v>2020</v>
      </c>
      <c r="C59" s="304">
        <v>2.7000000000000001E-3</v>
      </c>
      <c r="D59" s="107">
        <f t="shared" si="26"/>
        <v>0</v>
      </c>
      <c r="E59" s="228">
        <f t="shared" si="21"/>
        <v>-5913.4215218451563</v>
      </c>
      <c r="F59" s="228">
        <f t="shared" si="22"/>
        <v>-15.966238108981923</v>
      </c>
      <c r="G59" s="229">
        <f t="shared" si="23"/>
        <v>-5929.3877599541383</v>
      </c>
      <c r="H59" s="108">
        <v>0</v>
      </c>
      <c r="I59" s="228">
        <f t="shared" si="4"/>
        <v>-22104.37984494249</v>
      </c>
      <c r="J59" s="228">
        <f t="shared" si="5"/>
        <v>-59.681825581344725</v>
      </c>
      <c r="K59" s="229">
        <f t="shared" si="6"/>
        <v>-22164.061670523835</v>
      </c>
      <c r="L59" s="107">
        <v>0</v>
      </c>
      <c r="M59" s="228">
        <f t="shared" si="7"/>
        <v>-28415.857716393119</v>
      </c>
      <c r="N59" s="228">
        <f t="shared" si="8"/>
        <v>-76.722815834261425</v>
      </c>
      <c r="O59" s="229">
        <f t="shared" si="9"/>
        <v>-28492.580532227381</v>
      </c>
      <c r="P59" s="107">
        <f t="shared" si="27"/>
        <v>-14782.156458079815</v>
      </c>
      <c r="Q59" s="228">
        <f t="shared" si="10"/>
        <v>-180250.33928280146</v>
      </c>
      <c r="R59" s="228">
        <f t="shared" si="11"/>
        <v>-466.72000484515621</v>
      </c>
      <c r="S59" s="229">
        <f t="shared" si="12"/>
        <v>-180717.05928764661</v>
      </c>
      <c r="T59" s="107">
        <f t="shared" si="28"/>
        <v>0</v>
      </c>
      <c r="U59" s="228">
        <f t="shared" si="13"/>
        <v>0</v>
      </c>
      <c r="V59" s="228">
        <f t="shared" si="14"/>
        <v>0</v>
      </c>
      <c r="W59" s="229">
        <f t="shared" si="15"/>
        <v>0</v>
      </c>
    </row>
    <row r="60" spans="1:23" x14ac:dyDescent="0.25">
      <c r="A60" s="92" t="s">
        <v>7</v>
      </c>
      <c r="B60" s="197">
        <v>2021</v>
      </c>
      <c r="C60" s="304">
        <v>2.7000000000000001E-3</v>
      </c>
      <c r="D60" s="107">
        <v>0</v>
      </c>
      <c r="E60" s="228">
        <f t="shared" si="21"/>
        <v>-5929.3877599541383</v>
      </c>
      <c r="F60" s="228">
        <f t="shared" si="22"/>
        <v>-16.009346951876175</v>
      </c>
      <c r="G60" s="229">
        <f t="shared" si="23"/>
        <v>-5945.3971069060144</v>
      </c>
      <c r="H60" s="107">
        <v>0</v>
      </c>
      <c r="I60" s="228">
        <f t="shared" si="4"/>
        <v>-22164.061670523835</v>
      </c>
      <c r="J60" s="228">
        <f t="shared" si="5"/>
        <v>-59.842966510414357</v>
      </c>
      <c r="K60" s="229">
        <f t="shared" si="6"/>
        <v>-22223.904637034251</v>
      </c>
      <c r="L60" s="107">
        <v>0</v>
      </c>
      <c r="M60" s="228">
        <f t="shared" si="7"/>
        <v>-28492.580532227381</v>
      </c>
      <c r="N60" s="228">
        <f t="shared" si="8"/>
        <v>-76.929967437013929</v>
      </c>
      <c r="O60" s="229">
        <f t="shared" si="9"/>
        <v>-28569.510499664393</v>
      </c>
      <c r="P60" s="107">
        <v>0</v>
      </c>
      <c r="Q60" s="228">
        <f t="shared" si="10"/>
        <v>-180717.05928764661</v>
      </c>
      <c r="R60" s="228">
        <f t="shared" si="11"/>
        <v>-487.9360600766459</v>
      </c>
      <c r="S60" s="229">
        <f t="shared" si="12"/>
        <v>-181204.99534772325</v>
      </c>
      <c r="T60" s="107">
        <f>'WP-2021 True Up TRR Adj'!D8/12</f>
        <v>-1806.703640083472</v>
      </c>
      <c r="U60" s="228">
        <f t="shared" si="13"/>
        <v>-1806.703640083472</v>
      </c>
      <c r="V60" s="228">
        <f t="shared" si="14"/>
        <v>-2.4390499141126871</v>
      </c>
      <c r="W60" s="229">
        <f t="shared" si="15"/>
        <v>-1809.1426899975847</v>
      </c>
    </row>
    <row r="61" spans="1:23" x14ac:dyDescent="0.25">
      <c r="A61" s="92" t="s">
        <v>8</v>
      </c>
      <c r="B61" s="197">
        <v>2021</v>
      </c>
      <c r="C61" s="304">
        <v>2.7000000000000001E-3</v>
      </c>
      <c r="D61" s="107">
        <f>D60</f>
        <v>0</v>
      </c>
      <c r="E61" s="228">
        <f t="shared" si="21"/>
        <v>-5945.3971069060144</v>
      </c>
      <c r="F61" s="228">
        <f t="shared" si="22"/>
        <v>-16.052572188646241</v>
      </c>
      <c r="G61" s="229">
        <f t="shared" si="23"/>
        <v>-5961.4496790946605</v>
      </c>
      <c r="H61" s="107">
        <v>0</v>
      </c>
      <c r="I61" s="228">
        <f t="shared" si="4"/>
        <v>-22223.904637034251</v>
      </c>
      <c r="J61" s="228">
        <f t="shared" si="5"/>
        <v>-60.004542519992484</v>
      </c>
      <c r="K61" s="229">
        <f t="shared" si="6"/>
        <v>-22283.909179554244</v>
      </c>
      <c r="L61" s="107">
        <v>0</v>
      </c>
      <c r="M61" s="228">
        <f t="shared" si="7"/>
        <v>-28569.510499664393</v>
      </c>
      <c r="N61" s="228">
        <f t="shared" si="8"/>
        <v>-77.137678349093861</v>
      </c>
      <c r="O61" s="229">
        <f t="shared" si="9"/>
        <v>-28646.648178013485</v>
      </c>
      <c r="P61" s="107">
        <v>0</v>
      </c>
      <c r="Q61" s="228">
        <f t="shared" si="10"/>
        <v>-181204.99534772325</v>
      </c>
      <c r="R61" s="228">
        <f t="shared" si="11"/>
        <v>-489.2534874388528</v>
      </c>
      <c r="S61" s="229">
        <f t="shared" si="12"/>
        <v>-181694.24883516211</v>
      </c>
      <c r="T61" s="107">
        <f>T60</f>
        <v>-1806.703640083472</v>
      </c>
      <c r="U61" s="228">
        <f t="shared" si="13"/>
        <v>-3615.8463300810567</v>
      </c>
      <c r="V61" s="228">
        <f t="shared" si="14"/>
        <v>-7.3237351771061663</v>
      </c>
      <c r="W61" s="229">
        <f t="shared" si="15"/>
        <v>-3623.170065258163</v>
      </c>
    </row>
    <row r="62" spans="1:23" x14ac:dyDescent="0.25">
      <c r="A62" s="92" t="s">
        <v>18</v>
      </c>
      <c r="B62" s="197">
        <v>2021</v>
      </c>
      <c r="C62" s="304">
        <v>2.7000000000000001E-3</v>
      </c>
      <c r="D62" s="107">
        <f t="shared" ref="D62:D71" si="29">D61</f>
        <v>0</v>
      </c>
      <c r="E62" s="228">
        <f t="shared" si="21"/>
        <v>-5961.4496790946605</v>
      </c>
      <c r="F62" s="228">
        <f t="shared" si="22"/>
        <v>-16.095914133555585</v>
      </c>
      <c r="G62" s="229">
        <f t="shared" si="23"/>
        <v>-5977.5455932282157</v>
      </c>
      <c r="H62" s="107">
        <v>0</v>
      </c>
      <c r="I62" s="228">
        <f t="shared" si="4"/>
        <v>-22283.909179554244</v>
      </c>
      <c r="J62" s="228">
        <f t="shared" si="5"/>
        <v>-60.16655478479646</v>
      </c>
      <c r="K62" s="229">
        <f t="shared" si="6"/>
        <v>-22344.07573433904</v>
      </c>
      <c r="L62" s="107">
        <v>0</v>
      </c>
      <c r="M62" s="228">
        <f t="shared" si="7"/>
        <v>-28646.648178013485</v>
      </c>
      <c r="N62" s="228">
        <f t="shared" si="8"/>
        <v>-77.345950080636413</v>
      </c>
      <c r="O62" s="229">
        <f t="shared" si="9"/>
        <v>-28723.99412809412</v>
      </c>
      <c r="P62" s="107">
        <v>0</v>
      </c>
      <c r="Q62" s="228">
        <f t="shared" si="10"/>
        <v>-181694.24883516211</v>
      </c>
      <c r="R62" s="228">
        <f t="shared" si="11"/>
        <v>-490.57447185493771</v>
      </c>
      <c r="S62" s="229">
        <f t="shared" si="12"/>
        <v>-182184.82330701704</v>
      </c>
      <c r="T62" s="107">
        <f t="shared" ref="T62:T71" si="30">T61</f>
        <v>-1806.703640083472</v>
      </c>
      <c r="U62" s="228">
        <f t="shared" si="13"/>
        <v>-5429.8737053416353</v>
      </c>
      <c r="V62" s="228">
        <f t="shared" si="14"/>
        <v>-12.221609090309727</v>
      </c>
      <c r="W62" s="229">
        <f t="shared" si="15"/>
        <v>-5442.0953144319446</v>
      </c>
    </row>
    <row r="63" spans="1:23" x14ac:dyDescent="0.25">
      <c r="A63" s="92" t="s">
        <v>9</v>
      </c>
      <c r="B63" s="197">
        <v>2021</v>
      </c>
      <c r="C63" s="304">
        <v>2.7000000000000001E-3</v>
      </c>
      <c r="D63" s="107">
        <f t="shared" si="29"/>
        <v>0</v>
      </c>
      <c r="E63" s="228">
        <f t="shared" si="21"/>
        <v>-5977.5455932282157</v>
      </c>
      <c r="F63" s="228">
        <f t="shared" si="22"/>
        <v>-16.139373101716185</v>
      </c>
      <c r="G63" s="229">
        <f t="shared" si="23"/>
        <v>-5993.6849663299317</v>
      </c>
      <c r="H63" s="107">
        <v>0</v>
      </c>
      <c r="I63" s="228">
        <f t="shared" si="4"/>
        <v>-22344.07573433904</v>
      </c>
      <c r="J63" s="228">
        <f t="shared" si="5"/>
        <v>-60.329004482715412</v>
      </c>
      <c r="K63" s="229">
        <f t="shared" si="6"/>
        <v>-22404.404738821755</v>
      </c>
      <c r="L63" s="107">
        <v>0</v>
      </c>
      <c r="M63" s="228">
        <f t="shared" si="7"/>
        <v>-28723.99412809412</v>
      </c>
      <c r="N63" s="228">
        <f t="shared" si="8"/>
        <v>-77.554784145854128</v>
      </c>
      <c r="O63" s="229">
        <f t="shared" si="9"/>
        <v>-28801.548912239974</v>
      </c>
      <c r="P63" s="107">
        <v>0</v>
      </c>
      <c r="Q63" s="228">
        <f t="shared" si="10"/>
        <v>-182184.82330701704</v>
      </c>
      <c r="R63" s="228">
        <f t="shared" si="11"/>
        <v>-491.89902292894601</v>
      </c>
      <c r="S63" s="229">
        <f t="shared" si="12"/>
        <v>-182676.72232994597</v>
      </c>
      <c r="T63" s="107">
        <f t="shared" si="30"/>
        <v>-1806.703640083472</v>
      </c>
      <c r="U63" s="228">
        <f t="shared" si="13"/>
        <v>-7248.7989545154169</v>
      </c>
      <c r="V63" s="228">
        <f t="shared" si="14"/>
        <v>-17.132707263078942</v>
      </c>
      <c r="W63" s="229">
        <f t="shared" si="15"/>
        <v>-7265.9316617784962</v>
      </c>
    </row>
    <row r="64" spans="1:23" x14ac:dyDescent="0.25">
      <c r="A64" s="92" t="s">
        <v>10</v>
      </c>
      <c r="B64" s="197">
        <v>2021</v>
      </c>
      <c r="C64" s="304">
        <v>2.7000000000000001E-3</v>
      </c>
      <c r="D64" s="107">
        <f t="shared" si="29"/>
        <v>0</v>
      </c>
      <c r="E64" s="228">
        <f t="shared" si="21"/>
        <v>-5993.6849663299317</v>
      </c>
      <c r="F64" s="228">
        <f t="shared" si="22"/>
        <v>-16.182949409090817</v>
      </c>
      <c r="G64" s="229">
        <f t="shared" si="23"/>
        <v>-6009.8679157390225</v>
      </c>
      <c r="H64" s="107">
        <v>0</v>
      </c>
      <c r="I64" s="228">
        <f t="shared" si="4"/>
        <v>-22404.404738821755</v>
      </c>
      <c r="J64" s="228">
        <f t="shared" si="5"/>
        <v>-60.491892794818739</v>
      </c>
      <c r="K64" s="229">
        <f t="shared" si="6"/>
        <v>-22464.896631616575</v>
      </c>
      <c r="L64" s="107">
        <v>0</v>
      </c>
      <c r="M64" s="228">
        <f t="shared" si="7"/>
        <v>-28801.548912239974</v>
      </c>
      <c r="N64" s="228">
        <f t="shared" si="8"/>
        <v>-77.76418206304794</v>
      </c>
      <c r="O64" s="229">
        <f t="shared" si="9"/>
        <v>-28879.313094303023</v>
      </c>
      <c r="P64" s="107">
        <v>0</v>
      </c>
      <c r="Q64" s="228">
        <f t="shared" si="10"/>
        <v>-182676.72232994597</v>
      </c>
      <c r="R64" s="228">
        <f t="shared" si="11"/>
        <v>-493.22715029085413</v>
      </c>
      <c r="S64" s="229">
        <f t="shared" si="12"/>
        <v>-183169.94948023683</v>
      </c>
      <c r="T64" s="107">
        <f t="shared" si="30"/>
        <v>-1806.703640083472</v>
      </c>
      <c r="U64" s="228">
        <f t="shared" si="13"/>
        <v>-9072.6353018619684</v>
      </c>
      <c r="V64" s="228">
        <f t="shared" si="14"/>
        <v>-22.057065400914627</v>
      </c>
      <c r="W64" s="229">
        <f t="shared" si="15"/>
        <v>-9094.6923672628836</v>
      </c>
    </row>
    <row r="65" spans="1:23" x14ac:dyDescent="0.25">
      <c r="A65" s="92" t="s">
        <v>25</v>
      </c>
      <c r="B65" s="197">
        <v>2021</v>
      </c>
      <c r="C65" s="304">
        <v>2.7000000000000001E-3</v>
      </c>
      <c r="D65" s="107">
        <f t="shared" si="29"/>
        <v>0</v>
      </c>
      <c r="E65" s="228">
        <f t="shared" si="21"/>
        <v>-6009.8679157390225</v>
      </c>
      <c r="F65" s="228">
        <f t="shared" si="22"/>
        <v>-16.22664337249536</v>
      </c>
      <c r="G65" s="229">
        <f t="shared" si="23"/>
        <v>-6026.0945591115178</v>
      </c>
      <c r="H65" s="107">
        <v>0</v>
      </c>
      <c r="I65" s="228">
        <f t="shared" si="4"/>
        <v>-22464.896631616575</v>
      </c>
      <c r="J65" s="228">
        <f t="shared" si="5"/>
        <v>-60.655220905364757</v>
      </c>
      <c r="K65" s="229">
        <f t="shared" si="6"/>
        <v>-22525.551852521941</v>
      </c>
      <c r="L65" s="107">
        <v>0</v>
      </c>
      <c r="M65" s="228">
        <f t="shared" si="7"/>
        <v>-28879.313094303023</v>
      </c>
      <c r="N65" s="228">
        <f t="shared" si="8"/>
        <v>-77.974145354618159</v>
      </c>
      <c r="O65" s="229">
        <f t="shared" si="9"/>
        <v>-28957.287239657642</v>
      </c>
      <c r="P65" s="107">
        <v>0</v>
      </c>
      <c r="Q65" s="228">
        <f t="shared" si="10"/>
        <v>-183169.94948023683</v>
      </c>
      <c r="R65" s="228">
        <f t="shared" si="11"/>
        <v>-494.55886359663947</v>
      </c>
      <c r="S65" s="229">
        <f t="shared" si="12"/>
        <v>-183664.50834383347</v>
      </c>
      <c r="T65" s="107">
        <f t="shared" si="30"/>
        <v>-1806.703640083472</v>
      </c>
      <c r="U65" s="228">
        <f t="shared" si="13"/>
        <v>-10901.396007346355</v>
      </c>
      <c r="V65" s="228">
        <f t="shared" si="14"/>
        <v>-26.994719305722469</v>
      </c>
      <c r="W65" s="229">
        <f t="shared" si="15"/>
        <v>-10928.390726652078</v>
      </c>
    </row>
    <row r="66" spans="1:23" x14ac:dyDescent="0.25">
      <c r="A66" s="92" t="s">
        <v>11</v>
      </c>
      <c r="B66" s="197">
        <v>2021</v>
      </c>
      <c r="C66" s="304">
        <v>2.7000000000000001E-3</v>
      </c>
      <c r="D66" s="107">
        <f t="shared" si="29"/>
        <v>0</v>
      </c>
      <c r="E66" s="228">
        <f t="shared" si="21"/>
        <v>-6026.0945591115178</v>
      </c>
      <c r="F66" s="228">
        <f t="shared" si="22"/>
        <v>-16.2704553096011</v>
      </c>
      <c r="G66" s="229">
        <f t="shared" si="23"/>
        <v>-6042.3650144211188</v>
      </c>
      <c r="H66" s="107">
        <v>0</v>
      </c>
      <c r="I66" s="228">
        <f t="shared" si="4"/>
        <v>-22525.551852521941</v>
      </c>
      <c r="J66" s="228">
        <f t="shared" si="5"/>
        <v>-60.818990001809247</v>
      </c>
      <c r="K66" s="229">
        <f t="shared" si="6"/>
        <v>-22586.370842523749</v>
      </c>
      <c r="L66" s="107">
        <v>0</v>
      </c>
      <c r="M66" s="228">
        <f t="shared" si="7"/>
        <v>-28957.287239657642</v>
      </c>
      <c r="N66" s="228">
        <f t="shared" si="8"/>
        <v>-78.184675547075642</v>
      </c>
      <c r="O66" s="229">
        <f t="shared" si="9"/>
        <v>-29035.471915204718</v>
      </c>
      <c r="P66" s="107">
        <v>0</v>
      </c>
      <c r="Q66" s="228">
        <f t="shared" si="10"/>
        <v>-183664.50834383347</v>
      </c>
      <c r="R66" s="228">
        <f t="shared" si="11"/>
        <v>-495.8941725283504</v>
      </c>
      <c r="S66" s="229">
        <f t="shared" si="12"/>
        <v>-184160.40251636182</v>
      </c>
      <c r="T66" s="107">
        <f t="shared" si="30"/>
        <v>-1806.703640083472</v>
      </c>
      <c r="U66" s="228">
        <f t="shared" si="13"/>
        <v>-12735.09436673555</v>
      </c>
      <c r="V66" s="228">
        <f t="shared" si="14"/>
        <v>-31.9457048760733</v>
      </c>
      <c r="W66" s="229">
        <f t="shared" si="15"/>
        <v>-12767.040071611624</v>
      </c>
    </row>
    <row r="67" spans="1:23" x14ac:dyDescent="0.25">
      <c r="A67" s="92" t="s">
        <v>12</v>
      </c>
      <c r="B67" s="197">
        <v>2021</v>
      </c>
      <c r="C67" s="304">
        <v>2.7000000000000001E-3</v>
      </c>
      <c r="D67" s="107">
        <f t="shared" si="29"/>
        <v>0</v>
      </c>
      <c r="E67" s="228">
        <f t="shared" si="21"/>
        <v>-6042.3650144211188</v>
      </c>
      <c r="F67" s="228">
        <f t="shared" si="22"/>
        <v>-16.314385538937021</v>
      </c>
      <c r="G67" s="229">
        <f t="shared" si="23"/>
        <v>-6058.6793999600559</v>
      </c>
      <c r="H67" s="107">
        <v>0</v>
      </c>
      <c r="I67" s="228">
        <f t="shared" si="4"/>
        <v>-22586.370842523749</v>
      </c>
      <c r="J67" s="228">
        <f t="shared" si="5"/>
        <v>-60.983201274814128</v>
      </c>
      <c r="K67" s="229">
        <f t="shared" si="6"/>
        <v>-22647.354043798565</v>
      </c>
      <c r="L67" s="107">
        <v>0</v>
      </c>
      <c r="M67" s="228">
        <f t="shared" si="7"/>
        <v>-29035.471915204718</v>
      </c>
      <c r="N67" s="228">
        <f t="shared" si="8"/>
        <v>-78.39577417105275</v>
      </c>
      <c r="O67" s="229">
        <f t="shared" si="9"/>
        <v>-29113.867689375769</v>
      </c>
      <c r="P67" s="108">
        <v>0</v>
      </c>
      <c r="Q67" s="228">
        <f t="shared" si="10"/>
        <v>-184160.40251636182</v>
      </c>
      <c r="R67" s="228">
        <f t="shared" si="11"/>
        <v>-497.23308679417693</v>
      </c>
      <c r="S67" s="229">
        <f t="shared" si="12"/>
        <v>-184657.635603156</v>
      </c>
      <c r="T67" s="107">
        <f t="shared" si="30"/>
        <v>-1806.703640083472</v>
      </c>
      <c r="U67" s="228">
        <f t="shared" si="13"/>
        <v>-14573.743711695095</v>
      </c>
      <c r="V67" s="228">
        <f t="shared" si="14"/>
        <v>-36.910058107464067</v>
      </c>
      <c r="W67" s="229">
        <f t="shared" si="15"/>
        <v>-14610.653769802559</v>
      </c>
    </row>
    <row r="68" spans="1:23" x14ac:dyDescent="0.25">
      <c r="A68" s="92" t="s">
        <v>13</v>
      </c>
      <c r="B68" s="197">
        <v>2021</v>
      </c>
      <c r="C68" s="304">
        <v>2.7000000000000001E-3</v>
      </c>
      <c r="D68" s="107">
        <f t="shared" si="29"/>
        <v>0</v>
      </c>
      <c r="E68" s="228">
        <f t="shared" si="21"/>
        <v>-6058.6793999600559</v>
      </c>
      <c r="F68" s="228">
        <f t="shared" si="22"/>
        <v>-16.358434379892152</v>
      </c>
      <c r="G68" s="229">
        <f t="shared" si="23"/>
        <v>-6075.0378343399479</v>
      </c>
      <c r="H68" s="107">
        <v>0</v>
      </c>
      <c r="I68" s="228">
        <f t="shared" si="4"/>
        <v>-22647.354043798565</v>
      </c>
      <c r="J68" s="228">
        <f t="shared" si="5"/>
        <v>-61.147855918256127</v>
      </c>
      <c r="K68" s="229">
        <f t="shared" si="6"/>
        <v>-22708.501899716823</v>
      </c>
      <c r="L68" s="107">
        <v>0</v>
      </c>
      <c r="M68" s="228">
        <f t="shared" si="7"/>
        <v>-29113.867689375769</v>
      </c>
      <c r="N68" s="228">
        <f t="shared" si="8"/>
        <v>-78.607442761314587</v>
      </c>
      <c r="O68" s="229">
        <f t="shared" si="9"/>
        <v>-29192.475132137082</v>
      </c>
      <c r="P68" s="108">
        <v>0</v>
      </c>
      <c r="Q68" s="228">
        <f t="shared" si="10"/>
        <v>-184657.635603156</v>
      </c>
      <c r="R68" s="228">
        <f t="shared" si="11"/>
        <v>-498.57561612852123</v>
      </c>
      <c r="S68" s="229">
        <f t="shared" si="12"/>
        <v>-185156.21121928451</v>
      </c>
      <c r="T68" s="107">
        <f t="shared" si="30"/>
        <v>-1806.703640083472</v>
      </c>
      <c r="U68" s="228">
        <f t="shared" si="13"/>
        <v>-16417.35740988603</v>
      </c>
      <c r="V68" s="228">
        <f t="shared" si="14"/>
        <v>-41.887815092579601</v>
      </c>
      <c r="W68" s="229">
        <f t="shared" si="15"/>
        <v>-16459.245224978611</v>
      </c>
    </row>
    <row r="69" spans="1:23" x14ac:dyDescent="0.25">
      <c r="A69" s="92" t="s">
        <v>15</v>
      </c>
      <c r="B69" s="197">
        <v>2021</v>
      </c>
      <c r="C69" s="304">
        <v>2.7000000000000001E-3</v>
      </c>
      <c r="D69" s="107">
        <f t="shared" si="29"/>
        <v>0</v>
      </c>
      <c r="E69" s="228">
        <f t="shared" si="21"/>
        <v>-6075.0378343399479</v>
      </c>
      <c r="F69" s="228">
        <f t="shared" si="22"/>
        <v>-16.402602152717861</v>
      </c>
      <c r="G69" s="229">
        <f t="shared" si="23"/>
        <v>-6091.4404364926659</v>
      </c>
      <c r="H69" s="107">
        <v>0</v>
      </c>
      <c r="I69" s="228">
        <f t="shared" si="4"/>
        <v>-22708.501899716823</v>
      </c>
      <c r="J69" s="228">
        <f t="shared" si="5"/>
        <v>-61.312955129235426</v>
      </c>
      <c r="K69" s="229">
        <f t="shared" si="6"/>
        <v>-22769.814854846059</v>
      </c>
      <c r="L69" s="107">
        <v>0</v>
      </c>
      <c r="M69" s="228">
        <f t="shared" si="7"/>
        <v>-29192.475132137082</v>
      </c>
      <c r="N69" s="228">
        <f t="shared" si="8"/>
        <v>-78.819682856770129</v>
      </c>
      <c r="O69" s="229">
        <f t="shared" si="9"/>
        <v>-29271.294814993853</v>
      </c>
      <c r="P69" s="108">
        <v>0</v>
      </c>
      <c r="Q69" s="228">
        <f t="shared" si="10"/>
        <v>-185156.21121928451</v>
      </c>
      <c r="R69" s="228">
        <f t="shared" si="11"/>
        <v>-499.92177029206817</v>
      </c>
      <c r="S69" s="229">
        <f t="shared" si="12"/>
        <v>-185656.13298957658</v>
      </c>
      <c r="T69" s="107">
        <f t="shared" si="30"/>
        <v>-1806.703640083472</v>
      </c>
      <c r="U69" s="228">
        <f t="shared" si="13"/>
        <v>-18265.948865062084</v>
      </c>
      <c r="V69" s="228">
        <f t="shared" si="14"/>
        <v>-46.879012021554935</v>
      </c>
      <c r="W69" s="229">
        <f t="shared" si="15"/>
        <v>-18312.82787708364</v>
      </c>
    </row>
    <row r="70" spans="1:23" x14ac:dyDescent="0.25">
      <c r="A70" s="92" t="s">
        <v>14</v>
      </c>
      <c r="B70" s="197">
        <v>2021</v>
      </c>
      <c r="C70" s="304">
        <v>2.7000000000000001E-3</v>
      </c>
      <c r="D70" s="107">
        <f t="shared" si="29"/>
        <v>0</v>
      </c>
      <c r="E70" s="228">
        <f t="shared" si="21"/>
        <v>-6091.4404364926659</v>
      </c>
      <c r="F70" s="228">
        <f t="shared" si="22"/>
        <v>-16.446889178530199</v>
      </c>
      <c r="G70" s="229">
        <f t="shared" si="23"/>
        <v>-6107.8873256711959</v>
      </c>
      <c r="H70" s="107">
        <v>0</v>
      </c>
      <c r="I70" s="228">
        <f t="shared" si="4"/>
        <v>-22769.814854846059</v>
      </c>
      <c r="J70" s="228">
        <f t="shared" si="5"/>
        <v>-61.478500108084361</v>
      </c>
      <c r="K70" s="229">
        <f t="shared" si="6"/>
        <v>-22831.293354954145</v>
      </c>
      <c r="L70" s="107">
        <v>0</v>
      </c>
      <c r="M70" s="228">
        <f t="shared" si="7"/>
        <v>-29271.294814993853</v>
      </c>
      <c r="N70" s="228">
        <f t="shared" si="8"/>
        <v>-79.032496000483405</v>
      </c>
      <c r="O70" s="229">
        <f t="shared" si="9"/>
        <v>-29350.327310994337</v>
      </c>
      <c r="P70" s="108">
        <v>0</v>
      </c>
      <c r="Q70" s="228">
        <f t="shared" si="10"/>
        <v>-185656.13298957658</v>
      </c>
      <c r="R70" s="228">
        <f t="shared" si="11"/>
        <v>-501.27155907185681</v>
      </c>
      <c r="S70" s="229">
        <f t="shared" si="12"/>
        <v>-186157.40454864842</v>
      </c>
      <c r="T70" s="107">
        <f t="shared" si="30"/>
        <v>-1806.703640083472</v>
      </c>
      <c r="U70" s="228">
        <f t="shared" si="13"/>
        <v>-20119.531517167114</v>
      </c>
      <c r="V70" s="228">
        <f t="shared" si="14"/>
        <v>-51.883685182238523</v>
      </c>
      <c r="W70" s="229">
        <f t="shared" si="15"/>
        <v>-20171.415202349352</v>
      </c>
    </row>
    <row r="71" spans="1:23" x14ac:dyDescent="0.25">
      <c r="A71" s="92" t="s">
        <v>6</v>
      </c>
      <c r="B71" s="197">
        <v>2021</v>
      </c>
      <c r="C71" s="304">
        <v>2.7000000000000001E-3</v>
      </c>
      <c r="D71" s="107">
        <f t="shared" si="29"/>
        <v>0</v>
      </c>
      <c r="E71" s="228">
        <f t="shared" si="21"/>
        <v>-6107.8873256711959</v>
      </c>
      <c r="F71" s="228">
        <f t="shared" si="22"/>
        <v>-16.491295779312228</v>
      </c>
      <c r="G71" s="229">
        <f t="shared" si="23"/>
        <v>-6124.378621450508</v>
      </c>
      <c r="H71" s="108">
        <v>0</v>
      </c>
      <c r="I71" s="228">
        <f t="shared" si="4"/>
        <v>-22831.293354954145</v>
      </c>
      <c r="J71" s="228">
        <f t="shared" si="5"/>
        <v>-61.644492058376194</v>
      </c>
      <c r="K71" s="229">
        <f t="shared" si="6"/>
        <v>-22892.937847012519</v>
      </c>
      <c r="L71" s="107">
        <v>0</v>
      </c>
      <c r="M71" s="228">
        <f t="shared" si="7"/>
        <v>-29350.327310994337</v>
      </c>
      <c r="N71" s="228">
        <f t="shared" si="8"/>
        <v>-79.245883739684714</v>
      </c>
      <c r="O71" s="229">
        <f t="shared" si="9"/>
        <v>-29429.573194734021</v>
      </c>
      <c r="P71" s="108">
        <v>0</v>
      </c>
      <c r="Q71" s="228">
        <f t="shared" si="10"/>
        <v>-186157.40454864842</v>
      </c>
      <c r="R71" s="228">
        <f t="shared" si="11"/>
        <v>-502.62499228135079</v>
      </c>
      <c r="S71" s="229">
        <f t="shared" si="12"/>
        <v>-186660.02954092977</v>
      </c>
      <c r="T71" s="107">
        <f t="shared" si="30"/>
        <v>-1806.703640083472</v>
      </c>
      <c r="U71" s="228">
        <f t="shared" si="13"/>
        <v>-21978.118842432825</v>
      </c>
      <c r="V71" s="228">
        <f t="shared" si="14"/>
        <v>-56.901870960455945</v>
      </c>
      <c r="W71" s="229">
        <f t="shared" si="15"/>
        <v>-22035.020713393282</v>
      </c>
    </row>
    <row r="72" spans="1:23" ht="15.75" thickBot="1" x14ac:dyDescent="0.3">
      <c r="A72" s="92"/>
      <c r="B72" s="89"/>
      <c r="C72" s="89"/>
      <c r="D72" s="305">
        <f>SUM(D12:D71)</f>
        <v>-5052.1868730783463</v>
      </c>
      <c r="E72" s="3"/>
      <c r="F72" s="93" t="s">
        <v>30</v>
      </c>
      <c r="G72" s="305">
        <f>G71</f>
        <v>-6124.378621450508</v>
      </c>
      <c r="H72" s="306">
        <f>SUM(H12:H71)</f>
        <v>-19693.196900606155</v>
      </c>
      <c r="I72" s="3"/>
      <c r="J72" s="93" t="s">
        <v>30</v>
      </c>
      <c r="K72" s="307">
        <f>K71</f>
        <v>-22892.937847012519</v>
      </c>
      <c r="L72" s="306">
        <f>SUM(L12:L71)</f>
        <v>-26614.125776827332</v>
      </c>
      <c r="M72" s="3"/>
      <c r="N72" s="93" t="s">
        <v>30</v>
      </c>
      <c r="O72" s="307">
        <f>O71</f>
        <v>-29429.573194734021</v>
      </c>
      <c r="P72" s="306">
        <f>SUM(P12:P71)</f>
        <v>-177385.87749695778</v>
      </c>
      <c r="Q72" s="3"/>
      <c r="R72" s="93" t="s">
        <v>30</v>
      </c>
      <c r="S72" s="307">
        <f>S71</f>
        <v>-186660.02954092977</v>
      </c>
      <c r="T72" s="306">
        <f>SUM(T12:T71)</f>
        <v>-21680.443681001663</v>
      </c>
      <c r="U72" s="3"/>
      <c r="V72" s="93" t="s">
        <v>30</v>
      </c>
      <c r="W72" s="307">
        <f>W71</f>
        <v>-22035.020713393282</v>
      </c>
    </row>
    <row r="73" spans="1:23" ht="26.25" customHeight="1" thickBot="1" x14ac:dyDescent="0.3">
      <c r="A73" s="316" t="s">
        <v>434</v>
      </c>
      <c r="B73" s="317"/>
      <c r="C73" s="317"/>
      <c r="D73" s="317"/>
      <c r="E73" s="317"/>
      <c r="F73" s="317"/>
      <c r="G73" s="317"/>
      <c r="H73" s="317"/>
      <c r="I73" s="317"/>
      <c r="J73" s="317"/>
      <c r="K73" s="317"/>
      <c r="L73" s="317"/>
      <c r="M73" s="317"/>
      <c r="N73" s="317"/>
      <c r="O73" s="317"/>
      <c r="P73" s="317"/>
      <c r="Q73" s="317"/>
      <c r="R73" s="317"/>
      <c r="S73" s="317"/>
      <c r="T73" s="317"/>
      <c r="U73" s="317"/>
      <c r="V73" s="317"/>
      <c r="W73" s="269">
        <f>SUM(G72,K72,O72,S72,W72)</f>
        <v>-267141.9399175201</v>
      </c>
    </row>
    <row r="75" spans="1:23" x14ac:dyDescent="0.25">
      <c r="E75" s="2"/>
    </row>
    <row r="77" spans="1:23" x14ac:dyDescent="0.25">
      <c r="A77" s="3"/>
      <c r="F77" s="8"/>
    </row>
    <row r="78" spans="1:23" x14ac:dyDescent="0.25">
      <c r="E78" s="4"/>
    </row>
    <row r="83" spans="1:6" x14ac:dyDescent="0.25">
      <c r="A83" s="3"/>
    </row>
    <row r="87" spans="1:6" x14ac:dyDescent="0.25">
      <c r="D87" s="5"/>
      <c r="F87" s="6"/>
    </row>
    <row r="88" spans="1:6" x14ac:dyDescent="0.25">
      <c r="E88" s="7"/>
    </row>
    <row r="89" spans="1:6" x14ac:dyDescent="0.25">
      <c r="F89" s="6"/>
    </row>
    <row r="91" spans="1:6" x14ac:dyDescent="0.25">
      <c r="E91" s="7"/>
      <c r="F91" s="6"/>
    </row>
  </sheetData>
  <mergeCells count="7">
    <mergeCell ref="A73:V73"/>
    <mergeCell ref="T5:W5"/>
    <mergeCell ref="A3:W4"/>
    <mergeCell ref="H5:K5"/>
    <mergeCell ref="A5:G5"/>
    <mergeCell ref="L5:O5"/>
    <mergeCell ref="P5:S5"/>
  </mergeCells>
  <phoneticPr fontId="62" type="noConversion"/>
  <printOptions horizontalCentered="1"/>
  <pageMargins left="0.7" right="0.7" top="0.75" bottom="0.75" header="0.3" footer="0.3"/>
  <pageSetup scale="39" fitToHeight="0" orientation="landscape" cellComments="asDisplayed" r:id="rId1"/>
  <headerFooter>
    <oddHeader>&amp;R TO2024 Annual Update
Attachment 4
WP-Schedule 3-One Time Adj Prior Period
Page &amp;P of &amp;N</oddHeader>
    <oddFooter>&amp;R&amp;A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36F7B-1125-4524-90C3-C3FBA5C3BA21}">
  <sheetPr>
    <tabColor rgb="FFFFCC99"/>
  </sheetPr>
  <dimension ref="A1:P173"/>
  <sheetViews>
    <sheetView zoomScaleNormal="100" workbookViewId="0"/>
  </sheetViews>
  <sheetFormatPr defaultColWidth="8.7109375" defaultRowHeight="12.75" x14ac:dyDescent="0.2"/>
  <cols>
    <col min="1" max="2" width="4.5703125" style="30" customWidth="1"/>
    <col min="3" max="3" width="18.5703125" style="30" customWidth="1"/>
    <col min="4" max="4" width="10.42578125" style="30" bestFit="1" customWidth="1"/>
    <col min="5" max="7" width="15.5703125" style="30" customWidth="1"/>
    <col min="8" max="8" width="24.5703125" style="30" customWidth="1"/>
    <col min="9" max="9" width="4.5703125" style="30" customWidth="1"/>
    <col min="10" max="10" width="15.5703125" style="30" customWidth="1"/>
    <col min="11" max="11" width="3.42578125" style="30" customWidth="1"/>
    <col min="12" max="12" width="26" style="30" customWidth="1"/>
    <col min="13" max="13" width="12.7109375" style="30" customWidth="1"/>
    <col min="14" max="14" width="14.85546875" style="30" customWidth="1"/>
    <col min="15" max="16384" width="8.7109375" style="30"/>
  </cols>
  <sheetData>
    <row r="1" spans="1:12" x14ac:dyDescent="0.2">
      <c r="A1" s="29" t="s">
        <v>35</v>
      </c>
    </row>
    <row r="3" spans="1:12" x14ac:dyDescent="0.2">
      <c r="B3" s="31" t="s">
        <v>36</v>
      </c>
      <c r="L3" s="33"/>
    </row>
    <row r="4" spans="1:12" x14ac:dyDescent="0.2">
      <c r="B4" s="32"/>
      <c r="F4" s="33" t="s">
        <v>37</v>
      </c>
      <c r="G4" s="33"/>
      <c r="H4" s="33" t="s">
        <v>38</v>
      </c>
      <c r="L4" s="33"/>
    </row>
    <row r="5" spans="1:12" x14ac:dyDescent="0.2">
      <c r="A5" s="34" t="s">
        <v>39</v>
      </c>
      <c r="B5" s="35"/>
      <c r="C5" s="36" t="s">
        <v>40</v>
      </c>
      <c r="F5" s="37" t="s">
        <v>41</v>
      </c>
      <c r="G5" s="37" t="s">
        <v>42</v>
      </c>
      <c r="H5" s="37" t="s">
        <v>43</v>
      </c>
      <c r="J5" s="37" t="s">
        <v>32</v>
      </c>
      <c r="L5" s="37"/>
    </row>
    <row r="6" spans="1:12" x14ac:dyDescent="0.2">
      <c r="A6" s="33">
        <v>1</v>
      </c>
      <c r="C6" s="38" t="s">
        <v>44</v>
      </c>
      <c r="F6" s="30" t="s">
        <v>45</v>
      </c>
      <c r="H6" s="38" t="s">
        <v>450</v>
      </c>
      <c r="J6" s="39">
        <v>10104561105.203291</v>
      </c>
      <c r="L6" s="39"/>
    </row>
    <row r="7" spans="1:12" x14ac:dyDescent="0.2">
      <c r="A7" s="33">
        <f>A6+1</f>
        <v>2</v>
      </c>
      <c r="C7" s="38" t="s">
        <v>46</v>
      </c>
      <c r="F7" s="30" t="s">
        <v>47</v>
      </c>
      <c r="H7" s="38" t="s">
        <v>451</v>
      </c>
      <c r="J7" s="39">
        <v>344643757.48500198</v>
      </c>
      <c r="L7" s="39"/>
    </row>
    <row r="8" spans="1:12" x14ac:dyDescent="0.2">
      <c r="A8" s="33">
        <f>A7+1</f>
        <v>3</v>
      </c>
      <c r="C8" s="38" t="s">
        <v>48</v>
      </c>
      <c r="F8" s="30" t="s">
        <v>47</v>
      </c>
      <c r="H8" s="30" t="s">
        <v>452</v>
      </c>
      <c r="J8" s="39">
        <v>8167171.1349999998</v>
      </c>
      <c r="L8" s="39"/>
    </row>
    <row r="9" spans="1:12" x14ac:dyDescent="0.2">
      <c r="A9" s="33">
        <f>A8+1</f>
        <v>4</v>
      </c>
      <c r="C9" s="38" t="s">
        <v>49</v>
      </c>
      <c r="F9" s="30" t="s">
        <v>47</v>
      </c>
      <c r="H9" s="30" t="s">
        <v>453</v>
      </c>
      <c r="J9" s="39">
        <v>0</v>
      </c>
      <c r="L9" s="39"/>
    </row>
    <row r="10" spans="1:12" x14ac:dyDescent="0.2">
      <c r="A10" s="33"/>
      <c r="C10" s="38"/>
      <c r="J10" s="39"/>
      <c r="L10" s="39"/>
    </row>
    <row r="11" spans="1:12" x14ac:dyDescent="0.2">
      <c r="A11" s="33"/>
      <c r="C11" s="40" t="s">
        <v>50</v>
      </c>
      <c r="J11" s="39"/>
      <c r="L11" s="39"/>
    </row>
    <row r="12" spans="1:12" x14ac:dyDescent="0.2">
      <c r="A12" s="33">
        <f>A9+1</f>
        <v>5</v>
      </c>
      <c r="C12" s="35" t="s">
        <v>51</v>
      </c>
      <c r="F12" s="30" t="s">
        <v>45</v>
      </c>
      <c r="H12" s="38" t="s">
        <v>454</v>
      </c>
      <c r="J12" s="39">
        <v>25292500.108422782</v>
      </c>
      <c r="L12" s="39"/>
    </row>
    <row r="13" spans="1:12" x14ac:dyDescent="0.2">
      <c r="A13" s="33">
        <f>A12+1</f>
        <v>6</v>
      </c>
      <c r="C13" s="35" t="s">
        <v>52</v>
      </c>
      <c r="F13" s="30" t="s">
        <v>45</v>
      </c>
      <c r="H13" s="38" t="s">
        <v>455</v>
      </c>
      <c r="J13" s="39">
        <v>15339247.874588801</v>
      </c>
      <c r="L13" s="39"/>
    </row>
    <row r="14" spans="1:12" x14ac:dyDescent="0.2">
      <c r="A14" s="33">
        <f>A13+1</f>
        <v>7</v>
      </c>
      <c r="C14" s="35" t="s">
        <v>53</v>
      </c>
      <c r="F14" s="30" t="s">
        <v>144</v>
      </c>
      <c r="H14" s="30" t="s">
        <v>456</v>
      </c>
      <c r="J14" s="41">
        <v>30656874.724706285</v>
      </c>
      <c r="L14" s="45"/>
    </row>
    <row r="15" spans="1:12" x14ac:dyDescent="0.2">
      <c r="A15" s="33">
        <f>A14+1</f>
        <v>8</v>
      </c>
      <c r="C15" s="35" t="s">
        <v>54</v>
      </c>
      <c r="H15" s="30" t="str">
        <f>"Line "&amp;A12&amp;" + Line "&amp;A13&amp;" + Line "&amp;A14&amp;""</f>
        <v>Line 5 + Line 6 + Line 7</v>
      </c>
      <c r="J15" s="42">
        <f>SUM(J12:J14)</f>
        <v>71288622.707717866</v>
      </c>
      <c r="L15" s="39"/>
    </row>
    <row r="16" spans="1:12" x14ac:dyDescent="0.2">
      <c r="A16" s="33"/>
      <c r="C16" s="35"/>
      <c r="J16" s="39"/>
      <c r="L16" s="39"/>
    </row>
    <row r="17" spans="1:12" x14ac:dyDescent="0.2">
      <c r="A17" s="33"/>
      <c r="C17" s="43" t="s">
        <v>55</v>
      </c>
      <c r="J17" s="39"/>
      <c r="L17" s="39"/>
    </row>
    <row r="18" spans="1:12" x14ac:dyDescent="0.2">
      <c r="A18" s="33">
        <f>A15+1</f>
        <v>9</v>
      </c>
      <c r="C18" s="35" t="s">
        <v>56</v>
      </c>
      <c r="F18" s="30" t="s">
        <v>45</v>
      </c>
      <c r="G18" s="30" t="s">
        <v>57</v>
      </c>
      <c r="H18" s="38" t="s">
        <v>472</v>
      </c>
      <c r="J18" s="39">
        <v>-2133338227.4523842</v>
      </c>
      <c r="L18" s="39"/>
    </row>
    <row r="19" spans="1:12" x14ac:dyDescent="0.2">
      <c r="A19" s="33">
        <f>A18+1</f>
        <v>10</v>
      </c>
      <c r="C19" s="35" t="s">
        <v>58</v>
      </c>
      <c r="F19" s="30" t="s">
        <v>47</v>
      </c>
      <c r="G19" s="30" t="s">
        <v>57</v>
      </c>
      <c r="H19" s="38" t="s">
        <v>473</v>
      </c>
      <c r="J19" s="39">
        <v>0</v>
      </c>
      <c r="L19" s="39"/>
    </row>
    <row r="20" spans="1:12" x14ac:dyDescent="0.2">
      <c r="A20" s="33">
        <f>A19+1</f>
        <v>11</v>
      </c>
      <c r="C20" s="35" t="s">
        <v>59</v>
      </c>
      <c r="D20" s="44"/>
      <c r="F20" s="30" t="s">
        <v>47</v>
      </c>
      <c r="G20" s="30" t="s">
        <v>57</v>
      </c>
      <c r="H20" s="38" t="s">
        <v>474</v>
      </c>
      <c r="J20" s="45">
        <v>-121685256.4392336</v>
      </c>
      <c r="L20" s="39"/>
    </row>
    <row r="21" spans="1:12" x14ac:dyDescent="0.2">
      <c r="A21" s="33">
        <f>A20+1</f>
        <v>12</v>
      </c>
      <c r="C21" s="46" t="s">
        <v>60</v>
      </c>
      <c r="D21" s="44"/>
      <c r="H21" s="30" t="str">
        <f>"Line "&amp;A18&amp;" + Line "&amp;A19&amp;" + Line "&amp;A20&amp;""</f>
        <v>Line 9 + Line 10 + Line 11</v>
      </c>
      <c r="J21" s="39">
        <f>SUM(J18:J20)</f>
        <v>-2255023483.8916178</v>
      </c>
      <c r="L21" s="39"/>
    </row>
    <row r="22" spans="1:12" x14ac:dyDescent="0.2">
      <c r="A22" s="33"/>
      <c r="J22" s="39"/>
      <c r="L22" s="39"/>
    </row>
    <row r="23" spans="1:12" x14ac:dyDescent="0.2">
      <c r="A23" s="33">
        <f>A21+1</f>
        <v>13</v>
      </c>
      <c r="C23" s="38" t="s">
        <v>61</v>
      </c>
      <c r="F23" s="38" t="s">
        <v>47</v>
      </c>
      <c r="H23" s="38" t="s">
        <v>494</v>
      </c>
      <c r="J23" s="39">
        <v>-1489334840.996069</v>
      </c>
      <c r="L23" s="39"/>
    </row>
    <row r="24" spans="1:12" x14ac:dyDescent="0.2">
      <c r="A24" s="33">
        <f>A23+1</f>
        <v>14</v>
      </c>
      <c r="C24" s="38" t="s">
        <v>62</v>
      </c>
      <c r="F24" s="30" t="s">
        <v>45</v>
      </c>
      <c r="H24" s="38" t="s">
        <v>489</v>
      </c>
      <c r="J24" s="39">
        <v>640954705.4738462</v>
      </c>
      <c r="L24" s="39"/>
    </row>
    <row r="25" spans="1:12" x14ac:dyDescent="0.2">
      <c r="A25" s="33">
        <f>A24+1</f>
        <v>15</v>
      </c>
      <c r="C25" s="38" t="s">
        <v>63</v>
      </c>
      <c r="F25" s="30" t="s">
        <v>47</v>
      </c>
      <c r="G25" s="30" t="s">
        <v>57</v>
      </c>
      <c r="H25" s="38" t="s">
        <v>477</v>
      </c>
      <c r="J25" s="39">
        <v>-26617620.484999999</v>
      </c>
      <c r="L25" s="39"/>
    </row>
    <row r="26" spans="1:12" x14ac:dyDescent="0.2">
      <c r="A26" s="33">
        <f t="shared" ref="A26:A27" si="0">A25+1</f>
        <v>16</v>
      </c>
      <c r="C26" s="38" t="s">
        <v>64</v>
      </c>
      <c r="H26" s="30" t="s">
        <v>478</v>
      </c>
      <c r="J26" s="39">
        <v>-176736728.09715599</v>
      </c>
      <c r="L26" s="39"/>
    </row>
    <row r="27" spans="1:12" x14ac:dyDescent="0.2">
      <c r="A27" s="33">
        <f t="shared" si="0"/>
        <v>17</v>
      </c>
      <c r="C27" s="38" t="s">
        <v>65</v>
      </c>
      <c r="F27" s="30" t="s">
        <v>47</v>
      </c>
      <c r="H27" s="38" t="s">
        <v>479</v>
      </c>
      <c r="J27" s="39">
        <v>0</v>
      </c>
      <c r="L27" s="39"/>
    </row>
    <row r="28" spans="1:12" x14ac:dyDescent="0.2">
      <c r="A28" s="33"/>
      <c r="C28" s="38"/>
      <c r="L28" s="39"/>
    </row>
    <row r="29" spans="1:12" x14ac:dyDescent="0.2">
      <c r="A29" s="33">
        <f>A27+1</f>
        <v>18</v>
      </c>
      <c r="C29" s="30" t="s">
        <v>66</v>
      </c>
      <c r="H29" s="30" t="str">
        <f>"L"&amp;A6&amp;"+L"&amp;A7&amp;"+L"&amp;A8&amp;"+L"&amp;A9&amp;"+L"&amp;A15&amp;"+L"&amp;A21&amp;"+"</f>
        <v>L1+L2+L3+L4+L8+L12+</v>
      </c>
      <c r="J29" s="42">
        <f>J6+ J7+J8+J9+J15+J21+J23+J24+J25+J26+J27</f>
        <v>7221902688.5350161</v>
      </c>
      <c r="L29" s="39"/>
    </row>
    <row r="30" spans="1:12" x14ac:dyDescent="0.2">
      <c r="A30" s="33"/>
      <c r="H30" s="30" t="str">
        <f>"L"&amp;A23&amp;"+L"&amp;A24&amp;"+L"&amp;A25&amp;"+L"&amp;A26&amp;"+L"&amp;A27&amp;""</f>
        <v>L13+L14+L15+L16+L17</v>
      </c>
      <c r="J30" s="39"/>
      <c r="L30" s="39"/>
    </row>
    <row r="31" spans="1:12" x14ac:dyDescent="0.2">
      <c r="A31" s="33"/>
      <c r="B31" s="29" t="s">
        <v>67</v>
      </c>
      <c r="J31" s="39"/>
      <c r="L31" s="39"/>
    </row>
    <row r="32" spans="1:12" x14ac:dyDescent="0.2">
      <c r="A32" s="34" t="s">
        <v>39</v>
      </c>
      <c r="C32" s="29"/>
      <c r="J32" s="39"/>
      <c r="L32" s="39"/>
    </row>
    <row r="33" spans="1:14" x14ac:dyDescent="0.2">
      <c r="A33" s="33">
        <f>A29+1</f>
        <v>19</v>
      </c>
      <c r="C33" s="30" t="s">
        <v>68</v>
      </c>
      <c r="G33" s="30" t="s">
        <v>69</v>
      </c>
      <c r="H33" s="30" t="str">
        <f>"Instruction 1, Line "&amp;B99&amp;""</f>
        <v>Instruction 1, Line j</v>
      </c>
      <c r="J33" s="47">
        <f>E99</f>
        <v>7.0841071502043135E-2</v>
      </c>
      <c r="L33" s="47"/>
    </row>
    <row r="34" spans="1:14" x14ac:dyDescent="0.2">
      <c r="A34" s="33">
        <f>A33+1</f>
        <v>20</v>
      </c>
      <c r="C34" s="30" t="s">
        <v>70</v>
      </c>
      <c r="H34" s="30" t="str">
        <f>"Line "&amp;A29&amp;" * Line "&amp;A33&amp;""</f>
        <v>Line 18 * Line 19</v>
      </c>
      <c r="J34" s="42">
        <f>J29*J33</f>
        <v>511607324.73930663</v>
      </c>
      <c r="L34" s="39"/>
    </row>
    <row r="35" spans="1:14" x14ac:dyDescent="0.2">
      <c r="A35" s="33"/>
      <c r="B35" s="35"/>
      <c r="L35" s="39"/>
    </row>
    <row r="36" spans="1:14" x14ac:dyDescent="0.2">
      <c r="A36" s="33"/>
      <c r="B36" s="29" t="s">
        <v>71</v>
      </c>
      <c r="L36" s="39"/>
    </row>
    <row r="37" spans="1:14" x14ac:dyDescent="0.2">
      <c r="A37" s="33"/>
      <c r="B37" s="35"/>
      <c r="L37" s="39"/>
    </row>
    <row r="38" spans="1:14" x14ac:dyDescent="0.2">
      <c r="A38" s="33">
        <f>A34+1</f>
        <v>21</v>
      </c>
      <c r="C38" s="30" t="s">
        <v>72</v>
      </c>
      <c r="J38" s="42">
        <f>(((J29*J42) + J45) *(J43/(1-J43)))+(J44/(1-J43))</f>
        <v>132245384.40025146</v>
      </c>
      <c r="L38" s="39"/>
    </row>
    <row r="39" spans="1:14" x14ac:dyDescent="0.2">
      <c r="A39" s="33"/>
      <c r="L39" s="39"/>
    </row>
    <row r="40" spans="1:14" x14ac:dyDescent="0.2">
      <c r="A40" s="33"/>
      <c r="D40" s="30" t="s">
        <v>73</v>
      </c>
      <c r="L40" s="39"/>
    </row>
    <row r="41" spans="1:14" x14ac:dyDescent="0.2">
      <c r="A41" s="33">
        <f>A38+1</f>
        <v>22</v>
      </c>
      <c r="D41" s="35" t="s">
        <v>74</v>
      </c>
      <c r="H41" s="30" t="str">
        <f>"Line "&amp;A29&amp;""</f>
        <v>Line 18</v>
      </c>
      <c r="J41" s="42">
        <f>J29</f>
        <v>7221902688.5350161</v>
      </c>
      <c r="L41" s="39"/>
    </row>
    <row r="42" spans="1:14" x14ac:dyDescent="0.2">
      <c r="A42" s="33">
        <f>A41+1</f>
        <v>23</v>
      </c>
      <c r="D42" s="35" t="s">
        <v>75</v>
      </c>
      <c r="G42" s="30" t="s">
        <v>76</v>
      </c>
      <c r="H42" s="30" t="str">
        <f>"Instruction 1, Line "&amp;B104&amp;""</f>
        <v>Instruction 1, Line k</v>
      </c>
      <c r="J42" s="47">
        <f>E104</f>
        <v>5.1770508276703368E-2</v>
      </c>
      <c r="L42" s="47"/>
    </row>
    <row r="43" spans="1:14" x14ac:dyDescent="0.2">
      <c r="A43" s="33">
        <f>A42+1</f>
        <v>24</v>
      </c>
      <c r="D43" s="35" t="s">
        <v>77</v>
      </c>
      <c r="H43" s="30" t="s">
        <v>457</v>
      </c>
      <c r="J43" s="47">
        <v>0.27983599999999997</v>
      </c>
      <c r="L43" s="47"/>
    </row>
    <row r="44" spans="1:14" x14ac:dyDescent="0.2">
      <c r="A44" s="33">
        <f>A43+1</f>
        <v>25</v>
      </c>
      <c r="D44" s="35" t="s">
        <v>78</v>
      </c>
      <c r="H44" s="30" t="s">
        <v>458</v>
      </c>
      <c r="J44" s="39">
        <v>-10102443.147941532</v>
      </c>
      <c r="L44" s="39"/>
    </row>
    <row r="45" spans="1:14" x14ac:dyDescent="0.2">
      <c r="A45" s="33">
        <f>A44+1</f>
        <v>26</v>
      </c>
      <c r="D45" s="35" t="s">
        <v>79</v>
      </c>
      <c r="H45" s="30" t="s">
        <v>459</v>
      </c>
      <c r="J45" s="39">
        <v>2556084</v>
      </c>
      <c r="L45" s="39"/>
    </row>
    <row r="46" spans="1:14" x14ac:dyDescent="0.2">
      <c r="A46" s="33"/>
      <c r="B46" s="35"/>
      <c r="L46" s="39"/>
    </row>
    <row r="47" spans="1:14" x14ac:dyDescent="0.2">
      <c r="A47" s="33"/>
      <c r="B47" s="29" t="s">
        <v>80</v>
      </c>
      <c r="L47" s="39"/>
      <c r="N47" s="36"/>
    </row>
    <row r="48" spans="1:14" x14ac:dyDescent="0.2">
      <c r="A48" s="33">
        <f>A45+1</f>
        <v>27</v>
      </c>
      <c r="B48" s="35"/>
      <c r="C48" s="30" t="s">
        <v>81</v>
      </c>
      <c r="H48" s="30" t="s">
        <v>460</v>
      </c>
      <c r="J48" s="39">
        <v>104115714.00165026</v>
      </c>
      <c r="L48" s="39"/>
    </row>
    <row r="49" spans="1:12" x14ac:dyDescent="0.2">
      <c r="A49" s="33">
        <f t="shared" ref="A49:A59" si="1">A48+1</f>
        <v>28</v>
      </c>
      <c r="B49" s="35"/>
      <c r="C49" s="30" t="s">
        <v>82</v>
      </c>
      <c r="H49" s="30" t="s">
        <v>461</v>
      </c>
      <c r="J49" s="42">
        <v>141139283.79600003</v>
      </c>
      <c r="L49" s="39"/>
    </row>
    <row r="50" spans="1:12" x14ac:dyDescent="0.2">
      <c r="A50" s="33">
        <f>A49+1</f>
        <v>29</v>
      </c>
      <c r="B50" s="35"/>
      <c r="C50" s="30" t="s">
        <v>83</v>
      </c>
      <c r="H50" s="30" t="s">
        <v>462</v>
      </c>
      <c r="J50" s="39">
        <v>1565253.42</v>
      </c>
      <c r="L50" s="39"/>
    </row>
    <row r="51" spans="1:12" x14ac:dyDescent="0.2">
      <c r="A51" s="33">
        <f t="shared" si="1"/>
        <v>30</v>
      </c>
      <c r="B51" s="35"/>
      <c r="C51" s="30" t="s">
        <v>84</v>
      </c>
      <c r="H51" s="30" t="s">
        <v>463</v>
      </c>
      <c r="J51" s="39">
        <v>295867458.50317699</v>
      </c>
      <c r="L51" s="39"/>
    </row>
    <row r="52" spans="1:12" x14ac:dyDescent="0.2">
      <c r="A52" s="33">
        <f t="shared" si="1"/>
        <v>31</v>
      </c>
      <c r="B52" s="35"/>
      <c r="C52" s="30" t="s">
        <v>85</v>
      </c>
      <c r="H52" s="30" t="s">
        <v>464</v>
      </c>
      <c r="J52" s="39">
        <v>0</v>
      </c>
      <c r="L52" s="39"/>
    </row>
    <row r="53" spans="1:12" x14ac:dyDescent="0.2">
      <c r="A53" s="33">
        <f t="shared" si="1"/>
        <v>32</v>
      </c>
      <c r="B53" s="35"/>
      <c r="C53" s="30" t="s">
        <v>86</v>
      </c>
      <c r="H53" s="30" t="s">
        <v>465</v>
      </c>
      <c r="J53" s="39">
        <v>75917125.973308787</v>
      </c>
      <c r="L53" s="39"/>
    </row>
    <row r="54" spans="1:12" x14ac:dyDescent="0.2">
      <c r="A54" s="33">
        <f t="shared" si="1"/>
        <v>33</v>
      </c>
      <c r="B54" s="35"/>
      <c r="C54" s="30" t="s">
        <v>87</v>
      </c>
      <c r="H54" s="30" t="s">
        <v>466</v>
      </c>
      <c r="J54" s="39">
        <v>-51757940.573729523</v>
      </c>
      <c r="L54" s="39"/>
    </row>
    <row r="55" spans="1:12" x14ac:dyDescent="0.2">
      <c r="A55" s="33">
        <f t="shared" si="1"/>
        <v>34</v>
      </c>
      <c r="B55" s="35"/>
      <c r="C55" s="30" t="s">
        <v>88</v>
      </c>
      <c r="H55" s="30" t="str">
        <f>"Line "&amp;A34&amp;""</f>
        <v>Line 20</v>
      </c>
      <c r="J55" s="39">
        <f>J34</f>
        <v>511607324.73930663</v>
      </c>
      <c r="L55" s="39"/>
    </row>
    <row r="56" spans="1:12" x14ac:dyDescent="0.2">
      <c r="A56" s="33">
        <f t="shared" si="1"/>
        <v>35</v>
      </c>
      <c r="B56" s="35"/>
      <c r="C56" s="30" t="s">
        <v>89</v>
      </c>
      <c r="H56" s="30" t="str">
        <f>"Line "&amp;A38&amp;""</f>
        <v>Line 21</v>
      </c>
      <c r="J56" s="42">
        <f>J38</f>
        <v>132245384.40025146</v>
      </c>
      <c r="L56" s="39"/>
    </row>
    <row r="57" spans="1:12" x14ac:dyDescent="0.2">
      <c r="A57" s="33">
        <f t="shared" si="1"/>
        <v>36</v>
      </c>
      <c r="B57" s="35"/>
      <c r="C57" s="30" t="s">
        <v>90</v>
      </c>
      <c r="H57" s="30" t="s">
        <v>467</v>
      </c>
      <c r="J57" s="39">
        <v>0</v>
      </c>
      <c r="L57" s="39"/>
    </row>
    <row r="58" spans="1:12" x14ac:dyDescent="0.2">
      <c r="A58" s="33">
        <f t="shared" si="1"/>
        <v>37</v>
      </c>
      <c r="B58" s="35"/>
      <c r="C58" s="48" t="s">
        <v>91</v>
      </c>
      <c r="D58" s="48"/>
      <c r="H58" s="30" t="s">
        <v>468</v>
      </c>
      <c r="J58" s="45">
        <v>0</v>
      </c>
      <c r="K58" s="39"/>
    </row>
    <row r="59" spans="1:12" x14ac:dyDescent="0.2">
      <c r="A59" s="33">
        <f t="shared" si="1"/>
        <v>38</v>
      </c>
      <c r="B59" s="35"/>
      <c r="C59" s="30" t="s">
        <v>92</v>
      </c>
      <c r="H59" s="30" t="str">
        <f>"Sum Line "&amp;A48&amp;" to Line "&amp;A58&amp;""</f>
        <v>Sum Line 27 to Line 37</v>
      </c>
      <c r="J59" s="42">
        <f>SUM(J48:J58)</f>
        <v>1210699604.2599645</v>
      </c>
      <c r="L59" s="39"/>
    </row>
    <row r="60" spans="1:12" x14ac:dyDescent="0.2">
      <c r="A60" s="33"/>
      <c r="B60" s="35"/>
      <c r="J60" s="39"/>
      <c r="L60" s="39"/>
    </row>
    <row r="61" spans="1:12" ht="12.75" customHeight="1" x14ac:dyDescent="0.2">
      <c r="A61" s="33">
        <f>A59+1</f>
        <v>39</v>
      </c>
      <c r="B61" s="35"/>
      <c r="C61" s="30" t="s">
        <v>93</v>
      </c>
      <c r="H61" s="30" t="s">
        <v>480</v>
      </c>
      <c r="J61" s="39">
        <v>25188086.802051514</v>
      </c>
      <c r="L61" s="39"/>
    </row>
    <row r="62" spans="1:12" ht="12.75" customHeight="1" x14ac:dyDescent="0.2">
      <c r="A62" s="33" t="s">
        <v>148</v>
      </c>
      <c r="B62" s="35"/>
      <c r="C62" s="30" t="s">
        <v>149</v>
      </c>
      <c r="H62" s="30" t="s">
        <v>150</v>
      </c>
      <c r="J62" s="39">
        <f>-J61</f>
        <v>-25188086.802051514</v>
      </c>
      <c r="L62" s="39"/>
    </row>
    <row r="63" spans="1:12" x14ac:dyDescent="0.2">
      <c r="A63" s="33"/>
      <c r="B63" s="35"/>
      <c r="J63" s="39"/>
      <c r="L63" s="39"/>
    </row>
    <row r="64" spans="1:12" x14ac:dyDescent="0.2">
      <c r="A64" s="33">
        <f>A61+1</f>
        <v>40</v>
      </c>
      <c r="B64" s="35"/>
      <c r="C64" s="30" t="s">
        <v>94</v>
      </c>
      <c r="H64" s="30" t="str">
        <f>"Sum of Lines "&amp;A59&amp;" to "&amp;A62&amp;""</f>
        <v>Sum of Lines 38 to 39a</v>
      </c>
      <c r="J64" s="42">
        <f>J59+J61+J62</f>
        <v>1210699604.2599645</v>
      </c>
      <c r="L64" s="39"/>
    </row>
    <row r="65" spans="1:15" x14ac:dyDescent="0.2">
      <c r="A65" s="33"/>
      <c r="B65" s="35"/>
      <c r="J65" s="39"/>
    </row>
    <row r="66" spans="1:15" x14ac:dyDescent="0.2">
      <c r="A66" s="33"/>
      <c r="B66" s="31" t="s">
        <v>95</v>
      </c>
      <c r="J66" s="39"/>
    </row>
    <row r="67" spans="1:15" ht="13.5" thickBot="1" x14ac:dyDescent="0.25">
      <c r="A67" s="34" t="s">
        <v>39</v>
      </c>
      <c r="B67" s="38"/>
      <c r="G67" s="36" t="s">
        <v>96</v>
      </c>
      <c r="N67" s="36"/>
    </row>
    <row r="68" spans="1:15" x14ac:dyDescent="0.2">
      <c r="A68" s="33">
        <f>A64+1</f>
        <v>41</v>
      </c>
      <c r="B68" s="38"/>
      <c r="D68" s="49" t="s">
        <v>97</v>
      </c>
      <c r="E68" s="42">
        <f>J64</f>
        <v>1210699604.2599645</v>
      </c>
      <c r="G68" s="30" t="str">
        <f>"Line "&amp;A64&amp;""</f>
        <v>Line 40</v>
      </c>
      <c r="J68" s="50" t="s">
        <v>98</v>
      </c>
      <c r="L68" s="39"/>
    </row>
    <row r="69" spans="1:15" x14ac:dyDescent="0.2">
      <c r="A69" s="33">
        <f>A68+1</f>
        <v>42</v>
      </c>
      <c r="B69" s="38"/>
      <c r="D69" s="49" t="s">
        <v>99</v>
      </c>
      <c r="E69" s="51">
        <v>9.3645816374923023E-3</v>
      </c>
      <c r="G69" s="30" t="s">
        <v>481</v>
      </c>
      <c r="J69" s="52" t="s">
        <v>413</v>
      </c>
      <c r="L69" s="47"/>
    </row>
    <row r="70" spans="1:15" x14ac:dyDescent="0.2">
      <c r="A70" s="33">
        <f>A69+1</f>
        <v>43</v>
      </c>
      <c r="B70" s="38"/>
      <c r="D70" s="49" t="s">
        <v>100</v>
      </c>
      <c r="E70" s="42">
        <f>E68*E69</f>
        <v>11337695.282572061</v>
      </c>
      <c r="G70" s="30" t="str">
        <f>"Line "&amp;A68&amp;" * Line "&amp;A69&amp;""</f>
        <v>Line 41 * Line 42</v>
      </c>
      <c r="J70" s="53">
        <f>E74</f>
        <v>1233990856.5096664</v>
      </c>
      <c r="L70" s="39"/>
    </row>
    <row r="71" spans="1:15" ht="30.6" customHeight="1" x14ac:dyDescent="0.2">
      <c r="A71" s="33">
        <f>A70+1</f>
        <v>44</v>
      </c>
      <c r="B71" s="38"/>
      <c r="D71" s="49" t="s">
        <v>101</v>
      </c>
      <c r="E71" s="262">
        <v>9.873264123544865E-3</v>
      </c>
      <c r="G71" s="30" t="s">
        <v>481</v>
      </c>
      <c r="J71" s="54">
        <v>1234012536.9533474</v>
      </c>
      <c r="K71" s="367" t="s">
        <v>414</v>
      </c>
      <c r="L71" s="368"/>
      <c r="M71" s="368"/>
    </row>
    <row r="72" spans="1:15" ht="13.5" thickBot="1" x14ac:dyDescent="0.25">
      <c r="A72" s="33">
        <f>A71+1</f>
        <v>45</v>
      </c>
      <c r="B72" s="38"/>
      <c r="D72" s="49" t="s">
        <v>102</v>
      </c>
      <c r="E72" s="42">
        <f>E68*E71</f>
        <v>11953556.967129873</v>
      </c>
      <c r="G72" s="30" t="str">
        <f>"Line "&amp;A68&amp;" * Line "&amp;A71&amp;""</f>
        <v>Line 41 * Line 44</v>
      </c>
      <c r="J72" s="55">
        <f>J70-J71</f>
        <v>-21680.443681001663</v>
      </c>
    </row>
    <row r="73" spans="1:15" x14ac:dyDescent="0.2">
      <c r="A73" s="33" t="s">
        <v>415</v>
      </c>
      <c r="B73" s="38"/>
      <c r="D73" s="49" t="s">
        <v>416</v>
      </c>
      <c r="E73" s="45">
        <v>0</v>
      </c>
      <c r="G73" s="30" t="s">
        <v>495</v>
      </c>
      <c r="I73" s="263"/>
      <c r="J73" s="264"/>
    </row>
    <row r="74" spans="1:15" x14ac:dyDescent="0.2">
      <c r="A74" s="33">
        <f>A72+1</f>
        <v>46</v>
      </c>
      <c r="B74" s="38"/>
      <c r="D74" s="49" t="s">
        <v>103</v>
      </c>
      <c r="E74" s="42">
        <f>E68+E70+E72+E73</f>
        <v>1233990856.5096664</v>
      </c>
      <c r="G74" s="30" t="str">
        <f>"L "&amp;A68&amp;" + L "&amp;A70&amp;" + L "&amp;A72&amp;"+ L "&amp;A73&amp;""</f>
        <v>L 41 + L 43 + L 45+ L 45a</v>
      </c>
    </row>
    <row r="75" spans="1:15" x14ac:dyDescent="0.2">
      <c r="B75" s="31" t="s">
        <v>104</v>
      </c>
      <c r="D75" s="49"/>
      <c r="E75" s="39"/>
      <c r="H75" s="56"/>
    </row>
    <row r="76" spans="1:15" x14ac:dyDescent="0.2">
      <c r="A76" s="33"/>
      <c r="B76" s="30" t="s">
        <v>145</v>
      </c>
      <c r="C76" s="31"/>
      <c r="D76" s="49"/>
      <c r="E76" s="39"/>
      <c r="L76" s="87" t="s">
        <v>408</v>
      </c>
      <c r="M76" s="253">
        <v>-21892.477520227432</v>
      </c>
    </row>
    <row r="77" spans="1:15" ht="31.5" customHeight="1" x14ac:dyDescent="0.2">
      <c r="A77" s="33"/>
      <c r="B77" s="30" t="s">
        <v>146</v>
      </c>
      <c r="C77" s="31"/>
      <c r="D77" s="49"/>
      <c r="E77" s="39"/>
      <c r="L77" s="116" t="s">
        <v>409</v>
      </c>
      <c r="M77" s="254">
        <v>212.03383922576904</v>
      </c>
    </row>
    <row r="78" spans="1:15" x14ac:dyDescent="0.2">
      <c r="A78" s="33"/>
      <c r="B78" s="38" t="s">
        <v>105</v>
      </c>
      <c r="D78" s="49"/>
      <c r="E78" s="39"/>
      <c r="L78" s="252" t="s">
        <v>169</v>
      </c>
      <c r="M78" s="255">
        <f>SUM(M76:M77)</f>
        <v>-21680.443681001663</v>
      </c>
    </row>
    <row r="79" spans="1:15" x14ac:dyDescent="0.2">
      <c r="A79" s="33"/>
      <c r="B79" s="38" t="s">
        <v>106</v>
      </c>
      <c r="D79" s="49"/>
      <c r="E79" s="39"/>
      <c r="M79" s="36"/>
      <c r="O79" s="36"/>
    </row>
    <row r="80" spans="1:15" x14ac:dyDescent="0.2">
      <c r="A80" s="33"/>
      <c r="N80" s="39"/>
    </row>
    <row r="81" spans="1:16" x14ac:dyDescent="0.2">
      <c r="A81" s="33"/>
      <c r="B81" s="30" t="s">
        <v>107</v>
      </c>
      <c r="N81" s="39"/>
    </row>
    <row r="82" spans="1:16" x14ac:dyDescent="0.2">
      <c r="A82" s="33"/>
      <c r="C82" s="30" t="s">
        <v>108</v>
      </c>
      <c r="N82" s="39"/>
    </row>
    <row r="83" spans="1:16" x14ac:dyDescent="0.2">
      <c r="A83" s="33"/>
      <c r="J83" s="33" t="s">
        <v>109</v>
      </c>
      <c r="N83" s="39"/>
    </row>
    <row r="84" spans="1:16" x14ac:dyDescent="0.2">
      <c r="A84" s="33"/>
      <c r="E84" s="37" t="s">
        <v>110</v>
      </c>
      <c r="F84" s="36" t="s">
        <v>96</v>
      </c>
      <c r="G84" s="37" t="s">
        <v>111</v>
      </c>
      <c r="H84" s="37" t="s">
        <v>112</v>
      </c>
      <c r="J84" s="37" t="s">
        <v>113</v>
      </c>
      <c r="N84" s="39"/>
    </row>
    <row r="85" spans="1:16" x14ac:dyDescent="0.2">
      <c r="B85" s="57" t="s">
        <v>114</v>
      </c>
      <c r="C85" s="30" t="s">
        <v>115</v>
      </c>
      <c r="E85" s="148">
        <v>0.10299999999999999</v>
      </c>
      <c r="F85" s="30" t="s">
        <v>118</v>
      </c>
      <c r="G85" s="75">
        <v>44197</v>
      </c>
      <c r="H85" s="75">
        <v>44561</v>
      </c>
      <c r="J85" s="149">
        <v>365</v>
      </c>
      <c r="N85" s="39"/>
    </row>
    <row r="86" spans="1:16" x14ac:dyDescent="0.2">
      <c r="B86" s="57" t="s">
        <v>116</v>
      </c>
      <c r="C86" s="30" t="s">
        <v>117</v>
      </c>
      <c r="E86" s="148"/>
      <c r="F86" s="30" t="s">
        <v>147</v>
      </c>
      <c r="G86" s="75"/>
      <c r="H86" s="75"/>
      <c r="J86" s="149"/>
      <c r="N86" s="45"/>
    </row>
    <row r="87" spans="1:16" x14ac:dyDescent="0.2">
      <c r="B87" s="57" t="s">
        <v>119</v>
      </c>
      <c r="E87" s="60"/>
      <c r="G87" s="61"/>
      <c r="H87" s="61"/>
      <c r="I87" s="49" t="s">
        <v>120</v>
      </c>
      <c r="J87" s="63">
        <f>SUM(J85:J86)</f>
        <v>365</v>
      </c>
      <c r="N87" s="39"/>
      <c r="P87" s="261"/>
    </row>
    <row r="88" spans="1:16" x14ac:dyDescent="0.2">
      <c r="B88" s="57" t="s">
        <v>121</v>
      </c>
      <c r="C88" s="30" t="s">
        <v>122</v>
      </c>
      <c r="E88" s="58">
        <f>((E85*J85) + (E86* J86)) / J87</f>
        <v>0.10299999999999999</v>
      </c>
      <c r="F88" s="30" t="s">
        <v>123</v>
      </c>
    </row>
    <row r="89" spans="1:16" x14ac:dyDescent="0.2">
      <c r="A89" s="33"/>
    </row>
    <row r="90" spans="1:16" x14ac:dyDescent="0.2">
      <c r="A90" s="33"/>
      <c r="B90" s="30" t="s">
        <v>124</v>
      </c>
    </row>
    <row r="91" spans="1:16" x14ac:dyDescent="0.2">
      <c r="A91" s="33"/>
      <c r="E91" s="36" t="s">
        <v>96</v>
      </c>
    </row>
    <row r="92" spans="1:16" x14ac:dyDescent="0.2">
      <c r="B92" s="57" t="s">
        <v>125</v>
      </c>
      <c r="C92" s="30" t="s">
        <v>126</v>
      </c>
      <c r="E92" s="150" t="s">
        <v>166</v>
      </c>
      <c r="F92" s="59"/>
      <c r="G92" s="59"/>
      <c r="H92" s="59"/>
      <c r="I92" s="59"/>
      <c r="J92" s="59"/>
    </row>
    <row r="93" spans="1:16" x14ac:dyDescent="0.2">
      <c r="B93" s="57" t="s">
        <v>127</v>
      </c>
      <c r="C93" s="30" t="s">
        <v>128</v>
      </c>
      <c r="E93" s="150" t="s">
        <v>167</v>
      </c>
      <c r="F93" s="59"/>
      <c r="G93" s="59"/>
      <c r="H93" s="59"/>
      <c r="I93" s="59"/>
      <c r="J93" s="59"/>
    </row>
    <row r="94" spans="1:16" x14ac:dyDescent="0.2">
      <c r="E94" s="61"/>
    </row>
    <row r="95" spans="1:16" x14ac:dyDescent="0.2">
      <c r="E95" s="37" t="s">
        <v>110</v>
      </c>
      <c r="F95" s="36" t="s">
        <v>96</v>
      </c>
    </row>
    <row r="96" spans="1:16" x14ac:dyDescent="0.2">
      <c r="B96" s="57" t="s">
        <v>129</v>
      </c>
      <c r="C96" s="30" t="s">
        <v>130</v>
      </c>
      <c r="E96" s="151">
        <v>1.907056322533977E-2</v>
      </c>
      <c r="F96" s="30" t="s">
        <v>469</v>
      </c>
    </row>
    <row r="97" spans="1:10" x14ac:dyDescent="0.2">
      <c r="B97" s="57" t="s">
        <v>131</v>
      </c>
      <c r="C97" s="30" t="s">
        <v>132</v>
      </c>
      <c r="E97" s="151">
        <v>2.8455082767033695E-3</v>
      </c>
      <c r="F97" s="30" t="s">
        <v>470</v>
      </c>
    </row>
    <row r="98" spans="1:10" x14ac:dyDescent="0.2">
      <c r="B98" s="57" t="s">
        <v>133</v>
      </c>
      <c r="C98" s="30" t="s">
        <v>134</v>
      </c>
      <c r="E98" s="152">
        <v>4.8924999999999996E-2</v>
      </c>
      <c r="F98" s="30" t="s">
        <v>471</v>
      </c>
    </row>
    <row r="99" spans="1:10" x14ac:dyDescent="0.2">
      <c r="B99" s="33" t="s">
        <v>135</v>
      </c>
      <c r="C99" s="35" t="s">
        <v>68</v>
      </c>
      <c r="E99" s="151">
        <f>SUM(E96:E98)</f>
        <v>7.0841071502043135E-2</v>
      </c>
      <c r="F99" s="39" t="str">
        <f>"Sum of Lines "&amp;B96&amp;" to "&amp;B98&amp;""</f>
        <v>Sum of Lines g to i</v>
      </c>
      <c r="G99" s="63"/>
      <c r="J99" s="64"/>
    </row>
    <row r="100" spans="1:10" x14ac:dyDescent="0.2">
      <c r="A100" s="33"/>
      <c r="C100" s="65"/>
      <c r="D100" s="66"/>
      <c r="E100" s="39"/>
      <c r="F100" s="39"/>
      <c r="G100" s="63"/>
      <c r="H100" s="39"/>
      <c r="J100" s="64"/>
    </row>
    <row r="101" spans="1:10" x14ac:dyDescent="0.2">
      <c r="A101" s="33"/>
      <c r="B101" s="30" t="s">
        <v>136</v>
      </c>
    </row>
    <row r="102" spans="1:10" x14ac:dyDescent="0.2">
      <c r="A102" s="33"/>
    </row>
    <row r="103" spans="1:10" x14ac:dyDescent="0.2">
      <c r="A103" s="33"/>
      <c r="E103" s="37" t="s">
        <v>110</v>
      </c>
      <c r="F103" s="36" t="s">
        <v>96</v>
      </c>
    </row>
    <row r="104" spans="1:10" x14ac:dyDescent="0.2">
      <c r="B104" s="57" t="s">
        <v>137</v>
      </c>
      <c r="E104" s="151">
        <f>E97+E98</f>
        <v>5.1770508276703368E-2</v>
      </c>
      <c r="F104" s="39" t="str">
        <f>"Sum of Lines "&amp;B97&amp;" to "&amp;B98&amp;""</f>
        <v>Sum of Lines h to i</v>
      </c>
    </row>
    <row r="105" spans="1:10" x14ac:dyDescent="0.2">
      <c r="A105" s="33"/>
      <c r="E105" s="47"/>
      <c r="F105" s="39"/>
    </row>
    <row r="106" spans="1:10" x14ac:dyDescent="0.2">
      <c r="A106" s="33"/>
      <c r="B106" s="34" t="s">
        <v>152</v>
      </c>
      <c r="E106" s="63"/>
      <c r="F106" s="63"/>
      <c r="G106" s="63"/>
      <c r="H106" s="39"/>
    </row>
    <row r="107" spans="1:10" x14ac:dyDescent="0.2">
      <c r="A107" s="33"/>
      <c r="B107" s="30" t="s">
        <v>153</v>
      </c>
    </row>
    <row r="108" spans="1:10" x14ac:dyDescent="0.2">
      <c r="A108" s="33"/>
      <c r="B108" s="35" t="s">
        <v>168</v>
      </c>
      <c r="D108" s="33"/>
      <c r="E108" s="33"/>
      <c r="F108" s="33"/>
      <c r="G108" s="33"/>
      <c r="H108" s="33"/>
    </row>
    <row r="109" spans="1:10" x14ac:dyDescent="0.2">
      <c r="A109" s="33"/>
      <c r="B109" s="38"/>
      <c r="D109" s="33"/>
      <c r="E109" s="33"/>
      <c r="F109" s="33"/>
      <c r="G109" s="33"/>
      <c r="H109" s="33"/>
    </row>
    <row r="110" spans="1:10" x14ac:dyDescent="0.2">
      <c r="A110" s="33"/>
      <c r="C110" s="67"/>
      <c r="D110" s="67"/>
      <c r="E110" s="37"/>
      <c r="F110" s="37"/>
      <c r="G110" s="37"/>
      <c r="H110" s="37"/>
    </row>
    <row r="111" spans="1:10" x14ac:dyDescent="0.2">
      <c r="A111" s="33"/>
    </row>
    <row r="112" spans="1:10" x14ac:dyDescent="0.2">
      <c r="A112" s="33"/>
    </row>
    <row r="113" spans="1:10" x14ac:dyDescent="0.2">
      <c r="A113" s="33"/>
    </row>
    <row r="114" spans="1:10" x14ac:dyDescent="0.2">
      <c r="A114" s="33"/>
      <c r="C114" s="65"/>
      <c r="E114" s="39"/>
      <c r="F114" s="39"/>
      <c r="H114" s="39"/>
      <c r="J114" s="64"/>
    </row>
    <row r="115" spans="1:10" x14ac:dyDescent="0.2">
      <c r="A115" s="33"/>
      <c r="C115" s="65"/>
      <c r="E115" s="39"/>
      <c r="F115" s="39"/>
      <c r="H115" s="39"/>
      <c r="J115" s="64"/>
    </row>
    <row r="116" spans="1:10" x14ac:dyDescent="0.2">
      <c r="A116" s="34"/>
      <c r="C116" s="65"/>
      <c r="E116" s="39"/>
      <c r="F116" s="39"/>
      <c r="H116" s="39"/>
      <c r="J116" s="64"/>
    </row>
    <row r="117" spans="1:10" x14ac:dyDescent="0.2">
      <c r="A117" s="33"/>
      <c r="D117" s="68"/>
      <c r="E117" s="39"/>
      <c r="F117" s="39"/>
      <c r="H117" s="39"/>
      <c r="J117" s="64"/>
    </row>
    <row r="118" spans="1:10" x14ac:dyDescent="0.2">
      <c r="A118" s="33"/>
      <c r="C118" s="65"/>
      <c r="D118" s="49"/>
      <c r="E118" s="45"/>
      <c r="F118" s="39"/>
      <c r="H118" s="39"/>
      <c r="J118" s="64"/>
    </row>
    <row r="119" spans="1:10" x14ac:dyDescent="0.2">
      <c r="A119" s="33"/>
      <c r="C119" s="65"/>
      <c r="D119" s="49"/>
      <c r="E119" s="39"/>
      <c r="F119" s="39"/>
      <c r="H119" s="39"/>
      <c r="J119" s="64"/>
    </row>
    <row r="120" spans="1:10" x14ac:dyDescent="0.2">
      <c r="A120" s="33"/>
    </row>
    <row r="121" spans="1:10" x14ac:dyDescent="0.2">
      <c r="A121" s="33"/>
      <c r="B121" s="29"/>
    </row>
    <row r="122" spans="1:10" x14ac:dyDescent="0.2">
      <c r="A122" s="33"/>
    </row>
    <row r="123" spans="1:10" x14ac:dyDescent="0.2">
      <c r="A123" s="33"/>
    </row>
    <row r="124" spans="1:10" x14ac:dyDescent="0.2">
      <c r="A124" s="33"/>
      <c r="F124" s="33"/>
    </row>
    <row r="125" spans="1:10" x14ac:dyDescent="0.2">
      <c r="A125" s="33"/>
      <c r="F125" s="33"/>
    </row>
    <row r="126" spans="1:10" x14ac:dyDescent="0.2">
      <c r="A126" s="33"/>
      <c r="D126" s="33"/>
      <c r="E126" s="33"/>
      <c r="F126" s="33"/>
      <c r="H126" s="33"/>
    </row>
    <row r="127" spans="1:10" x14ac:dyDescent="0.2">
      <c r="A127" s="33"/>
      <c r="D127" s="33"/>
      <c r="E127" s="33"/>
      <c r="F127" s="33"/>
      <c r="G127" s="33"/>
      <c r="H127" s="57"/>
    </row>
    <row r="128" spans="1:10" x14ac:dyDescent="0.2">
      <c r="A128" s="34"/>
      <c r="C128" s="67"/>
      <c r="D128" s="67"/>
      <c r="E128" s="37"/>
      <c r="F128" s="69"/>
      <c r="G128" s="37"/>
      <c r="H128" s="57"/>
    </row>
    <row r="129" spans="1:8" x14ac:dyDescent="0.2">
      <c r="A129" s="33"/>
      <c r="C129" s="65"/>
      <c r="D129" s="66"/>
      <c r="E129" s="39"/>
      <c r="F129" s="39"/>
      <c r="G129" s="58"/>
      <c r="H129" s="39"/>
    </row>
    <row r="130" spans="1:8" x14ac:dyDescent="0.2">
      <c r="A130" s="33"/>
      <c r="C130" s="65"/>
      <c r="D130" s="66"/>
      <c r="E130" s="39"/>
      <c r="F130" s="39"/>
      <c r="G130" s="58"/>
      <c r="H130" s="39"/>
    </row>
    <row r="131" spans="1:8" x14ac:dyDescent="0.2">
      <c r="A131" s="33"/>
      <c r="C131" s="65"/>
      <c r="D131" s="66"/>
      <c r="E131" s="39"/>
      <c r="F131" s="39"/>
      <c r="G131" s="58"/>
      <c r="H131" s="39"/>
    </row>
    <row r="132" spans="1:8" x14ac:dyDescent="0.2">
      <c r="A132" s="33"/>
      <c r="C132" s="65"/>
      <c r="D132" s="66"/>
      <c r="E132" s="39"/>
      <c r="F132" s="39"/>
      <c r="G132" s="58"/>
      <c r="H132" s="39"/>
    </row>
    <row r="133" spans="1:8" x14ac:dyDescent="0.2">
      <c r="A133" s="33"/>
      <c r="C133" s="65"/>
      <c r="D133" s="66"/>
      <c r="E133" s="39"/>
      <c r="F133" s="39"/>
      <c r="G133" s="58"/>
      <c r="H133" s="39"/>
    </row>
    <row r="134" spans="1:8" x14ac:dyDescent="0.2">
      <c r="A134" s="33"/>
      <c r="C134" s="65"/>
      <c r="D134" s="66"/>
      <c r="E134" s="39"/>
      <c r="F134" s="39"/>
      <c r="G134" s="58"/>
      <c r="H134" s="39"/>
    </row>
    <row r="135" spans="1:8" x14ac:dyDescent="0.2">
      <c r="A135" s="33"/>
      <c r="C135" s="65"/>
      <c r="D135" s="66"/>
      <c r="E135" s="39"/>
      <c r="F135" s="39"/>
      <c r="G135" s="58"/>
      <c r="H135" s="39"/>
    </row>
    <row r="136" spans="1:8" x14ac:dyDescent="0.2">
      <c r="A136" s="33"/>
      <c r="C136" s="65"/>
      <c r="D136" s="66"/>
      <c r="E136" s="39"/>
      <c r="F136" s="39"/>
      <c r="G136" s="58"/>
      <c r="H136" s="39"/>
    </row>
    <row r="137" spans="1:8" x14ac:dyDescent="0.2">
      <c r="A137" s="33"/>
      <c r="C137" s="65"/>
      <c r="D137" s="66"/>
      <c r="E137" s="39"/>
      <c r="F137" s="39"/>
      <c r="G137" s="58"/>
      <c r="H137" s="39"/>
    </row>
    <row r="138" spans="1:8" x14ac:dyDescent="0.2">
      <c r="A138" s="33"/>
      <c r="C138" s="65"/>
      <c r="D138" s="66"/>
      <c r="E138" s="39"/>
      <c r="F138" s="39"/>
      <c r="G138" s="58"/>
      <c r="H138" s="39"/>
    </row>
    <row r="139" spans="1:8" x14ac:dyDescent="0.2">
      <c r="A139" s="33"/>
      <c r="C139" s="65"/>
      <c r="D139" s="66"/>
      <c r="E139" s="39"/>
      <c r="F139" s="39"/>
      <c r="G139" s="58"/>
      <c r="H139" s="39"/>
    </row>
    <row r="140" spans="1:8" x14ac:dyDescent="0.2">
      <c r="A140" s="33"/>
      <c r="C140" s="65"/>
      <c r="D140" s="66"/>
      <c r="E140" s="39"/>
      <c r="F140" s="39"/>
      <c r="G140" s="58"/>
      <c r="H140" s="45"/>
    </row>
    <row r="141" spans="1:8" x14ac:dyDescent="0.2">
      <c r="A141" s="33"/>
      <c r="H141" s="39"/>
    </row>
    <row r="142" spans="1:8" x14ac:dyDescent="0.2">
      <c r="A142" s="33"/>
      <c r="C142" s="65"/>
      <c r="D142" s="66"/>
      <c r="F142" s="70"/>
      <c r="G142" s="58"/>
      <c r="H142" s="70"/>
    </row>
    <row r="143" spans="1:8" x14ac:dyDescent="0.2">
      <c r="A143" s="33"/>
      <c r="B143" s="29"/>
      <c r="C143" s="65"/>
      <c r="D143" s="66"/>
      <c r="F143" s="70"/>
      <c r="G143" s="58"/>
      <c r="H143" s="70"/>
    </row>
    <row r="144" spans="1:8" x14ac:dyDescent="0.2">
      <c r="A144" s="34"/>
      <c r="B144" s="29"/>
      <c r="C144" s="65"/>
      <c r="D144" s="66"/>
      <c r="F144" s="70"/>
      <c r="G144" s="58"/>
      <c r="H144" s="70"/>
    </row>
    <row r="145" spans="1:8" x14ac:dyDescent="0.2">
      <c r="A145" s="33"/>
      <c r="C145" s="65"/>
      <c r="D145" s="71"/>
      <c r="E145" s="39"/>
      <c r="F145" s="72"/>
      <c r="G145" s="58"/>
      <c r="H145" s="70"/>
    </row>
    <row r="146" spans="1:8" x14ac:dyDescent="0.2">
      <c r="A146" s="33"/>
      <c r="C146" s="65"/>
      <c r="D146" s="49"/>
      <c r="E146" s="39"/>
      <c r="F146" s="72"/>
      <c r="G146" s="58"/>
      <c r="H146" s="70"/>
    </row>
    <row r="147" spans="1:8" x14ac:dyDescent="0.2">
      <c r="A147" s="33"/>
      <c r="C147" s="65"/>
      <c r="D147" s="49"/>
      <c r="E147" s="45"/>
      <c r="F147" s="72"/>
      <c r="G147" s="58"/>
      <c r="H147" s="70"/>
    </row>
    <row r="148" spans="1:8" x14ac:dyDescent="0.2">
      <c r="A148" s="33"/>
      <c r="C148" s="65"/>
      <c r="D148" s="71"/>
      <c r="E148" s="39"/>
      <c r="F148" s="70"/>
      <c r="G148" s="58"/>
      <c r="H148" s="70"/>
    </row>
    <row r="149" spans="1:8" x14ac:dyDescent="0.2">
      <c r="A149" s="33"/>
      <c r="C149" s="65"/>
      <c r="D149" s="66"/>
      <c r="F149" s="70"/>
      <c r="G149" s="58"/>
      <c r="H149" s="70"/>
    </row>
    <row r="150" spans="1:8" x14ac:dyDescent="0.2">
      <c r="A150" s="33"/>
    </row>
    <row r="151" spans="1:8" x14ac:dyDescent="0.2">
      <c r="A151" s="33"/>
    </row>
    <row r="152" spans="1:8" x14ac:dyDescent="0.2">
      <c r="A152" s="33"/>
    </row>
    <row r="153" spans="1:8" x14ac:dyDescent="0.2">
      <c r="A153" s="33"/>
      <c r="B153" s="29"/>
    </row>
    <row r="154" spans="1:8" x14ac:dyDescent="0.2">
      <c r="A154" s="33"/>
    </row>
    <row r="155" spans="1:8" x14ac:dyDescent="0.2">
      <c r="A155" s="33"/>
    </row>
    <row r="156" spans="1:8" x14ac:dyDescent="0.2">
      <c r="A156" s="33"/>
    </row>
    <row r="157" spans="1:8" x14ac:dyDescent="0.2">
      <c r="A157" s="33"/>
    </row>
    <row r="158" spans="1:8" x14ac:dyDescent="0.2">
      <c r="A158" s="33"/>
      <c r="B158" s="29"/>
    </row>
    <row r="159" spans="1:8" x14ac:dyDescent="0.2">
      <c r="A159" s="33"/>
    </row>
    <row r="160" spans="1:8" x14ac:dyDescent="0.2">
      <c r="A160" s="34"/>
      <c r="C160" s="67"/>
      <c r="D160" s="37"/>
    </row>
    <row r="161" spans="1:6" x14ac:dyDescent="0.2">
      <c r="A161" s="33"/>
      <c r="C161" s="65"/>
      <c r="D161" s="73"/>
      <c r="F161" s="47"/>
    </row>
    <row r="162" spans="1:6" x14ac:dyDescent="0.2">
      <c r="A162" s="33"/>
      <c r="C162" s="65"/>
      <c r="D162" s="73"/>
      <c r="F162" s="47"/>
    </row>
    <row r="163" spans="1:6" x14ac:dyDescent="0.2">
      <c r="A163" s="33"/>
      <c r="C163" s="65"/>
      <c r="D163" s="73"/>
      <c r="F163" s="47"/>
    </row>
    <row r="164" spans="1:6" x14ac:dyDescent="0.2">
      <c r="A164" s="33"/>
      <c r="C164" s="65"/>
      <c r="D164" s="73"/>
      <c r="F164" s="47"/>
    </row>
    <row r="165" spans="1:6" x14ac:dyDescent="0.2">
      <c r="A165" s="33"/>
      <c r="C165" s="65"/>
      <c r="D165" s="73"/>
      <c r="F165" s="47"/>
    </row>
    <row r="166" spans="1:6" x14ac:dyDescent="0.2">
      <c r="A166" s="33"/>
      <c r="C166" s="65"/>
      <c r="D166" s="73"/>
      <c r="F166" s="47"/>
    </row>
    <row r="167" spans="1:6" x14ac:dyDescent="0.2">
      <c r="A167" s="33"/>
      <c r="C167" s="65"/>
      <c r="D167" s="73"/>
      <c r="F167" s="47"/>
    </row>
    <row r="168" spans="1:6" x14ac:dyDescent="0.2">
      <c r="A168" s="33"/>
      <c r="C168" s="65"/>
      <c r="D168" s="73"/>
      <c r="F168" s="47"/>
    </row>
    <row r="169" spans="1:6" x14ac:dyDescent="0.2">
      <c r="A169" s="33"/>
      <c r="C169" s="65"/>
      <c r="D169" s="73"/>
      <c r="F169" s="47"/>
    </row>
    <row r="170" spans="1:6" x14ac:dyDescent="0.2">
      <c r="A170" s="33"/>
      <c r="C170" s="65"/>
      <c r="D170" s="73"/>
      <c r="F170" s="47"/>
    </row>
    <row r="171" spans="1:6" x14ac:dyDescent="0.2">
      <c r="A171" s="33"/>
      <c r="C171" s="65"/>
      <c r="D171" s="73"/>
      <c r="F171" s="47"/>
    </row>
    <row r="172" spans="1:6" x14ac:dyDescent="0.2">
      <c r="A172" s="33"/>
      <c r="C172" s="65"/>
      <c r="D172" s="74"/>
      <c r="F172" s="62"/>
    </row>
    <row r="173" spans="1:6" x14ac:dyDescent="0.2">
      <c r="A173" s="33"/>
      <c r="C173" s="68"/>
      <c r="D173" s="73"/>
    </row>
  </sheetData>
  <mergeCells count="1">
    <mergeCell ref="K71:M71"/>
  </mergeCells>
  <pageMargins left="0.75" right="0.75" top="1" bottom="1" header="0.5" footer="0.5"/>
  <pageSetup scale="67" orientation="landscape" cellComments="asDisplayed" r:id="rId1"/>
  <headerFooter alignWithMargins="0">
    <oddHeader>&amp;CSchedule 4
True Up TRR
(Revised 2021 True Up TRR)&amp;RTO2024 Annual Update
Attachment 4
WP-Schedule 3-One Time Adj Prior Period
Page &amp;P of &amp;N</oddHeader>
    <oddFooter>&amp;R&amp;A</oddFooter>
  </headerFooter>
  <rowBreaks count="4" manualBreakCount="4">
    <brk id="45" max="16383" man="1"/>
    <brk id="74" max="16383" man="1"/>
    <brk id="120" max="9" man="1"/>
    <brk id="152" max="16383" man="1"/>
  </rowBreak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793F8-1F5E-4A14-AF13-A12C55152DDA}">
  <sheetPr>
    <tabColor rgb="FFFFCC99"/>
  </sheetPr>
  <dimension ref="A1:X113"/>
  <sheetViews>
    <sheetView zoomScaleNormal="100" zoomScalePageLayoutView="80" workbookViewId="0"/>
  </sheetViews>
  <sheetFormatPr defaultColWidth="8.7109375" defaultRowHeight="12.75" x14ac:dyDescent="0.2"/>
  <cols>
    <col min="1" max="1" width="4.5703125" style="30" customWidth="1"/>
    <col min="2" max="2" width="2.5703125" style="30" customWidth="1"/>
    <col min="3" max="3" width="8.5703125" style="30" customWidth="1"/>
    <col min="4" max="4" width="32.5703125" style="30" customWidth="1"/>
    <col min="5" max="5" width="14.5703125" style="30" customWidth="1"/>
    <col min="6" max="6" width="15.5703125" style="30" customWidth="1"/>
    <col min="7" max="8" width="14.5703125" style="30" customWidth="1"/>
    <col min="9" max="9" width="20" style="30" customWidth="1"/>
    <col min="10" max="10" width="15.5703125" style="30" customWidth="1"/>
    <col min="11" max="11" width="11" style="30" bestFit="1" customWidth="1"/>
    <col min="12" max="16384" width="8.7109375" style="30"/>
  </cols>
  <sheetData>
    <row r="1" spans="1:24" x14ac:dyDescent="0.2">
      <c r="A1" s="29" t="s">
        <v>170</v>
      </c>
      <c r="F1" s="117" t="s">
        <v>171</v>
      </c>
      <c r="G1" s="59"/>
      <c r="H1" s="63"/>
      <c r="I1" s="63"/>
    </row>
    <row r="2" spans="1:24" x14ac:dyDescent="0.2">
      <c r="E2" s="69" t="s">
        <v>172</v>
      </c>
      <c r="F2" s="69" t="s">
        <v>173</v>
      </c>
      <c r="G2" s="69" t="s">
        <v>174</v>
      </c>
      <c r="H2" s="69" t="s">
        <v>417</v>
      </c>
      <c r="I2" s="69" t="s">
        <v>175</v>
      </c>
      <c r="J2" s="63"/>
    </row>
    <row r="3" spans="1:24" x14ac:dyDescent="0.2">
      <c r="E3" s="265"/>
      <c r="G3" s="63" t="s">
        <v>176</v>
      </c>
      <c r="H3" s="63" t="s">
        <v>418</v>
      </c>
      <c r="I3" s="61" t="s">
        <v>419</v>
      </c>
    </row>
    <row r="4" spans="1:24" x14ac:dyDescent="0.2">
      <c r="E4" s="33" t="s">
        <v>177</v>
      </c>
      <c r="F4" s="110" t="s">
        <v>178</v>
      </c>
      <c r="G4" s="33" t="s">
        <v>179</v>
      </c>
      <c r="H4" s="33" t="s">
        <v>420</v>
      </c>
      <c r="J4" s="33"/>
    </row>
    <row r="5" spans="1:24" x14ac:dyDescent="0.2">
      <c r="A5" s="34" t="s">
        <v>39</v>
      </c>
      <c r="B5" s="37"/>
      <c r="C5" s="37" t="s">
        <v>180</v>
      </c>
      <c r="D5" s="37" t="s">
        <v>31</v>
      </c>
      <c r="E5" s="37" t="s">
        <v>32</v>
      </c>
      <c r="F5" s="67" t="s">
        <v>33</v>
      </c>
      <c r="G5" s="37" t="s">
        <v>181</v>
      </c>
      <c r="H5" s="37" t="s">
        <v>421</v>
      </c>
      <c r="I5" s="37" t="s">
        <v>82</v>
      </c>
      <c r="J5" s="37" t="s">
        <v>42</v>
      </c>
      <c r="K5" s="37"/>
      <c r="L5" s="37"/>
      <c r="M5" s="37"/>
      <c r="N5" s="37"/>
      <c r="O5" s="37"/>
      <c r="P5" s="37"/>
      <c r="Q5" s="37"/>
      <c r="R5" s="37"/>
      <c r="S5" s="37"/>
      <c r="T5" s="37"/>
      <c r="U5" s="37"/>
      <c r="V5" s="37"/>
      <c r="W5" s="37"/>
      <c r="X5" s="37"/>
    </row>
    <row r="6" spans="1:24" x14ac:dyDescent="0.2">
      <c r="A6" s="33">
        <v>1</v>
      </c>
      <c r="C6" s="63">
        <v>920</v>
      </c>
      <c r="D6" s="30" t="s">
        <v>182</v>
      </c>
      <c r="E6" s="118">
        <v>489200978</v>
      </c>
      <c r="F6" s="63" t="s">
        <v>183</v>
      </c>
      <c r="G6" s="39">
        <f>D37</f>
        <v>216390816.24808747</v>
      </c>
      <c r="H6" s="39">
        <v>0</v>
      </c>
      <c r="I6" s="39">
        <f>(E6-G6)+H6</f>
        <v>272810161.75191253</v>
      </c>
      <c r="J6" s="265"/>
    </row>
    <row r="7" spans="1:24" x14ac:dyDescent="0.2">
      <c r="A7" s="33">
        <f>A6+1</f>
        <v>2</v>
      </c>
      <c r="C7" s="63">
        <v>921</v>
      </c>
      <c r="D7" s="30" t="s">
        <v>184</v>
      </c>
      <c r="E7" s="118">
        <v>276778928</v>
      </c>
      <c r="F7" s="63" t="s">
        <v>185</v>
      </c>
      <c r="G7" s="39">
        <f t="shared" ref="G7:G19" si="0">D38</f>
        <v>77496.839999999909</v>
      </c>
      <c r="H7" s="39">
        <v>0</v>
      </c>
      <c r="I7" s="39">
        <f t="shared" ref="I7:I19" si="1">(E7-G7)+H7</f>
        <v>276701431.16000003</v>
      </c>
    </row>
    <row r="8" spans="1:24" x14ac:dyDescent="0.2">
      <c r="A8" s="33">
        <f>A7+1</f>
        <v>3</v>
      </c>
      <c r="C8" s="63">
        <v>922</v>
      </c>
      <c r="D8" s="30" t="s">
        <v>186</v>
      </c>
      <c r="E8" s="118">
        <v>-252808152</v>
      </c>
      <c r="F8" s="63" t="s">
        <v>187</v>
      </c>
      <c r="G8" s="39">
        <f t="shared" si="0"/>
        <v>-106131573.86</v>
      </c>
      <c r="H8" s="39">
        <v>0</v>
      </c>
      <c r="I8" s="39">
        <f t="shared" si="1"/>
        <v>-146676578.13999999</v>
      </c>
      <c r="J8" s="63" t="s">
        <v>188</v>
      </c>
    </row>
    <row r="9" spans="1:24" x14ac:dyDescent="0.2">
      <c r="A9" s="33">
        <f t="shared" ref="A9:A20" si="2">A8+1</f>
        <v>4</v>
      </c>
      <c r="B9" s="33"/>
      <c r="C9" s="63">
        <v>923</v>
      </c>
      <c r="D9" s="30" t="s">
        <v>189</v>
      </c>
      <c r="E9" s="118">
        <v>41718502</v>
      </c>
      <c r="F9" s="63" t="s">
        <v>190</v>
      </c>
      <c r="G9" s="39">
        <f t="shared" si="0"/>
        <v>1846551.77</v>
      </c>
      <c r="H9" s="39">
        <v>0</v>
      </c>
      <c r="I9" s="39">
        <f t="shared" si="1"/>
        <v>39871950.229999997</v>
      </c>
    </row>
    <row r="10" spans="1:24" x14ac:dyDescent="0.2">
      <c r="A10" s="33">
        <f t="shared" si="2"/>
        <v>5</v>
      </c>
      <c r="B10" s="33"/>
      <c r="C10" s="63">
        <v>924</v>
      </c>
      <c r="D10" s="30" t="s">
        <v>191</v>
      </c>
      <c r="E10" s="118">
        <v>20044138</v>
      </c>
      <c r="F10" s="63" t="s">
        <v>192</v>
      </c>
      <c r="G10" s="39">
        <f t="shared" si="0"/>
        <v>0</v>
      </c>
      <c r="H10" s="39">
        <v>0</v>
      </c>
      <c r="I10" s="39">
        <f t="shared" si="1"/>
        <v>20044138</v>
      </c>
    </row>
    <row r="11" spans="1:24" x14ac:dyDescent="0.2">
      <c r="A11" s="33">
        <f t="shared" si="2"/>
        <v>6</v>
      </c>
      <c r="B11" s="33"/>
      <c r="C11" s="63">
        <v>925</v>
      </c>
      <c r="D11" s="30" t="s">
        <v>193</v>
      </c>
      <c r="E11" s="118">
        <v>1882001326</v>
      </c>
      <c r="F11" s="63" t="s">
        <v>194</v>
      </c>
      <c r="G11" s="39">
        <f t="shared" si="0"/>
        <v>221963259.82000002</v>
      </c>
      <c r="H11" s="39">
        <v>0</v>
      </c>
      <c r="I11" s="39">
        <f t="shared" si="1"/>
        <v>1660038066.1800001</v>
      </c>
    </row>
    <row r="12" spans="1:24" x14ac:dyDescent="0.2">
      <c r="A12" s="33">
        <f t="shared" si="2"/>
        <v>7</v>
      </c>
      <c r="B12" s="33"/>
      <c r="C12" s="63">
        <v>926</v>
      </c>
      <c r="D12" s="30" t="s">
        <v>195</v>
      </c>
      <c r="E12" s="118">
        <v>52118968</v>
      </c>
      <c r="F12" s="63" t="s">
        <v>196</v>
      </c>
      <c r="G12" s="39">
        <f t="shared" si="0"/>
        <v>4785563.4750000015</v>
      </c>
      <c r="H12" s="39">
        <v>0</v>
      </c>
      <c r="I12" s="39">
        <f t="shared" si="1"/>
        <v>47333404.524999999</v>
      </c>
    </row>
    <row r="13" spans="1:24" x14ac:dyDescent="0.2">
      <c r="A13" s="33">
        <f t="shared" si="2"/>
        <v>8</v>
      </c>
      <c r="B13" s="33"/>
      <c r="C13" s="63">
        <v>927</v>
      </c>
      <c r="D13" s="30" t="s">
        <v>197</v>
      </c>
      <c r="E13" s="118">
        <v>126503079</v>
      </c>
      <c r="F13" s="63" t="s">
        <v>198</v>
      </c>
      <c r="G13" s="39">
        <f t="shared" si="0"/>
        <v>126503079</v>
      </c>
      <c r="H13" s="39">
        <v>0</v>
      </c>
      <c r="I13" s="39">
        <f>(E13-G13)+H13-H13</f>
        <v>0</v>
      </c>
      <c r="J13" s="266" t="s">
        <v>422</v>
      </c>
      <c r="L13" s="265"/>
    </row>
    <row r="14" spans="1:24" x14ac:dyDescent="0.2">
      <c r="A14" s="33">
        <f t="shared" si="2"/>
        <v>9</v>
      </c>
      <c r="B14" s="33"/>
      <c r="C14" s="63">
        <v>928</v>
      </c>
      <c r="D14" s="30" t="s">
        <v>199</v>
      </c>
      <c r="E14" s="118">
        <v>8569448</v>
      </c>
      <c r="F14" s="63" t="s">
        <v>200</v>
      </c>
      <c r="G14" s="39">
        <f t="shared" si="0"/>
        <v>7858892.7299999995</v>
      </c>
      <c r="H14" s="39">
        <v>0</v>
      </c>
      <c r="I14" s="39">
        <f t="shared" si="1"/>
        <v>710555.27000000048</v>
      </c>
    </row>
    <row r="15" spans="1:24" x14ac:dyDescent="0.2">
      <c r="A15" s="33">
        <f t="shared" si="2"/>
        <v>10</v>
      </c>
      <c r="B15" s="33"/>
      <c r="C15" s="63">
        <v>929</v>
      </c>
      <c r="D15" s="30" t="s">
        <v>201</v>
      </c>
      <c r="E15" s="118">
        <v>0</v>
      </c>
      <c r="F15" s="63" t="s">
        <v>202</v>
      </c>
      <c r="G15" s="39">
        <f t="shared" si="0"/>
        <v>0</v>
      </c>
      <c r="H15" s="39">
        <v>0</v>
      </c>
      <c r="I15" s="39">
        <f t="shared" si="1"/>
        <v>0</v>
      </c>
    </row>
    <row r="16" spans="1:24" x14ac:dyDescent="0.2">
      <c r="A16" s="33">
        <f t="shared" si="2"/>
        <v>11</v>
      </c>
      <c r="B16" s="33"/>
      <c r="C16" s="63">
        <v>930.1</v>
      </c>
      <c r="D16" s="30" t="s">
        <v>203</v>
      </c>
      <c r="E16" s="118">
        <v>13641394</v>
      </c>
      <c r="F16" s="63" t="s">
        <v>204</v>
      </c>
      <c r="G16" s="39">
        <f t="shared" si="0"/>
        <v>0</v>
      </c>
      <c r="H16" s="39">
        <v>0</v>
      </c>
      <c r="I16" s="39">
        <f t="shared" si="1"/>
        <v>13641394</v>
      </c>
    </row>
    <row r="17" spans="1:9" x14ac:dyDescent="0.2">
      <c r="A17" s="33">
        <f t="shared" si="2"/>
        <v>12</v>
      </c>
      <c r="B17" s="33"/>
      <c r="C17" s="63">
        <v>930.2</v>
      </c>
      <c r="D17" s="30" t="s">
        <v>205</v>
      </c>
      <c r="E17" s="118">
        <v>40385690</v>
      </c>
      <c r="F17" s="63" t="s">
        <v>206</v>
      </c>
      <c r="G17" s="39">
        <f t="shared" si="0"/>
        <v>24997914.76999994</v>
      </c>
      <c r="H17" s="39">
        <v>0</v>
      </c>
      <c r="I17" s="39">
        <f t="shared" si="1"/>
        <v>15387775.23000006</v>
      </c>
    </row>
    <row r="18" spans="1:9" x14ac:dyDescent="0.2">
      <c r="A18" s="33">
        <f t="shared" si="2"/>
        <v>13</v>
      </c>
      <c r="B18" s="33"/>
      <c r="C18" s="63">
        <v>931</v>
      </c>
      <c r="D18" s="30" t="s">
        <v>207</v>
      </c>
      <c r="E18" s="118">
        <v>9108333</v>
      </c>
      <c r="F18" s="63" t="s">
        <v>208</v>
      </c>
      <c r="G18" s="39">
        <f t="shared" si="0"/>
        <v>0</v>
      </c>
      <c r="H18" s="39">
        <v>0</v>
      </c>
      <c r="I18" s="39">
        <f t="shared" si="1"/>
        <v>9108333</v>
      </c>
    </row>
    <row r="19" spans="1:9" x14ac:dyDescent="0.2">
      <c r="A19" s="33">
        <f t="shared" si="2"/>
        <v>14</v>
      </c>
      <c r="B19" s="33"/>
      <c r="C19" s="63">
        <v>935</v>
      </c>
      <c r="D19" s="30" t="s">
        <v>209</v>
      </c>
      <c r="E19" s="119">
        <v>22903562</v>
      </c>
      <c r="F19" s="63" t="s">
        <v>210</v>
      </c>
      <c r="G19" s="39">
        <f t="shared" si="0"/>
        <v>674197.83</v>
      </c>
      <c r="H19" s="39">
        <v>0</v>
      </c>
      <c r="I19" s="45">
        <f t="shared" si="1"/>
        <v>22229364.170000002</v>
      </c>
    </row>
    <row r="20" spans="1:9" x14ac:dyDescent="0.2">
      <c r="A20" s="33">
        <f t="shared" si="2"/>
        <v>15</v>
      </c>
      <c r="E20" s="39">
        <f>SUM(E6:E19)</f>
        <v>2730166194</v>
      </c>
      <c r="H20" s="49" t="s">
        <v>211</v>
      </c>
      <c r="I20" s="39">
        <f>SUM(I6:I19)</f>
        <v>2231199995.3769126</v>
      </c>
    </row>
    <row r="22" spans="1:9" x14ac:dyDescent="0.2">
      <c r="F22" s="37" t="s">
        <v>32</v>
      </c>
      <c r="G22" s="37" t="s">
        <v>33</v>
      </c>
      <c r="H22" s="267"/>
      <c r="I22" s="265"/>
    </row>
    <row r="23" spans="1:9" x14ac:dyDescent="0.2">
      <c r="A23" s="33">
        <f>A20+1</f>
        <v>16</v>
      </c>
      <c r="E23" s="49" t="s">
        <v>212</v>
      </c>
      <c r="F23" s="39">
        <f>I20</f>
        <v>2231199995.3769126</v>
      </c>
      <c r="G23" s="35" t="str">
        <f>"Line "&amp;A20&amp;""</f>
        <v>Line 15</v>
      </c>
    </row>
    <row r="24" spans="1:9" x14ac:dyDescent="0.2">
      <c r="A24" s="33">
        <f t="shared" ref="A24:A30" si="3">A23+1</f>
        <v>17</v>
      </c>
      <c r="E24" s="49" t="s">
        <v>213</v>
      </c>
      <c r="F24" s="45">
        <f>E10</f>
        <v>20044138</v>
      </c>
      <c r="G24" s="35" t="str">
        <f>"Line "&amp;A10&amp;""</f>
        <v>Line 5</v>
      </c>
    </row>
    <row r="25" spans="1:9" x14ac:dyDescent="0.2">
      <c r="A25" s="33">
        <f t="shared" si="3"/>
        <v>18</v>
      </c>
      <c r="E25" s="49" t="s">
        <v>214</v>
      </c>
      <c r="F25" s="39">
        <f>F23-F24</f>
        <v>2211155857.3769126</v>
      </c>
      <c r="G25" s="35" t="str">
        <f>"Line "&amp;A23&amp;" - Line "&amp;A24&amp;""</f>
        <v>Line 16 - Line 17</v>
      </c>
    </row>
    <row r="26" spans="1:9" x14ac:dyDescent="0.2">
      <c r="A26" s="33">
        <f t="shared" si="3"/>
        <v>19</v>
      </c>
      <c r="E26" s="49" t="s">
        <v>215</v>
      </c>
      <c r="F26" s="62">
        <v>6.2174818554839952E-2</v>
      </c>
      <c r="G26" s="35" t="s">
        <v>492</v>
      </c>
    </row>
    <row r="27" spans="1:9" x14ac:dyDescent="0.2">
      <c r="A27" s="33">
        <f t="shared" si="3"/>
        <v>20</v>
      </c>
      <c r="E27" s="49" t="s">
        <v>217</v>
      </c>
      <c r="F27" s="39">
        <f>F25*F26</f>
        <v>137478214.22888112</v>
      </c>
      <c r="G27" s="35" t="str">
        <f>"Line "&amp;A25&amp;" * Line "&amp;A26&amp;""</f>
        <v>Line 18 * Line 19</v>
      </c>
    </row>
    <row r="28" spans="1:9" x14ac:dyDescent="0.2">
      <c r="A28" s="33">
        <f t="shared" si="3"/>
        <v>21</v>
      </c>
      <c r="E28" s="49" t="s">
        <v>218</v>
      </c>
      <c r="F28" s="47">
        <v>0.18265038721639726</v>
      </c>
      <c r="G28" s="35" t="s">
        <v>493</v>
      </c>
    </row>
    <row r="29" spans="1:9" x14ac:dyDescent="0.2">
      <c r="A29" s="33">
        <f t="shared" si="3"/>
        <v>22</v>
      </c>
      <c r="E29" s="49" t="s">
        <v>220</v>
      </c>
      <c r="F29" s="45">
        <f>I10*F28</f>
        <v>3661069.5671189027</v>
      </c>
      <c r="G29" s="35" t="str">
        <f>"Line "&amp;A10&amp;" Col 4 * Line "&amp;A28&amp;""</f>
        <v>Line 5 Col 4 * Line 21</v>
      </c>
    </row>
    <row r="30" spans="1:9" x14ac:dyDescent="0.2">
      <c r="A30" s="33">
        <f t="shared" si="3"/>
        <v>23</v>
      </c>
      <c r="E30" s="49" t="s">
        <v>221</v>
      </c>
      <c r="F30" s="39">
        <f>F27+F29</f>
        <v>141139283.79600003</v>
      </c>
      <c r="G30" s="35" t="str">
        <f>"Line "&amp;A27&amp;" + Line "&amp;A29&amp;""</f>
        <v>Line 20 + Line 22</v>
      </c>
    </row>
    <row r="32" spans="1:9" x14ac:dyDescent="0.2">
      <c r="B32" s="29" t="s">
        <v>222</v>
      </c>
      <c r="E32" s="69" t="s">
        <v>172</v>
      </c>
      <c r="F32" s="69" t="s">
        <v>173</v>
      </c>
      <c r="G32" s="69" t="s">
        <v>174</v>
      </c>
      <c r="H32" s="69" t="s">
        <v>175</v>
      </c>
    </row>
    <row r="33" spans="1:11" x14ac:dyDescent="0.2">
      <c r="B33" s="29"/>
      <c r="C33" s="153" t="s">
        <v>285</v>
      </c>
      <c r="D33" s="59" t="s">
        <v>305</v>
      </c>
      <c r="E33" s="33" t="s">
        <v>223</v>
      </c>
      <c r="F33" s="69"/>
      <c r="G33" s="69"/>
      <c r="H33" s="69"/>
    </row>
    <row r="34" spans="1:11" x14ac:dyDescent="0.2">
      <c r="E34" s="33" t="s">
        <v>224</v>
      </c>
    </row>
    <row r="35" spans="1:11" x14ac:dyDescent="0.2">
      <c r="D35" s="33" t="s">
        <v>225</v>
      </c>
      <c r="E35" s="33" t="s">
        <v>226</v>
      </c>
      <c r="F35" s="33" t="s">
        <v>227</v>
      </c>
      <c r="G35" s="33"/>
      <c r="H35" s="33"/>
    </row>
    <row r="36" spans="1:11" x14ac:dyDescent="0.2">
      <c r="C36" s="37" t="s">
        <v>180</v>
      </c>
      <c r="D36" s="69" t="s">
        <v>228</v>
      </c>
      <c r="E36" s="37" t="s">
        <v>229</v>
      </c>
      <c r="F36" s="37" t="s">
        <v>230</v>
      </c>
      <c r="G36" s="37" t="s">
        <v>231</v>
      </c>
      <c r="H36" s="37" t="s">
        <v>232</v>
      </c>
      <c r="I36" s="37" t="s">
        <v>42</v>
      </c>
    </row>
    <row r="37" spans="1:11" x14ac:dyDescent="0.2">
      <c r="A37" s="33">
        <f>A30+1</f>
        <v>24</v>
      </c>
      <c r="C37" s="63">
        <v>920</v>
      </c>
      <c r="D37" s="123">
        <f>SUM(E37:H37)</f>
        <v>216390816.24808747</v>
      </c>
      <c r="E37" s="122">
        <v>5339758.3299999982</v>
      </c>
      <c r="F37" s="122"/>
      <c r="G37" s="39">
        <f>G58</f>
        <v>211051057.91808745</v>
      </c>
      <c r="H37" s="122"/>
      <c r="I37" s="35" t="s">
        <v>233</v>
      </c>
    </row>
    <row r="38" spans="1:11" x14ac:dyDescent="0.2">
      <c r="A38" s="33">
        <f>A37+1</f>
        <v>25</v>
      </c>
      <c r="C38" s="63">
        <v>921</v>
      </c>
      <c r="D38" s="123">
        <f t="shared" ref="D38:D50" si="4">SUM(E38:H38)</f>
        <v>77496.839999999909</v>
      </c>
      <c r="E38" s="122">
        <v>77496.839999999909</v>
      </c>
      <c r="F38" s="122"/>
      <c r="G38" s="122">
        <v>0</v>
      </c>
      <c r="H38" s="122"/>
      <c r="I38" s="35"/>
    </row>
    <row r="39" spans="1:11" ht="13.5" thickBot="1" x14ac:dyDescent="0.25">
      <c r="A39" s="33">
        <f t="shared" ref="A39:A50" si="5">A38+1</f>
        <v>26</v>
      </c>
      <c r="C39" s="63">
        <v>922</v>
      </c>
      <c r="D39" s="123">
        <f t="shared" si="4"/>
        <v>-106131573.86</v>
      </c>
      <c r="E39" s="122">
        <v>-3857843.8600000003</v>
      </c>
      <c r="F39" s="122"/>
      <c r="G39" s="122">
        <v>-102273730</v>
      </c>
      <c r="H39" s="122"/>
      <c r="I39" s="35"/>
    </row>
    <row r="40" spans="1:11" ht="13.5" thickBot="1" x14ac:dyDescent="0.25">
      <c r="A40" s="33">
        <f t="shared" si="5"/>
        <v>27</v>
      </c>
      <c r="C40" s="63">
        <v>923</v>
      </c>
      <c r="D40" s="120">
        <f t="shared" si="4"/>
        <v>1846551.77</v>
      </c>
      <c r="E40" s="121">
        <v>1846551.77</v>
      </c>
      <c r="F40" s="122"/>
      <c r="G40" s="122">
        <v>0</v>
      </c>
      <c r="H40" s="122"/>
      <c r="I40" s="35"/>
      <c r="J40" s="37"/>
      <c r="K40" s="37"/>
    </row>
    <row r="41" spans="1:11" x14ac:dyDescent="0.2">
      <c r="A41" s="33">
        <f t="shared" si="5"/>
        <v>28</v>
      </c>
      <c r="C41" s="63">
        <v>924</v>
      </c>
      <c r="D41" s="123">
        <f t="shared" si="4"/>
        <v>0</v>
      </c>
      <c r="E41" s="122">
        <v>0</v>
      </c>
      <c r="F41" s="122"/>
      <c r="G41" s="122">
        <v>0</v>
      </c>
      <c r="H41" s="122"/>
      <c r="I41" s="35"/>
      <c r="K41" s="39"/>
    </row>
    <row r="42" spans="1:11" x14ac:dyDescent="0.2">
      <c r="A42" s="33">
        <f t="shared" si="5"/>
        <v>29</v>
      </c>
      <c r="C42" s="63">
        <v>925</v>
      </c>
      <c r="D42" s="123">
        <f t="shared" si="4"/>
        <v>221963259.82000002</v>
      </c>
      <c r="E42" s="122">
        <v>221963259.82000002</v>
      </c>
      <c r="F42" s="122"/>
      <c r="G42" s="122">
        <v>0</v>
      </c>
      <c r="H42" s="122"/>
      <c r="I42" s="35" t="s">
        <v>287</v>
      </c>
      <c r="K42" s="39"/>
    </row>
    <row r="43" spans="1:11" x14ac:dyDescent="0.2">
      <c r="A43" s="33">
        <f t="shared" si="5"/>
        <v>30</v>
      </c>
      <c r="C43" s="63">
        <v>926</v>
      </c>
      <c r="D43" s="123">
        <f t="shared" si="4"/>
        <v>4785563.4750000015</v>
      </c>
      <c r="E43" s="122">
        <v>4785563.4750000015</v>
      </c>
      <c r="F43" s="122"/>
      <c r="G43" s="122">
        <v>0</v>
      </c>
      <c r="H43" s="39">
        <f>E71</f>
        <v>0</v>
      </c>
      <c r="I43" s="35" t="s">
        <v>234</v>
      </c>
      <c r="K43" s="39"/>
    </row>
    <row r="44" spans="1:11" x14ac:dyDescent="0.2">
      <c r="A44" s="33">
        <f t="shared" si="5"/>
        <v>31</v>
      </c>
      <c r="C44" s="63">
        <v>927</v>
      </c>
      <c r="D44" s="123">
        <f t="shared" si="4"/>
        <v>126503079</v>
      </c>
      <c r="E44" s="39">
        <v>0</v>
      </c>
      <c r="F44" s="39">
        <f>E13</f>
        <v>126503079</v>
      </c>
      <c r="G44" s="39">
        <v>0</v>
      </c>
      <c r="H44" s="39">
        <v>0</v>
      </c>
      <c r="I44" s="35" t="s">
        <v>235</v>
      </c>
      <c r="K44" s="39"/>
    </row>
    <row r="45" spans="1:11" x14ac:dyDescent="0.2">
      <c r="A45" s="33">
        <f t="shared" si="5"/>
        <v>32</v>
      </c>
      <c r="C45" s="63">
        <v>928</v>
      </c>
      <c r="D45" s="123">
        <f t="shared" si="4"/>
        <v>7858892.7299999995</v>
      </c>
      <c r="E45" s="122">
        <v>7858892.7299999995</v>
      </c>
      <c r="F45" s="122"/>
      <c r="G45" s="111">
        <v>0</v>
      </c>
      <c r="H45" s="122"/>
      <c r="I45" s="35"/>
      <c r="K45" s="39"/>
    </row>
    <row r="46" spans="1:11" x14ac:dyDescent="0.2">
      <c r="A46" s="33">
        <f t="shared" si="5"/>
        <v>33</v>
      </c>
      <c r="C46" s="63">
        <v>929</v>
      </c>
      <c r="D46" s="123">
        <f t="shared" si="4"/>
        <v>0</v>
      </c>
      <c r="E46" s="122">
        <v>0</v>
      </c>
      <c r="F46" s="122"/>
      <c r="G46" s="111">
        <v>0</v>
      </c>
      <c r="H46" s="122"/>
      <c r="I46" s="35"/>
      <c r="K46" s="39"/>
    </row>
    <row r="47" spans="1:11" x14ac:dyDescent="0.2">
      <c r="A47" s="33">
        <f t="shared" si="5"/>
        <v>34</v>
      </c>
      <c r="C47" s="63">
        <v>930.1</v>
      </c>
      <c r="D47" s="123">
        <f t="shared" si="4"/>
        <v>0</v>
      </c>
      <c r="E47" s="122">
        <v>0</v>
      </c>
      <c r="F47" s="122"/>
      <c r="G47" s="111">
        <v>0</v>
      </c>
      <c r="H47" s="122"/>
      <c r="I47" s="35"/>
      <c r="K47" s="39"/>
    </row>
    <row r="48" spans="1:11" x14ac:dyDescent="0.2">
      <c r="A48" s="33">
        <f t="shared" si="5"/>
        <v>35</v>
      </c>
      <c r="C48" s="63">
        <v>930.2</v>
      </c>
      <c r="D48" s="123">
        <f t="shared" si="4"/>
        <v>24997914.76999994</v>
      </c>
      <c r="E48" s="122">
        <v>24997914.76999994</v>
      </c>
      <c r="F48" s="122"/>
      <c r="G48" s="111">
        <v>0</v>
      </c>
      <c r="H48" s="122"/>
      <c r="I48" s="35"/>
      <c r="J48" s="39"/>
    </row>
    <row r="49" spans="1:10" x14ac:dyDescent="0.2">
      <c r="A49" s="33">
        <f t="shared" si="5"/>
        <v>36</v>
      </c>
      <c r="C49" s="63">
        <v>931</v>
      </c>
      <c r="D49" s="123">
        <f t="shared" si="4"/>
        <v>0</v>
      </c>
      <c r="E49" s="122">
        <v>0</v>
      </c>
      <c r="F49" s="122"/>
      <c r="G49" s="111">
        <v>0</v>
      </c>
      <c r="H49" s="122"/>
      <c r="I49" s="35"/>
      <c r="J49" s="39"/>
    </row>
    <row r="50" spans="1:10" x14ac:dyDescent="0.2">
      <c r="A50" s="33">
        <f t="shared" si="5"/>
        <v>37</v>
      </c>
      <c r="C50" s="63">
        <v>935</v>
      </c>
      <c r="D50" s="123">
        <f t="shared" si="4"/>
        <v>674197.83</v>
      </c>
      <c r="E50" s="122">
        <v>674197.83</v>
      </c>
      <c r="F50" s="122"/>
      <c r="G50" s="111">
        <v>0</v>
      </c>
      <c r="H50" s="122"/>
      <c r="I50" s="35"/>
    </row>
    <row r="51" spans="1:10" x14ac:dyDescent="0.2">
      <c r="A51" s="33"/>
      <c r="C51" s="63"/>
      <c r="D51" s="123"/>
      <c r="E51" s="39"/>
      <c r="F51" s="39"/>
      <c r="G51" s="39"/>
      <c r="H51" s="39"/>
      <c r="I51" s="35"/>
    </row>
    <row r="52" spans="1:10" x14ac:dyDescent="0.2">
      <c r="B52" s="29" t="s">
        <v>236</v>
      </c>
    </row>
    <row r="53" spans="1:10" x14ac:dyDescent="0.2">
      <c r="B53" s="29"/>
      <c r="C53" s="30" t="s">
        <v>237</v>
      </c>
      <c r="G53" s="33"/>
      <c r="H53" s="33"/>
    </row>
    <row r="54" spans="1:10" x14ac:dyDescent="0.2">
      <c r="B54" s="29"/>
      <c r="C54" s="56" t="s">
        <v>238</v>
      </c>
      <c r="D54" s="56"/>
      <c r="E54" s="56"/>
      <c r="G54" s="33"/>
      <c r="H54" s="33"/>
    </row>
    <row r="55" spans="1:10" x14ac:dyDescent="0.2">
      <c r="B55" s="29"/>
      <c r="C55" s="153" t="s">
        <v>285</v>
      </c>
      <c r="D55" s="59" t="s">
        <v>305</v>
      </c>
      <c r="G55" s="37" t="s">
        <v>32</v>
      </c>
      <c r="H55" s="37" t="s">
        <v>33</v>
      </c>
    </row>
    <row r="56" spans="1:10" x14ac:dyDescent="0.2">
      <c r="A56" s="33"/>
      <c r="B56" s="33" t="s">
        <v>114</v>
      </c>
      <c r="C56" s="155"/>
      <c r="F56" s="49" t="s">
        <v>239</v>
      </c>
      <c r="G56" s="122">
        <v>204547459.39999998</v>
      </c>
      <c r="H56" s="35" t="s">
        <v>240</v>
      </c>
    </row>
    <row r="57" spans="1:10" x14ac:dyDescent="0.2">
      <c r="A57" s="33"/>
      <c r="B57" s="33" t="s">
        <v>116</v>
      </c>
      <c r="F57" s="49" t="s">
        <v>241</v>
      </c>
      <c r="G57" s="45">
        <f>E61</f>
        <v>-6503598.5180874765</v>
      </c>
      <c r="H57" s="35" t="str">
        <f>"Note 2, "&amp;B61&amp;""</f>
        <v>Note 2, d</v>
      </c>
    </row>
    <row r="58" spans="1:10" x14ac:dyDescent="0.2">
      <c r="A58" s="33"/>
      <c r="B58" s="33" t="s">
        <v>119</v>
      </c>
      <c r="F58" s="49" t="s">
        <v>242</v>
      </c>
      <c r="G58" s="39">
        <f>G56-G57</f>
        <v>211051057.91808745</v>
      </c>
    </row>
    <row r="59" spans="1:10" x14ac:dyDescent="0.2">
      <c r="A59" s="33"/>
      <c r="C59" s="56" t="s">
        <v>243</v>
      </c>
      <c r="D59" s="56"/>
      <c r="E59" s="56"/>
      <c r="G59" s="39"/>
    </row>
    <row r="60" spans="1:10" x14ac:dyDescent="0.2">
      <c r="A60" s="33"/>
      <c r="D60" s="36" t="s">
        <v>244</v>
      </c>
      <c r="E60" s="37" t="s">
        <v>32</v>
      </c>
      <c r="F60" s="37" t="s">
        <v>33</v>
      </c>
      <c r="G60" s="39"/>
    </row>
    <row r="61" spans="1:10" x14ac:dyDescent="0.2">
      <c r="A61" s="33"/>
      <c r="B61" s="33" t="s">
        <v>121</v>
      </c>
      <c r="D61" s="30" t="s">
        <v>245</v>
      </c>
      <c r="E61" s="111">
        <v>-6503598.5180874765</v>
      </c>
      <c r="F61" s="35" t="s">
        <v>246</v>
      </c>
      <c r="G61" s="39"/>
    </row>
    <row r="62" spans="1:10" x14ac:dyDescent="0.2">
      <c r="A62" s="33"/>
      <c r="B62" s="33" t="s">
        <v>125</v>
      </c>
      <c r="D62" s="30" t="s">
        <v>247</v>
      </c>
      <c r="E62" s="111">
        <v>-2814299.1675939336</v>
      </c>
      <c r="F62" s="35" t="s">
        <v>246</v>
      </c>
      <c r="G62" s="39"/>
      <c r="I62" s="112"/>
    </row>
    <row r="63" spans="1:10" x14ac:dyDescent="0.2">
      <c r="A63" s="33"/>
      <c r="B63" s="33" t="s">
        <v>127</v>
      </c>
      <c r="D63" s="30" t="s">
        <v>248</v>
      </c>
      <c r="E63" s="113">
        <v>-9362216.8143185899</v>
      </c>
      <c r="F63" s="35" t="s">
        <v>246</v>
      </c>
      <c r="G63" s="39"/>
      <c r="I63" s="39"/>
    </row>
    <row r="64" spans="1:10" x14ac:dyDescent="0.2">
      <c r="A64" s="33"/>
      <c r="B64" s="33" t="s">
        <v>129</v>
      </c>
      <c r="D64" s="49" t="s">
        <v>249</v>
      </c>
      <c r="E64" s="39">
        <f>SUM(E61:E63)</f>
        <v>-18680114.5</v>
      </c>
      <c r="F64" s="35" t="str">
        <f>"Sum of "&amp;B61&amp;" to "&amp;B63&amp;""</f>
        <v>Sum of d to f</v>
      </c>
      <c r="G64" s="39"/>
    </row>
    <row r="66" spans="1:6" x14ac:dyDescent="0.2">
      <c r="B66" s="29" t="s">
        <v>250</v>
      </c>
    </row>
    <row r="67" spans="1:6" x14ac:dyDescent="0.2">
      <c r="E67" s="37" t="s">
        <v>32</v>
      </c>
      <c r="F67" s="36" t="s">
        <v>251</v>
      </c>
    </row>
    <row r="68" spans="1:6" x14ac:dyDescent="0.2">
      <c r="A68" s="33"/>
      <c r="B68" s="33" t="s">
        <v>114</v>
      </c>
      <c r="D68" s="49" t="s">
        <v>252</v>
      </c>
      <c r="E68" s="124">
        <v>0</v>
      </c>
      <c r="F68" s="35" t="s">
        <v>253</v>
      </c>
    </row>
    <row r="69" spans="1:6" x14ac:dyDescent="0.2">
      <c r="A69" s="33"/>
      <c r="B69" s="33" t="s">
        <v>116</v>
      </c>
      <c r="D69" s="49" t="s">
        <v>254</v>
      </c>
      <c r="E69" s="125">
        <v>0</v>
      </c>
      <c r="F69" s="35" t="s">
        <v>255</v>
      </c>
    </row>
    <row r="70" spans="1:6" x14ac:dyDescent="0.2">
      <c r="A70" s="33"/>
      <c r="B70" s="33" t="s">
        <v>119</v>
      </c>
      <c r="D70" s="49" t="s">
        <v>256</v>
      </c>
      <c r="E70" s="126">
        <v>0</v>
      </c>
      <c r="F70" s="35" t="s">
        <v>240</v>
      </c>
    </row>
    <row r="71" spans="1:6" x14ac:dyDescent="0.2">
      <c r="A71" s="33"/>
      <c r="B71" s="33" t="s">
        <v>121</v>
      </c>
      <c r="D71" s="49" t="s">
        <v>257</v>
      </c>
      <c r="E71" s="39">
        <f>E70-E69</f>
        <v>0</v>
      </c>
      <c r="F71" s="35" t="str">
        <f>""&amp;B70&amp;" - "&amp;B69&amp;""</f>
        <v>c - b</v>
      </c>
    </row>
    <row r="72" spans="1:6" x14ac:dyDescent="0.2">
      <c r="A72" s="33"/>
      <c r="B72" s="29" t="s">
        <v>258</v>
      </c>
      <c r="D72" s="49"/>
      <c r="E72" s="39"/>
      <c r="F72" s="35"/>
    </row>
    <row r="73" spans="1:6" x14ac:dyDescent="0.2">
      <c r="A73" s="33"/>
      <c r="B73" s="29"/>
      <c r="C73" s="30" t="str">
        <f>"Amount in Line "&amp;A44&amp;", column 2 equals amount in Line "&amp;A13&amp;", column 1 because all Franchise Requirements Expenses are excluded"</f>
        <v>Amount in Line 31, column 2 equals amount in Line 8, column 1 because all Franchise Requirements Expenses are excluded</v>
      </c>
      <c r="D73" s="49"/>
      <c r="E73" s="39"/>
      <c r="F73" s="35"/>
    </row>
    <row r="74" spans="1:6" x14ac:dyDescent="0.2">
      <c r="A74" s="33"/>
      <c r="B74" s="29"/>
      <c r="C74" s="30" t="s">
        <v>259</v>
      </c>
      <c r="D74" s="49"/>
      <c r="E74" s="39"/>
      <c r="F74" s="35"/>
    </row>
    <row r="75" spans="1:6" x14ac:dyDescent="0.2">
      <c r="A75" s="33"/>
      <c r="B75" s="29" t="s">
        <v>423</v>
      </c>
      <c r="D75" s="49"/>
      <c r="E75" s="39"/>
      <c r="F75" s="35"/>
    </row>
    <row r="76" spans="1:6" x14ac:dyDescent="0.2">
      <c r="A76" s="33"/>
      <c r="B76" s="29"/>
      <c r="C76" s="30" t="s">
        <v>424</v>
      </c>
      <c r="D76" s="49"/>
      <c r="E76" s="39"/>
      <c r="F76" s="35"/>
    </row>
    <row r="77" spans="1:6" x14ac:dyDescent="0.2">
      <c r="A77" s="33"/>
      <c r="B77" s="29"/>
      <c r="C77" s="30" t="s">
        <v>425</v>
      </c>
      <c r="D77" s="49"/>
      <c r="E77" s="39"/>
      <c r="F77" s="35"/>
    </row>
    <row r="78" spans="1:6" x14ac:dyDescent="0.2">
      <c r="C78" s="30" t="s">
        <v>426</v>
      </c>
    </row>
    <row r="79" spans="1:6" x14ac:dyDescent="0.2">
      <c r="B79" s="29" t="s">
        <v>104</v>
      </c>
    </row>
    <row r="80" spans="1:6" x14ac:dyDescent="0.2">
      <c r="C80" s="30" t="str">
        <f>"1) Enter amounts of A&amp;G expenses from FERC Form 1 in Lines "&amp;A6&amp;" to "&amp;A19&amp;"."</f>
        <v>1) Enter amounts of A&amp;G expenses from FERC Form 1 in Lines 1 to 14.</v>
      </c>
    </row>
    <row r="81" spans="3:7" x14ac:dyDescent="0.2">
      <c r="C81" s="30" t="s">
        <v>260</v>
      </c>
      <c r="G81" s="30" t="str">
        <f>"Column 3, Line "&amp;A37&amp;""</f>
        <v>Column 3, Line 24</v>
      </c>
    </row>
    <row r="82" spans="3:7" x14ac:dyDescent="0.2">
      <c r="C82" s="35" t="str">
        <f>"is calculated in Note 2.  The PBOPs exclusion in Column 4, Line "&amp;A43&amp;" is calculated in Note 3."</f>
        <v>is calculated in Note 2.  The PBOPs exclusion in Column 4, Line 30 is calculated in Note 3.</v>
      </c>
    </row>
    <row r="83" spans="3:7" x14ac:dyDescent="0.2">
      <c r="C83" s="35" t="s">
        <v>261</v>
      </c>
    </row>
    <row r="84" spans="3:7" x14ac:dyDescent="0.2">
      <c r="C84" s="35" t="s">
        <v>262</v>
      </c>
      <c r="D84" s="49"/>
      <c r="E84" s="39"/>
      <c r="F84" s="35"/>
    </row>
    <row r="85" spans="3:7" x14ac:dyDescent="0.2">
      <c r="C85" s="35" t="s">
        <v>263</v>
      </c>
      <c r="D85" s="49"/>
      <c r="E85" s="39"/>
      <c r="F85" s="35"/>
    </row>
    <row r="86" spans="3:7" x14ac:dyDescent="0.2">
      <c r="C86" s="35" t="s">
        <v>264</v>
      </c>
    </row>
    <row r="87" spans="3:7" x14ac:dyDescent="0.2">
      <c r="C87" s="35" t="s">
        <v>265</v>
      </c>
    </row>
    <row r="88" spans="3:7" x14ac:dyDescent="0.2">
      <c r="C88" s="35" t="s">
        <v>266</v>
      </c>
    </row>
    <row r="89" spans="3:7" x14ac:dyDescent="0.2">
      <c r="C89" s="35" t="s">
        <v>267</v>
      </c>
    </row>
    <row r="90" spans="3:7" x14ac:dyDescent="0.2">
      <c r="C90" s="35" t="s">
        <v>268</v>
      </c>
    </row>
    <row r="91" spans="3:7" x14ac:dyDescent="0.2">
      <c r="C91" s="35" t="s">
        <v>269</v>
      </c>
      <c r="E91" s="127"/>
      <c r="F91" s="127"/>
      <c r="G91" s="127"/>
    </row>
    <row r="92" spans="3:7" x14ac:dyDescent="0.2">
      <c r="C92" s="128" t="s">
        <v>270</v>
      </c>
      <c r="E92" s="127"/>
      <c r="F92" s="127"/>
      <c r="G92" s="127"/>
    </row>
    <row r="93" spans="3:7" x14ac:dyDescent="0.2">
      <c r="C93" s="128" t="s">
        <v>271</v>
      </c>
      <c r="E93" s="127"/>
      <c r="F93" s="127"/>
      <c r="G93" s="127"/>
    </row>
    <row r="94" spans="3:7" x14ac:dyDescent="0.2">
      <c r="C94" s="128" t="s">
        <v>272</v>
      </c>
      <c r="E94" s="127"/>
      <c r="F94" s="127"/>
      <c r="G94" s="127"/>
    </row>
    <row r="95" spans="3:7" x14ac:dyDescent="0.2">
      <c r="C95" s="35" t="s">
        <v>273</v>
      </c>
      <c r="E95" s="127"/>
      <c r="F95" s="127"/>
      <c r="G95" s="127"/>
    </row>
    <row r="96" spans="3:7" x14ac:dyDescent="0.2">
      <c r="C96" s="128" t="s">
        <v>274</v>
      </c>
      <c r="E96" s="127"/>
      <c r="F96" s="127"/>
      <c r="G96" s="127"/>
    </row>
    <row r="97" spans="3:10" x14ac:dyDescent="0.2">
      <c r="C97" s="128" t="s">
        <v>275</v>
      </c>
      <c r="E97" s="127"/>
      <c r="F97" s="127"/>
      <c r="G97" s="127"/>
    </row>
    <row r="98" spans="3:10" x14ac:dyDescent="0.2">
      <c r="C98" s="128" t="s">
        <v>276</v>
      </c>
      <c r="E98" s="127"/>
      <c r="F98" s="127"/>
      <c r="G98" s="127"/>
    </row>
    <row r="99" spans="3:10" x14ac:dyDescent="0.2">
      <c r="C99" s="128" t="s">
        <v>277</v>
      </c>
      <c r="E99" s="127"/>
      <c r="F99" s="127"/>
      <c r="G99" s="127"/>
    </row>
    <row r="100" spans="3:10" x14ac:dyDescent="0.2">
      <c r="C100" s="65" t="s">
        <v>278</v>
      </c>
      <c r="D100" s="56"/>
      <c r="E100" s="56"/>
      <c r="F100" s="56"/>
      <c r="G100" s="56"/>
      <c r="H100" s="56"/>
      <c r="I100" s="56"/>
      <c r="J100" s="56"/>
    </row>
    <row r="101" spans="3:10" x14ac:dyDescent="0.2">
      <c r="C101" s="30" t="s">
        <v>279</v>
      </c>
    </row>
    <row r="102" spans="3:10" x14ac:dyDescent="0.2">
      <c r="C102" s="65" t="s">
        <v>280</v>
      </c>
      <c r="D102" s="56"/>
      <c r="E102" s="56"/>
      <c r="F102" s="56"/>
      <c r="G102" s="56"/>
      <c r="H102" s="56"/>
      <c r="I102" s="56"/>
    </row>
    <row r="103" spans="3:10" x14ac:dyDescent="0.2">
      <c r="C103" s="30" t="str">
        <f>"4) Determine the PBOPs exclusion.  The authorized amount of PBOPs expense (line "&amp;B68&amp;") may only be revised"</f>
        <v>4) Determine the PBOPs exclusion.  The authorized amount of PBOPs expense (line a) may only be revised</v>
      </c>
    </row>
    <row r="104" spans="3:10" x14ac:dyDescent="0.2">
      <c r="C104" s="30" t="s">
        <v>281</v>
      </c>
    </row>
    <row r="105" spans="3:10" x14ac:dyDescent="0.2">
      <c r="C105" s="30" t="s">
        <v>282</v>
      </c>
    </row>
    <row r="106" spans="3:10" x14ac:dyDescent="0.2">
      <c r="C106" s="30" t="s">
        <v>283</v>
      </c>
      <c r="I106" s="59" t="s">
        <v>427</v>
      </c>
      <c r="J106" s="59"/>
    </row>
    <row r="107" spans="3:10" x14ac:dyDescent="0.2">
      <c r="C107" s="30" t="s">
        <v>284</v>
      </c>
    </row>
    <row r="108" spans="3:10" x14ac:dyDescent="0.2">
      <c r="C108" s="30" t="s">
        <v>289</v>
      </c>
    </row>
    <row r="109" spans="3:10" x14ac:dyDescent="0.2">
      <c r="C109" s="30" t="s">
        <v>290</v>
      </c>
    </row>
    <row r="110" spans="3:10" x14ac:dyDescent="0.2">
      <c r="C110" s="30" t="s">
        <v>291</v>
      </c>
    </row>
    <row r="111" spans="3:10" x14ac:dyDescent="0.2">
      <c r="C111" s="30" t="s">
        <v>292</v>
      </c>
    </row>
    <row r="112" spans="3:10" x14ac:dyDescent="0.2">
      <c r="C112" s="30" t="s">
        <v>293</v>
      </c>
    </row>
    <row r="113" spans="3:3" x14ac:dyDescent="0.2">
      <c r="C113" s="156"/>
    </row>
  </sheetData>
  <pageMargins left="0.75" right="0.75" top="1" bottom="1" header="0.5" footer="0.5"/>
  <pageSetup scale="68" orientation="landscape" cellComments="asDisplayed" r:id="rId1"/>
  <headerFooter alignWithMargins="0">
    <oddHeader>&amp;CSchedule 20
Administrative and General Expenses
(Revised 2021 True Up TRR)&amp;RTO2024 Annual Update
Attachment 4
WP-Schedule 3-One Time Adj Prior Period
Page &amp;P of &amp;N</oddHeader>
    <oddFooter>&amp;R&amp;A</oddFooter>
  </headerFooter>
  <rowBreaks count="2" manualBreakCount="2">
    <brk id="51" max="10" man="1"/>
    <brk id="78" max="16383" man="1"/>
  </row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B61D3-C477-40EC-A6B5-E38DBB62EA8E}">
  <sheetPr>
    <tabColor rgb="FFFFCC99"/>
  </sheetPr>
  <dimension ref="A1:I42"/>
  <sheetViews>
    <sheetView zoomScaleNormal="100" workbookViewId="0"/>
  </sheetViews>
  <sheetFormatPr defaultColWidth="8.7109375" defaultRowHeight="12.75" x14ac:dyDescent="0.2"/>
  <cols>
    <col min="1" max="1" width="4.5703125" style="30" customWidth="1"/>
    <col min="2" max="2" width="3.5703125" style="30" customWidth="1"/>
    <col min="3" max="6" width="10.5703125" style="30" customWidth="1"/>
    <col min="7" max="7" width="11" style="30" bestFit="1" customWidth="1"/>
    <col min="8" max="8" width="4.5703125" style="30" customWidth="1"/>
    <col min="9" max="9" width="35.5703125" style="30" customWidth="1"/>
    <col min="10" max="16384" width="8.7109375" style="30"/>
  </cols>
  <sheetData>
    <row r="1" spans="1:9" x14ac:dyDescent="0.2">
      <c r="A1" s="29" t="s">
        <v>310</v>
      </c>
    </row>
    <row r="2" spans="1:9" x14ac:dyDescent="0.2">
      <c r="C2" s="256"/>
      <c r="D2" s="29" t="s">
        <v>285</v>
      </c>
      <c r="E2" s="59" t="s">
        <v>311</v>
      </c>
      <c r="F2" s="154"/>
    </row>
    <row r="3" spans="1:9" x14ac:dyDescent="0.2">
      <c r="B3" s="29" t="s">
        <v>312</v>
      </c>
      <c r="I3" s="59" t="s">
        <v>171</v>
      </c>
    </row>
    <row r="4" spans="1:9" x14ac:dyDescent="0.2">
      <c r="B4" s="29"/>
    </row>
    <row r="5" spans="1:9" x14ac:dyDescent="0.2">
      <c r="E5" s="33" t="s">
        <v>313</v>
      </c>
    </row>
    <row r="6" spans="1:9" x14ac:dyDescent="0.2">
      <c r="A6" s="36" t="s">
        <v>308</v>
      </c>
      <c r="C6" s="37" t="s">
        <v>111</v>
      </c>
      <c r="D6" s="37" t="s">
        <v>112</v>
      </c>
      <c r="E6" s="36" t="s">
        <v>314</v>
      </c>
      <c r="G6" s="37" t="s">
        <v>315</v>
      </c>
      <c r="I6" s="36" t="s">
        <v>316</v>
      </c>
    </row>
    <row r="7" spans="1:9" x14ac:dyDescent="0.2">
      <c r="A7" s="33">
        <v>1</v>
      </c>
      <c r="C7" s="257">
        <v>2021</v>
      </c>
      <c r="D7" s="149" t="s">
        <v>317</v>
      </c>
      <c r="E7" s="149">
        <v>365</v>
      </c>
      <c r="G7" s="258">
        <v>9.3645816374923023E-3</v>
      </c>
      <c r="I7" s="259" t="s">
        <v>318</v>
      </c>
    </row>
    <row r="8" spans="1:9" x14ac:dyDescent="0.2">
      <c r="A8" s="33">
        <v>2</v>
      </c>
      <c r="C8" s="59"/>
      <c r="D8" s="59"/>
      <c r="E8" s="59"/>
      <c r="G8" s="59"/>
      <c r="I8" s="59"/>
    </row>
    <row r="10" spans="1:9" x14ac:dyDescent="0.2">
      <c r="B10" s="29" t="s">
        <v>319</v>
      </c>
    </row>
    <row r="11" spans="1:9" x14ac:dyDescent="0.2">
      <c r="B11" s="29"/>
    </row>
    <row r="12" spans="1:9" x14ac:dyDescent="0.2">
      <c r="E12" s="33" t="s">
        <v>313</v>
      </c>
    </row>
    <row r="13" spans="1:9" x14ac:dyDescent="0.2">
      <c r="C13" s="37" t="s">
        <v>111</v>
      </c>
      <c r="D13" s="37" t="s">
        <v>112</v>
      </c>
      <c r="E13" s="36" t="s">
        <v>314</v>
      </c>
      <c r="G13" s="37" t="s">
        <v>320</v>
      </c>
      <c r="I13" s="36" t="s">
        <v>316</v>
      </c>
    </row>
    <row r="14" spans="1:9" x14ac:dyDescent="0.2">
      <c r="A14" s="33">
        <v>3</v>
      </c>
      <c r="C14" s="257">
        <v>2021</v>
      </c>
      <c r="D14" s="149" t="s">
        <v>317</v>
      </c>
      <c r="E14" s="149">
        <v>365</v>
      </c>
      <c r="G14" s="268">
        <v>9.873264123544865E-3</v>
      </c>
      <c r="I14" s="59" t="s">
        <v>321</v>
      </c>
    </row>
    <row r="15" spans="1:9" x14ac:dyDescent="0.2">
      <c r="A15" s="33">
        <v>4</v>
      </c>
      <c r="C15" s="257"/>
      <c r="D15" s="59"/>
      <c r="E15" s="59"/>
      <c r="G15" s="260"/>
      <c r="I15" s="59"/>
    </row>
    <row r="18" spans="1:9" x14ac:dyDescent="0.2">
      <c r="B18" s="29" t="s">
        <v>322</v>
      </c>
    </row>
    <row r="19" spans="1:9" x14ac:dyDescent="0.2">
      <c r="B19" s="29"/>
    </row>
    <row r="20" spans="1:9" x14ac:dyDescent="0.2">
      <c r="C20" s="33" t="s">
        <v>323</v>
      </c>
      <c r="D20" s="33"/>
      <c r="E20" s="33"/>
    </row>
    <row r="21" spans="1:9" x14ac:dyDescent="0.2">
      <c r="C21" s="37" t="s">
        <v>17</v>
      </c>
      <c r="D21" s="37" t="s">
        <v>315</v>
      </c>
      <c r="E21" s="37" t="s">
        <v>320</v>
      </c>
      <c r="I21" s="36" t="s">
        <v>42</v>
      </c>
    </row>
    <row r="22" spans="1:9" x14ac:dyDescent="0.2">
      <c r="A22" s="33">
        <v>5</v>
      </c>
      <c r="C22" s="149">
        <v>2021</v>
      </c>
      <c r="D22" s="251">
        <f>E41</f>
        <v>9.3645816374923023E-3</v>
      </c>
      <c r="E22" s="251">
        <f>E42</f>
        <v>9.873264123544865E-3</v>
      </c>
      <c r="I22" s="30" t="s">
        <v>324</v>
      </c>
    </row>
    <row r="24" spans="1:9" x14ac:dyDescent="0.2">
      <c r="B24" s="29" t="s">
        <v>152</v>
      </c>
    </row>
    <row r="25" spans="1:9" x14ac:dyDescent="0.2">
      <c r="B25" s="30" t="s">
        <v>325</v>
      </c>
    </row>
    <row r="26" spans="1:9" x14ac:dyDescent="0.2">
      <c r="B26" s="30" t="s">
        <v>326</v>
      </c>
    </row>
    <row r="28" spans="1:9" x14ac:dyDescent="0.2">
      <c r="B28" s="29" t="s">
        <v>104</v>
      </c>
    </row>
    <row r="29" spans="1:9" x14ac:dyDescent="0.2">
      <c r="B29" s="30" t="s">
        <v>327</v>
      </c>
    </row>
    <row r="30" spans="1:9" x14ac:dyDescent="0.2">
      <c r="B30" s="30" t="s">
        <v>328</v>
      </c>
    </row>
    <row r="31" spans="1:9" x14ac:dyDescent="0.2">
      <c r="B31" s="30" t="s">
        <v>329</v>
      </c>
    </row>
    <row r="32" spans="1:9" x14ac:dyDescent="0.2">
      <c r="B32" s="30" t="s">
        <v>330</v>
      </c>
    </row>
    <row r="33" spans="2:7" x14ac:dyDescent="0.2">
      <c r="B33" s="30" t="s">
        <v>331</v>
      </c>
    </row>
    <row r="34" spans="2:7" x14ac:dyDescent="0.2">
      <c r="B34" s="30" t="s">
        <v>332</v>
      </c>
    </row>
    <row r="35" spans="2:7" x14ac:dyDescent="0.2">
      <c r="B35" s="30" t="s">
        <v>333</v>
      </c>
    </row>
    <row r="36" spans="2:7" x14ac:dyDescent="0.2">
      <c r="B36" s="30" t="s">
        <v>334</v>
      </c>
    </row>
    <row r="37" spans="2:7" x14ac:dyDescent="0.2">
      <c r="B37" s="30" t="s">
        <v>335</v>
      </c>
    </row>
    <row r="38" spans="2:7" x14ac:dyDescent="0.2">
      <c r="B38" s="30" t="s">
        <v>336</v>
      </c>
    </row>
    <row r="40" spans="2:7" x14ac:dyDescent="0.2">
      <c r="E40" s="37" t="s">
        <v>337</v>
      </c>
      <c r="G40" s="36" t="s">
        <v>37</v>
      </c>
    </row>
    <row r="41" spans="2:7" x14ac:dyDescent="0.2">
      <c r="D41" s="49" t="s">
        <v>338</v>
      </c>
      <c r="E41" s="251">
        <f>((G7*E7) + (G8*E8))/(E7+E8)</f>
        <v>9.3645816374923023E-3</v>
      </c>
      <c r="G41" s="261" t="s">
        <v>339</v>
      </c>
    </row>
    <row r="42" spans="2:7" x14ac:dyDescent="0.2">
      <c r="D42" s="49" t="s">
        <v>340</v>
      </c>
      <c r="E42" s="251">
        <f>((G14*E14) + (G15*E15))/(E14+E15)</f>
        <v>9.873264123544865E-3</v>
      </c>
      <c r="G42" s="261" t="s">
        <v>341</v>
      </c>
    </row>
  </sheetData>
  <pageMargins left="0.75" right="0.75" top="1" bottom="1" header="0.5" footer="0.5"/>
  <pageSetup scale="82" orientation="portrait" cellComments="asDisplayed" r:id="rId1"/>
  <headerFooter alignWithMargins="0">
    <oddHeader>&amp;CSchedule 28
FF and U
(Revised 2021 True Up TRR)&amp;RTO2024 Annual Update
Attachment 4
WP-Schedule 3-One Time Adj Prior Period
Page &amp;P of &amp;N</oddHeader>
    <oddFooter>&amp;R&amp;A</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69AF5-0514-4369-899C-BC753036E920}">
  <sheetPr>
    <tabColor rgb="FFFFCCCC"/>
  </sheetPr>
  <dimension ref="A3:G12"/>
  <sheetViews>
    <sheetView zoomScaleNormal="100" workbookViewId="0"/>
  </sheetViews>
  <sheetFormatPr defaultRowHeight="12.75" x14ac:dyDescent="0.2"/>
  <cols>
    <col min="4" max="4" width="14.28515625" bestFit="1" customWidth="1"/>
    <col min="5" max="5" width="13.42578125" customWidth="1"/>
    <col min="6" max="6" width="15.140625" customWidth="1"/>
    <col min="7" max="7" width="17.42578125" customWidth="1"/>
  </cols>
  <sheetData>
    <row r="3" spans="1:7" x14ac:dyDescent="0.2">
      <c r="A3" s="335" t="s">
        <v>342</v>
      </c>
      <c r="B3" s="335"/>
      <c r="C3" s="335"/>
      <c r="D3" s="335"/>
      <c r="E3" s="335"/>
      <c r="F3" s="335"/>
      <c r="G3" s="335"/>
    </row>
    <row r="4" spans="1:7" x14ac:dyDescent="0.2">
      <c r="A4" s="335"/>
      <c r="B4" s="335"/>
      <c r="C4" s="335"/>
      <c r="D4" s="335"/>
      <c r="E4" s="335"/>
      <c r="F4" s="335"/>
      <c r="G4" s="335"/>
    </row>
    <row r="5" spans="1:7" ht="15" x14ac:dyDescent="0.25">
      <c r="A5" s="336" t="s">
        <v>31</v>
      </c>
      <c r="B5" s="336"/>
      <c r="C5" s="336"/>
      <c r="D5" s="86" t="s">
        <v>32</v>
      </c>
      <c r="E5" s="337" t="s">
        <v>33</v>
      </c>
      <c r="F5" s="337"/>
      <c r="G5" s="337"/>
    </row>
    <row r="6" spans="1:7" ht="38.450000000000003" customHeight="1" x14ac:dyDescent="0.25">
      <c r="A6" s="325" t="s">
        <v>359</v>
      </c>
      <c r="B6" s="338"/>
      <c r="C6" s="339"/>
      <c r="D6" s="28">
        <f>'WP-2017 TO13 Sch4-TUTRR'!E73</f>
        <v>1014299779.1105522</v>
      </c>
      <c r="E6" s="340" t="s">
        <v>435</v>
      </c>
      <c r="F6" s="340"/>
      <c r="G6" s="340"/>
    </row>
    <row r="7" spans="1:7" ht="36.950000000000003" customHeight="1" x14ac:dyDescent="0.25">
      <c r="A7" s="325" t="s">
        <v>358</v>
      </c>
      <c r="B7" s="326"/>
      <c r="C7" s="327"/>
      <c r="D7" s="28">
        <f>'WP-2017 TO13 Sch4-TUTRR'!J71</f>
        <v>1014304831.2974253</v>
      </c>
      <c r="E7" s="325" t="s">
        <v>364</v>
      </c>
      <c r="F7" s="328"/>
      <c r="G7" s="329"/>
    </row>
    <row r="8" spans="1:7" ht="15" x14ac:dyDescent="0.25">
      <c r="A8" s="330" t="s">
        <v>34</v>
      </c>
      <c r="B8" s="330"/>
      <c r="C8" s="331"/>
      <c r="D8" s="271">
        <f>D6-D7</f>
        <v>-5052.1868730783463</v>
      </c>
      <c r="E8" s="332"/>
      <c r="F8" s="332"/>
      <c r="G8" s="332"/>
    </row>
    <row r="9" spans="1:7" ht="15" x14ac:dyDescent="0.25">
      <c r="A9" s="27"/>
      <c r="B9" s="27"/>
      <c r="C9" s="27"/>
      <c r="D9" s="27"/>
      <c r="E9" s="27"/>
      <c r="F9" s="27"/>
      <c r="G9" s="27"/>
    </row>
    <row r="10" spans="1:7" ht="15" x14ac:dyDescent="0.25">
      <c r="A10" s="27"/>
      <c r="B10" s="27"/>
      <c r="C10" s="27"/>
      <c r="D10" s="27"/>
      <c r="E10" s="27"/>
      <c r="F10" s="27"/>
      <c r="G10" s="27"/>
    </row>
    <row r="11" spans="1:7" ht="15" x14ac:dyDescent="0.25">
      <c r="A11" s="115" t="s">
        <v>141</v>
      </c>
      <c r="B11" s="27"/>
      <c r="C11" s="27"/>
      <c r="D11" s="27"/>
      <c r="E11" s="27"/>
      <c r="F11" s="27"/>
      <c r="G11" s="27"/>
    </row>
    <row r="12" spans="1:7" ht="29.1" customHeight="1" x14ac:dyDescent="0.25">
      <c r="A12" s="333" t="s">
        <v>443</v>
      </c>
      <c r="B12" s="334"/>
      <c r="C12" s="334"/>
      <c r="D12" s="334"/>
      <c r="E12" s="334"/>
      <c r="F12" s="334"/>
      <c r="G12" s="334"/>
    </row>
  </sheetData>
  <mergeCells count="10">
    <mergeCell ref="A3:G4"/>
    <mergeCell ref="A5:C5"/>
    <mergeCell ref="E5:G5"/>
    <mergeCell ref="A6:C6"/>
    <mergeCell ref="E6:G6"/>
    <mergeCell ref="A7:C7"/>
    <mergeCell ref="E7:G7"/>
    <mergeCell ref="A8:C8"/>
    <mergeCell ref="E8:G8"/>
    <mergeCell ref="A12:G12"/>
  </mergeCells>
  <pageMargins left="0.7" right="0.7" top="0.75" bottom="0.75" header="0.3" footer="0.3"/>
  <pageSetup orientation="portrait" horizontalDpi="1200" verticalDpi="1200" r:id="rId1"/>
  <headerFooter>
    <oddHeader>&amp;RTO2024 Annual Update
Attachment 4
WP-Schedule 3-One Time Adj Prior Period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6A9FA-E9A6-4224-AB7D-65D195A024A8}">
  <sheetPr>
    <tabColor rgb="FFFFCCCC"/>
  </sheetPr>
  <dimension ref="A1:L172"/>
  <sheetViews>
    <sheetView zoomScaleNormal="10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6.42578125" customWidth="1"/>
    <col min="12" max="12" width="26.5703125" customWidth="1"/>
  </cols>
  <sheetData>
    <row r="1" spans="1:10" x14ac:dyDescent="0.2">
      <c r="A1" s="159" t="s">
        <v>35</v>
      </c>
    </row>
    <row r="3" spans="1:10" x14ac:dyDescent="0.2">
      <c r="B3" s="204" t="s">
        <v>36</v>
      </c>
    </row>
    <row r="4" spans="1:10" x14ac:dyDescent="0.2">
      <c r="B4" s="205"/>
      <c r="F4" s="164" t="s">
        <v>37</v>
      </c>
      <c r="G4" s="164"/>
      <c r="H4" s="164" t="s">
        <v>38</v>
      </c>
    </row>
    <row r="5" spans="1:10" x14ac:dyDescent="0.2">
      <c r="A5" s="165" t="s">
        <v>39</v>
      </c>
      <c r="B5" s="180"/>
      <c r="C5" s="188" t="s">
        <v>40</v>
      </c>
      <c r="F5" s="166" t="s">
        <v>41</v>
      </c>
      <c r="G5" s="166" t="s">
        <v>42</v>
      </c>
      <c r="H5" s="166" t="s">
        <v>43</v>
      </c>
      <c r="J5" s="166" t="s">
        <v>32</v>
      </c>
    </row>
    <row r="6" spans="1:10" x14ac:dyDescent="0.2">
      <c r="A6" s="164">
        <v>1</v>
      </c>
      <c r="C6" s="201" t="s">
        <v>44</v>
      </c>
      <c r="F6" t="s">
        <v>45</v>
      </c>
      <c r="H6" s="201" t="s">
        <v>450</v>
      </c>
      <c r="J6" s="170">
        <v>8389794318.0711689</v>
      </c>
    </row>
    <row r="7" spans="1:10" x14ac:dyDescent="0.2">
      <c r="A7" s="164">
        <f>A6+1</f>
        <v>2</v>
      </c>
      <c r="C7" s="201" t="s">
        <v>46</v>
      </c>
      <c r="F7" t="s">
        <v>47</v>
      </c>
      <c r="H7" s="201" t="s">
        <v>451</v>
      </c>
      <c r="J7" s="170">
        <v>252097756.36140126</v>
      </c>
    </row>
    <row r="8" spans="1:10" x14ac:dyDescent="0.2">
      <c r="A8" s="164">
        <f>A7+1</f>
        <v>3</v>
      </c>
      <c r="C8" s="201" t="s">
        <v>48</v>
      </c>
      <c r="F8" t="s">
        <v>47</v>
      </c>
      <c r="H8" t="s">
        <v>452</v>
      </c>
      <c r="J8" s="170">
        <v>9942155</v>
      </c>
    </row>
    <row r="9" spans="1:10" x14ac:dyDescent="0.2">
      <c r="A9" s="164">
        <f>A8+1</f>
        <v>4</v>
      </c>
      <c r="C9" s="201" t="s">
        <v>49</v>
      </c>
      <c r="F9" t="s">
        <v>47</v>
      </c>
      <c r="H9" s="169" t="s">
        <v>453</v>
      </c>
      <c r="J9" s="170">
        <v>0</v>
      </c>
    </row>
    <row r="10" spans="1:10" x14ac:dyDescent="0.2">
      <c r="A10" s="164"/>
      <c r="C10" s="201"/>
      <c r="J10" s="170"/>
    </row>
    <row r="11" spans="1:10" x14ac:dyDescent="0.2">
      <c r="A11" s="164"/>
      <c r="C11" s="206" t="s">
        <v>50</v>
      </c>
      <c r="J11" s="170"/>
    </row>
    <row r="12" spans="1:10" x14ac:dyDescent="0.2">
      <c r="A12" s="164">
        <f>A9+1</f>
        <v>5</v>
      </c>
      <c r="C12" s="176" t="s">
        <v>51</v>
      </c>
      <c r="F12" t="s">
        <v>45</v>
      </c>
      <c r="H12" s="201" t="s">
        <v>454</v>
      </c>
      <c r="J12" s="170">
        <v>13057096.81033094</v>
      </c>
    </row>
    <row r="13" spans="1:10" x14ac:dyDescent="0.2">
      <c r="A13" s="164">
        <f>A12+1</f>
        <v>6</v>
      </c>
      <c r="C13" s="180" t="s">
        <v>52</v>
      </c>
      <c r="F13" t="s">
        <v>45</v>
      </c>
      <c r="H13" s="201" t="s">
        <v>455</v>
      </c>
      <c r="J13" s="170">
        <v>10647092.7937865</v>
      </c>
    </row>
    <row r="14" spans="1:10" x14ac:dyDescent="0.2">
      <c r="A14" s="164">
        <f>A13+1</f>
        <v>7</v>
      </c>
      <c r="C14" s="176" t="s">
        <v>53</v>
      </c>
      <c r="F14" s="169" t="s">
        <v>360</v>
      </c>
      <c r="H14" t="s">
        <v>456</v>
      </c>
      <c r="J14" s="172">
        <v>7811013.6433948725</v>
      </c>
    </row>
    <row r="15" spans="1:10" x14ac:dyDescent="0.2">
      <c r="A15" s="164">
        <f>A14+1</f>
        <v>8</v>
      </c>
      <c r="C15" s="176" t="s">
        <v>54</v>
      </c>
      <c r="H15" t="str">
        <f>"Line "&amp;A12&amp;" + Line "&amp;A13&amp;" + Line "&amp;A14&amp;""</f>
        <v>Line 5 + Line 6 + Line 7</v>
      </c>
      <c r="J15" s="168">
        <f>SUM(J12:J14)</f>
        <v>31515203.247512311</v>
      </c>
    </row>
    <row r="16" spans="1:10" x14ac:dyDescent="0.2">
      <c r="A16" s="164"/>
      <c r="C16" s="176"/>
      <c r="J16" s="170"/>
    </row>
    <row r="17" spans="1:10" x14ac:dyDescent="0.2">
      <c r="A17" s="164"/>
      <c r="C17" s="207" t="s">
        <v>55</v>
      </c>
      <c r="J17" s="170"/>
    </row>
    <row r="18" spans="1:10" x14ac:dyDescent="0.2">
      <c r="A18" s="164">
        <f>A15+1</f>
        <v>9</v>
      </c>
      <c r="C18" s="176" t="s">
        <v>56</v>
      </c>
      <c r="F18" t="s">
        <v>45</v>
      </c>
      <c r="G18" t="s">
        <v>57</v>
      </c>
      <c r="H18" s="201" t="s">
        <v>472</v>
      </c>
      <c r="J18" s="170">
        <v>-1549914566.8389716</v>
      </c>
    </row>
    <row r="19" spans="1:10" x14ac:dyDescent="0.2">
      <c r="A19" s="164">
        <f>A18+1</f>
        <v>10</v>
      </c>
      <c r="C19" s="176" t="s">
        <v>58</v>
      </c>
      <c r="F19" t="s">
        <v>47</v>
      </c>
      <c r="G19" t="s">
        <v>57</v>
      </c>
      <c r="H19" s="201" t="s">
        <v>473</v>
      </c>
      <c r="J19" s="170">
        <v>0</v>
      </c>
    </row>
    <row r="20" spans="1:10" x14ac:dyDescent="0.2">
      <c r="A20" s="164">
        <f>A19+1</f>
        <v>11</v>
      </c>
      <c r="C20" s="176" t="s">
        <v>59</v>
      </c>
      <c r="D20" s="44"/>
      <c r="F20" t="s">
        <v>47</v>
      </c>
      <c r="G20" t="s">
        <v>57</v>
      </c>
      <c r="H20" s="201" t="s">
        <v>474</v>
      </c>
      <c r="J20" s="177">
        <v>-102849091.48355895</v>
      </c>
    </row>
    <row r="21" spans="1:10" x14ac:dyDescent="0.2">
      <c r="A21" s="164">
        <f>A20+1</f>
        <v>12</v>
      </c>
      <c r="C21" s="46" t="s">
        <v>60</v>
      </c>
      <c r="D21" s="44"/>
      <c r="H21" t="str">
        <f>"Line "&amp;A18&amp;" + Line "&amp;A19&amp;" + Line "&amp;A20&amp;""</f>
        <v>Line 9 + Line 10 + Line 11</v>
      </c>
      <c r="J21" s="170">
        <f>SUM(J18:J20)</f>
        <v>-1652763658.3225305</v>
      </c>
    </row>
    <row r="22" spans="1:10" x14ac:dyDescent="0.2">
      <c r="A22" s="164"/>
      <c r="C22" s="169"/>
      <c r="J22" s="170"/>
    </row>
    <row r="23" spans="1:10" x14ac:dyDescent="0.2">
      <c r="A23" s="164">
        <f>A21+1</f>
        <v>13</v>
      </c>
      <c r="C23" s="208" t="s">
        <v>61</v>
      </c>
      <c r="F23" t="s">
        <v>47</v>
      </c>
      <c r="H23" s="201" t="s">
        <v>475</v>
      </c>
      <c r="J23" s="170">
        <v>-1600478571.7718422</v>
      </c>
    </row>
    <row r="24" spans="1:10" x14ac:dyDescent="0.2">
      <c r="A24" s="164">
        <f>A23+1</f>
        <v>14</v>
      </c>
      <c r="C24" s="201" t="s">
        <v>62</v>
      </c>
      <c r="F24" t="s">
        <v>45</v>
      </c>
      <c r="H24" s="201" t="s">
        <v>489</v>
      </c>
      <c r="J24" s="168">
        <v>106455574.58566985</v>
      </c>
    </row>
    <row r="25" spans="1:10" x14ac:dyDescent="0.2">
      <c r="A25" s="164">
        <f>A24+1</f>
        <v>15</v>
      </c>
      <c r="C25" s="208" t="s">
        <v>63</v>
      </c>
      <c r="F25" t="s">
        <v>47</v>
      </c>
      <c r="G25" t="s">
        <v>57</v>
      </c>
      <c r="H25" s="201" t="s">
        <v>490</v>
      </c>
      <c r="J25" s="170">
        <v>-106562330.36</v>
      </c>
    </row>
    <row r="26" spans="1:10" x14ac:dyDescent="0.2">
      <c r="A26" s="164" t="s">
        <v>309</v>
      </c>
      <c r="C26" s="201" t="s">
        <v>64</v>
      </c>
      <c r="H26" s="169" t="s">
        <v>478</v>
      </c>
      <c r="J26" s="170">
        <v>-10165090.793968515</v>
      </c>
    </row>
    <row r="27" spans="1:10" x14ac:dyDescent="0.2">
      <c r="A27" s="164">
        <v>16</v>
      </c>
      <c r="C27" s="208" t="s">
        <v>65</v>
      </c>
      <c r="F27" t="s">
        <v>47</v>
      </c>
      <c r="H27" s="201" t="s">
        <v>479</v>
      </c>
      <c r="J27" s="170">
        <v>0</v>
      </c>
    </row>
    <row r="28" spans="1:10" x14ac:dyDescent="0.2">
      <c r="A28" s="164"/>
      <c r="C28" s="208"/>
    </row>
    <row r="29" spans="1:10" x14ac:dyDescent="0.2">
      <c r="A29" s="164">
        <v>17</v>
      </c>
      <c r="C29" t="s">
        <v>66</v>
      </c>
      <c r="H29" t="str">
        <f>"L"&amp;A6&amp;"+L"&amp;A7&amp;"+L"&amp;A8&amp;"+L"&amp;A9&amp;"+L"&amp;A15&amp;"+L"&amp;A21&amp;"+"</f>
        <v>L1+L2+L3+L4+L8+L12+</v>
      </c>
      <c r="J29" s="168">
        <f>J6+ J7+J8+J9+J15+J21+J23+J24+J25+J26+J27</f>
        <v>5419835356.0174112</v>
      </c>
    </row>
    <row r="30" spans="1:10" x14ac:dyDescent="0.2">
      <c r="A30" s="164"/>
      <c r="H30" t="str">
        <f>"L"&amp;A23&amp;"+L"&amp;A24&amp;"+L"&amp;A25&amp;"+L"&amp;A26&amp;"+L"&amp;A27&amp;""</f>
        <v>L13+L14+L15+L15a+L16</v>
      </c>
      <c r="J30" s="170"/>
    </row>
    <row r="31" spans="1:10" x14ac:dyDescent="0.2">
      <c r="A31" s="164"/>
      <c r="B31" s="159" t="s">
        <v>67</v>
      </c>
      <c r="J31" s="170"/>
    </row>
    <row r="32" spans="1:10" x14ac:dyDescent="0.2">
      <c r="A32" s="165" t="s">
        <v>39</v>
      </c>
      <c r="C32" s="159"/>
      <c r="J32" s="170"/>
    </row>
    <row r="33" spans="1:10" x14ac:dyDescent="0.2">
      <c r="A33" s="164">
        <f>A29+1</f>
        <v>18</v>
      </c>
      <c r="C33" t="s">
        <v>68</v>
      </c>
      <c r="G33" s="169" t="s">
        <v>69</v>
      </c>
      <c r="H33" s="169" t="str">
        <f>"Instruction 1, Line "&amp;B98&amp;""</f>
        <v>Instruction 1, Line j</v>
      </c>
      <c r="J33" s="209">
        <f>E98</f>
        <v>7.2499706024635166E-2</v>
      </c>
    </row>
    <row r="34" spans="1:10" x14ac:dyDescent="0.2">
      <c r="A34" s="164">
        <f>A33+1</f>
        <v>19</v>
      </c>
      <c r="C34" s="169" t="s">
        <v>70</v>
      </c>
      <c r="D34" s="169"/>
      <c r="E34" s="169"/>
      <c r="F34" s="169"/>
      <c r="G34" s="169"/>
      <c r="H34" t="str">
        <f>"Line "&amp;A29&amp;" * Line "&amp;A33&amp;""</f>
        <v>Line 17 * Line 18</v>
      </c>
      <c r="J34" s="174">
        <f>J29*J33</f>
        <v>392936470.01318622</v>
      </c>
    </row>
    <row r="35" spans="1:10" x14ac:dyDescent="0.2">
      <c r="A35" s="164"/>
      <c r="B35" s="180"/>
    </row>
    <row r="36" spans="1:10" x14ac:dyDescent="0.2">
      <c r="A36" s="164"/>
      <c r="B36" s="159" t="s">
        <v>71</v>
      </c>
    </row>
    <row r="37" spans="1:10" x14ac:dyDescent="0.2">
      <c r="A37" s="164"/>
      <c r="B37" s="180"/>
    </row>
    <row r="38" spans="1:10" x14ac:dyDescent="0.2">
      <c r="A38" s="164">
        <f>A34+1</f>
        <v>20</v>
      </c>
      <c r="C38" s="169" t="s">
        <v>72</v>
      </c>
      <c r="J38" s="168">
        <f>(((J29*J42) + J45) *(J43/(1-J43)))+(J44/(1-J43))</f>
        <v>201959869.12858835</v>
      </c>
    </row>
    <row r="39" spans="1:10" x14ac:dyDescent="0.2">
      <c r="A39" s="164"/>
      <c r="J39" s="169"/>
    </row>
    <row r="40" spans="1:10" x14ac:dyDescent="0.2">
      <c r="A40" s="164"/>
      <c r="D40" t="s">
        <v>73</v>
      </c>
    </row>
    <row r="41" spans="1:10" x14ac:dyDescent="0.2">
      <c r="A41" s="164">
        <f>A38+1</f>
        <v>21</v>
      </c>
      <c r="D41" s="180" t="s">
        <v>74</v>
      </c>
      <c r="H41" t="str">
        <f>"Line "&amp;A29&amp;""</f>
        <v>Line 17</v>
      </c>
      <c r="J41" s="168">
        <f>J29</f>
        <v>5419835356.0174112</v>
      </c>
    </row>
    <row r="42" spans="1:10" x14ac:dyDescent="0.2">
      <c r="A42" s="164">
        <f>A41+1</f>
        <v>22</v>
      </c>
      <c r="D42" s="176" t="s">
        <v>75</v>
      </c>
      <c r="G42" s="169" t="s">
        <v>76</v>
      </c>
      <c r="H42" s="169" t="str">
        <f>"Instruction 1, Line "&amp;B103&amp;""</f>
        <v>Instruction 1, Line k</v>
      </c>
      <c r="J42" s="179">
        <f>E103</f>
        <v>5.2592059258897372E-2</v>
      </c>
    </row>
    <row r="43" spans="1:10" x14ac:dyDescent="0.2">
      <c r="A43" s="164">
        <f>A42+1</f>
        <v>23</v>
      </c>
      <c r="D43" s="180" t="s">
        <v>77</v>
      </c>
      <c r="H43" t="s">
        <v>482</v>
      </c>
      <c r="J43" s="179">
        <v>0.40745999999999999</v>
      </c>
    </row>
    <row r="44" spans="1:10" x14ac:dyDescent="0.2">
      <c r="A44" s="164">
        <f>A43+1</f>
        <v>24</v>
      </c>
      <c r="D44" s="180" t="s">
        <v>78</v>
      </c>
      <c r="H44" t="s">
        <v>483</v>
      </c>
      <c r="J44" s="170">
        <v>2086200</v>
      </c>
    </row>
    <row r="45" spans="1:10" x14ac:dyDescent="0.2">
      <c r="A45" s="164">
        <f>A44+1</f>
        <v>25</v>
      </c>
      <c r="D45" s="180" t="s">
        <v>79</v>
      </c>
      <c r="H45" t="s">
        <v>484</v>
      </c>
      <c r="J45" s="187">
        <v>3535511</v>
      </c>
    </row>
    <row r="46" spans="1:10" x14ac:dyDescent="0.2">
      <c r="A46" s="164"/>
      <c r="B46" s="180"/>
    </row>
    <row r="47" spans="1:10" x14ac:dyDescent="0.2">
      <c r="A47" s="164"/>
      <c r="B47" s="159" t="s">
        <v>80</v>
      </c>
    </row>
    <row r="48" spans="1:10" x14ac:dyDescent="0.2">
      <c r="A48" s="164">
        <f>A45+1</f>
        <v>26</v>
      </c>
      <c r="B48" s="180"/>
      <c r="C48" t="s">
        <v>81</v>
      </c>
      <c r="H48" t="s">
        <v>459</v>
      </c>
      <c r="J48" s="170">
        <v>78644833.663867712</v>
      </c>
    </row>
    <row r="49" spans="1:10" x14ac:dyDescent="0.2">
      <c r="A49" s="164">
        <f t="shared" ref="A49:A60" si="0">A48+1</f>
        <v>27</v>
      </c>
      <c r="B49" s="180"/>
      <c r="C49" s="169" t="s">
        <v>82</v>
      </c>
      <c r="H49" t="s">
        <v>460</v>
      </c>
      <c r="J49" s="168">
        <v>46331384.630450249</v>
      </c>
    </row>
    <row r="50" spans="1:10" x14ac:dyDescent="0.2">
      <c r="A50" s="164" t="s">
        <v>361</v>
      </c>
      <c r="B50" s="180"/>
      <c r="C50" s="169" t="s">
        <v>362</v>
      </c>
      <c r="H50" t="s">
        <v>491</v>
      </c>
      <c r="J50" s="170">
        <v>-6504.559255276572</v>
      </c>
    </row>
    <row r="51" spans="1:10" x14ac:dyDescent="0.2">
      <c r="A51" s="164">
        <f>A49+1</f>
        <v>28</v>
      </c>
      <c r="B51" s="180"/>
      <c r="C51" t="s">
        <v>83</v>
      </c>
      <c r="H51" t="s">
        <v>461</v>
      </c>
      <c r="J51" s="170">
        <v>6116850.9299999997</v>
      </c>
    </row>
    <row r="52" spans="1:10" x14ac:dyDescent="0.2">
      <c r="A52" s="164">
        <f t="shared" si="0"/>
        <v>29</v>
      </c>
      <c r="B52" s="180"/>
      <c r="C52" s="169" t="s">
        <v>84</v>
      </c>
      <c r="H52" t="s">
        <v>462</v>
      </c>
      <c r="J52" s="170">
        <v>239582730.61420554</v>
      </c>
    </row>
    <row r="53" spans="1:10" x14ac:dyDescent="0.2">
      <c r="A53" s="164">
        <f t="shared" si="0"/>
        <v>30</v>
      </c>
      <c r="B53" s="180"/>
      <c r="C53" s="169" t="s">
        <v>85</v>
      </c>
      <c r="H53" t="s">
        <v>463</v>
      </c>
      <c r="J53" s="170">
        <v>0</v>
      </c>
    </row>
    <row r="54" spans="1:10" x14ac:dyDescent="0.2">
      <c r="A54" s="164">
        <f t="shared" si="0"/>
        <v>31</v>
      </c>
      <c r="B54" s="180"/>
      <c r="C54" s="169" t="s">
        <v>86</v>
      </c>
      <c r="H54" t="s">
        <v>464</v>
      </c>
      <c r="J54" s="170">
        <v>60990526.802731596</v>
      </c>
    </row>
    <row r="55" spans="1:10" x14ac:dyDescent="0.2">
      <c r="A55" s="164">
        <f t="shared" si="0"/>
        <v>32</v>
      </c>
      <c r="B55" s="180"/>
      <c r="C55" t="s">
        <v>87</v>
      </c>
      <c r="G55" s="169"/>
      <c r="H55" t="s">
        <v>465</v>
      </c>
      <c r="J55" s="170">
        <v>-58832605.54180719</v>
      </c>
    </row>
    <row r="56" spans="1:10" x14ac:dyDescent="0.2">
      <c r="A56" s="164">
        <f t="shared" si="0"/>
        <v>33</v>
      </c>
      <c r="B56" s="180"/>
      <c r="C56" t="s">
        <v>88</v>
      </c>
      <c r="H56" t="str">
        <f>"Line "&amp;A34&amp;""</f>
        <v>Line 19</v>
      </c>
      <c r="J56" s="168">
        <f>J34</f>
        <v>392936470.01318622</v>
      </c>
    </row>
    <row r="57" spans="1:10" x14ac:dyDescent="0.2">
      <c r="A57" s="164">
        <f t="shared" si="0"/>
        <v>34</v>
      </c>
      <c r="B57" s="180"/>
      <c r="C57" t="s">
        <v>89</v>
      </c>
      <c r="H57" t="str">
        <f>"Line "&amp;A38&amp;""</f>
        <v>Line 20</v>
      </c>
      <c r="J57" s="174">
        <f>J38</f>
        <v>201959869.12858835</v>
      </c>
    </row>
    <row r="58" spans="1:10" x14ac:dyDescent="0.2">
      <c r="A58" s="164">
        <f t="shared" si="0"/>
        <v>35</v>
      </c>
      <c r="B58" s="180"/>
      <c r="C58" s="169" t="s">
        <v>90</v>
      </c>
      <c r="H58" t="s">
        <v>485</v>
      </c>
      <c r="J58" s="187">
        <v>0</v>
      </c>
    </row>
    <row r="59" spans="1:10" x14ac:dyDescent="0.2">
      <c r="A59" s="164">
        <f t="shared" si="0"/>
        <v>36</v>
      </c>
      <c r="B59" s="180"/>
      <c r="C59" s="48" t="s">
        <v>91</v>
      </c>
      <c r="D59" s="48"/>
      <c r="H59" t="s">
        <v>467</v>
      </c>
      <c r="J59" s="177">
        <v>0</v>
      </c>
    </row>
    <row r="60" spans="1:10" x14ac:dyDescent="0.2">
      <c r="A60" s="164">
        <f t="shared" si="0"/>
        <v>37</v>
      </c>
      <c r="B60" s="180"/>
      <c r="C60" s="169" t="s">
        <v>92</v>
      </c>
      <c r="H60" t="str">
        <f>"Sum Line "&amp;A48&amp;" to Line "&amp;A59&amp;""</f>
        <v>Sum Line 26 to Line 36</v>
      </c>
      <c r="J60" s="168">
        <f>SUM(J48:J59)</f>
        <v>967723555.68196714</v>
      </c>
    </row>
    <row r="61" spans="1:10" x14ac:dyDescent="0.2">
      <c r="A61" s="164"/>
      <c r="B61" s="180"/>
      <c r="J61" s="170"/>
    </row>
    <row r="62" spans="1:10" ht="12.75" customHeight="1" x14ac:dyDescent="0.2">
      <c r="A62" s="164">
        <f>A60+1</f>
        <v>38</v>
      </c>
      <c r="B62" s="180"/>
      <c r="C62" s="169" t="s">
        <v>93</v>
      </c>
      <c r="H62" t="s">
        <v>480</v>
      </c>
      <c r="J62" s="170">
        <v>34932082.703325152</v>
      </c>
    </row>
    <row r="63" spans="1:10" x14ac:dyDescent="0.2">
      <c r="A63" s="164"/>
      <c r="B63" s="180"/>
      <c r="C63" s="169"/>
      <c r="J63" s="170"/>
    </row>
    <row r="64" spans="1:10" x14ac:dyDescent="0.2">
      <c r="A64" s="164">
        <f>A62+1</f>
        <v>39</v>
      </c>
      <c r="B64" s="180"/>
      <c r="C64" s="169" t="s">
        <v>94</v>
      </c>
      <c r="H64" t="str">
        <f>"Line "&amp;A60&amp;" + Line "&amp;A62&amp;""</f>
        <v>Line 37 + Line 38</v>
      </c>
      <c r="J64" s="168">
        <f>J60+J62</f>
        <v>1002655638.3852923</v>
      </c>
    </row>
    <row r="65" spans="1:12" x14ac:dyDescent="0.2">
      <c r="A65" s="164"/>
      <c r="B65" s="180"/>
      <c r="C65" s="169"/>
      <c r="J65" s="170"/>
    </row>
    <row r="66" spans="1:12" x14ac:dyDescent="0.2">
      <c r="A66" s="164"/>
      <c r="B66" s="204" t="s">
        <v>95</v>
      </c>
      <c r="C66" s="169"/>
      <c r="J66" s="170"/>
    </row>
    <row r="67" spans="1:12" ht="13.5" thickBot="1" x14ac:dyDescent="0.25">
      <c r="A67" s="165" t="s">
        <v>39</v>
      </c>
      <c r="B67" s="208"/>
      <c r="G67" s="188" t="s">
        <v>96</v>
      </c>
    </row>
    <row r="68" spans="1:12" x14ac:dyDescent="0.2">
      <c r="A68" s="164">
        <f>A64+1</f>
        <v>40</v>
      </c>
      <c r="B68" s="208"/>
      <c r="D68" s="175" t="s">
        <v>97</v>
      </c>
      <c r="E68" s="168">
        <f>J64</f>
        <v>1002655638.3852923</v>
      </c>
      <c r="G68" t="str">
        <f>"Line "&amp;A64&amp;""</f>
        <v>Line 39</v>
      </c>
      <c r="J68" s="232" t="s">
        <v>98</v>
      </c>
    </row>
    <row r="69" spans="1:12" x14ac:dyDescent="0.2">
      <c r="A69" s="164">
        <f>A68+1</f>
        <v>41</v>
      </c>
      <c r="B69" s="208"/>
      <c r="D69" s="175" t="s">
        <v>99</v>
      </c>
      <c r="E69" s="210">
        <v>9.2057000000000007E-3</v>
      </c>
      <c r="G69" t="s">
        <v>481</v>
      </c>
      <c r="J69" s="233" t="s">
        <v>363</v>
      </c>
    </row>
    <row r="70" spans="1:12" x14ac:dyDescent="0.2">
      <c r="A70" s="164">
        <f>A69+1</f>
        <v>42</v>
      </c>
      <c r="B70" s="208"/>
      <c r="D70" s="173" t="s">
        <v>100</v>
      </c>
      <c r="E70" s="168">
        <v>9230147.0102834851</v>
      </c>
      <c r="G70" t="str">
        <f>"Line "&amp;A68&amp;" * Line "&amp;A69&amp;""</f>
        <v>Line 40 * Line 41</v>
      </c>
      <c r="J70" s="234">
        <f>E73</f>
        <v>1014299779.1105522</v>
      </c>
    </row>
    <row r="71" spans="1:12" ht="27.95" customHeight="1" x14ac:dyDescent="0.2">
      <c r="A71" s="164">
        <f>A70+1</f>
        <v>43</v>
      </c>
      <c r="B71" s="208"/>
      <c r="D71" s="175" t="s">
        <v>101</v>
      </c>
      <c r="E71" s="210">
        <v>2.4076000000000002E-3</v>
      </c>
      <c r="G71" t="s">
        <v>481</v>
      </c>
      <c r="J71" s="235">
        <v>1014304831.2974253</v>
      </c>
      <c r="K71" s="341" t="s">
        <v>364</v>
      </c>
      <c r="L71" s="342"/>
    </row>
    <row r="72" spans="1:12" ht="13.5" thickBot="1" x14ac:dyDescent="0.25">
      <c r="A72" s="164">
        <f>A71+1</f>
        <v>44</v>
      </c>
      <c r="B72" s="208"/>
      <c r="D72" s="175" t="s">
        <v>102</v>
      </c>
      <c r="E72" s="168">
        <v>2413993.7149764299</v>
      </c>
      <c r="G72" t="str">
        <f>"Line "&amp;A70&amp;" * Line "&amp;A71&amp;""</f>
        <v>Line 42 * Line 43</v>
      </c>
      <c r="J72" s="236">
        <f>J70-J71</f>
        <v>-5052.1868730783463</v>
      </c>
    </row>
    <row r="73" spans="1:12" x14ac:dyDescent="0.2">
      <c r="A73" s="164">
        <f>A72+1</f>
        <v>45</v>
      </c>
      <c r="B73" s="208"/>
      <c r="D73" s="175" t="s">
        <v>103</v>
      </c>
      <c r="E73" s="168">
        <f>E68+E70+E72</f>
        <v>1014299779.1105522</v>
      </c>
      <c r="G73" t="str">
        <f>"L "&amp;A68&amp;" + L "&amp;A70&amp;" + L "&amp;A72&amp;""</f>
        <v>L 40 + L 42 + L 44</v>
      </c>
      <c r="K73" s="237">
        <f>J72</f>
        <v>-5052.1868730783463</v>
      </c>
      <c r="L73" s="238" t="s">
        <v>444</v>
      </c>
    </row>
    <row r="74" spans="1:12" x14ac:dyDescent="0.2">
      <c r="B74" s="204" t="s">
        <v>104</v>
      </c>
      <c r="D74" s="173"/>
      <c r="E74" s="170"/>
      <c r="H74" s="56"/>
      <c r="K74" s="177"/>
    </row>
    <row r="75" spans="1:12" x14ac:dyDescent="0.2">
      <c r="A75" s="164"/>
      <c r="B75" s="169" t="s">
        <v>365</v>
      </c>
      <c r="C75" s="204"/>
      <c r="D75" s="173"/>
      <c r="E75" s="170"/>
      <c r="K75" s="170"/>
    </row>
    <row r="76" spans="1:12" x14ac:dyDescent="0.2">
      <c r="A76" s="164"/>
      <c r="B76" s="169" t="s">
        <v>366</v>
      </c>
      <c r="C76" s="204"/>
      <c r="D76" s="173"/>
      <c r="E76" s="170"/>
    </row>
    <row r="77" spans="1:12" x14ac:dyDescent="0.2">
      <c r="A77" s="164"/>
      <c r="B77" s="201" t="s">
        <v>105</v>
      </c>
      <c r="C77" s="169"/>
      <c r="D77" s="173"/>
      <c r="E77" s="170"/>
    </row>
    <row r="78" spans="1:12" x14ac:dyDescent="0.2">
      <c r="A78" s="164"/>
      <c r="B78" s="201" t="s">
        <v>106</v>
      </c>
      <c r="D78" s="173"/>
      <c r="E78" s="170"/>
    </row>
    <row r="79" spans="1:12" x14ac:dyDescent="0.2">
      <c r="A79" s="164"/>
    </row>
    <row r="80" spans="1:12" x14ac:dyDescent="0.2">
      <c r="A80" s="164"/>
      <c r="B80" s="169" t="s">
        <v>107</v>
      </c>
    </row>
    <row r="81" spans="1:12" x14ac:dyDescent="0.2">
      <c r="A81" s="164"/>
      <c r="B81" s="169"/>
      <c r="C81" s="169" t="s">
        <v>108</v>
      </c>
    </row>
    <row r="82" spans="1:12" x14ac:dyDescent="0.2">
      <c r="A82" s="164"/>
      <c r="B82" s="169"/>
      <c r="J82" s="164" t="s">
        <v>109</v>
      </c>
    </row>
    <row r="83" spans="1:12" x14ac:dyDescent="0.2">
      <c r="A83" s="164"/>
      <c r="E83" s="166" t="s">
        <v>110</v>
      </c>
      <c r="F83" s="188" t="s">
        <v>96</v>
      </c>
      <c r="G83" s="166" t="s">
        <v>111</v>
      </c>
      <c r="H83" s="166" t="s">
        <v>112</v>
      </c>
      <c r="J83" s="166" t="s">
        <v>113</v>
      </c>
    </row>
    <row r="84" spans="1:12" x14ac:dyDescent="0.2">
      <c r="B84" s="198" t="s">
        <v>114</v>
      </c>
      <c r="C84" s="169" t="s">
        <v>115</v>
      </c>
      <c r="E84" s="214">
        <v>9.8000000000000004E-2</v>
      </c>
      <c r="F84" t="s">
        <v>486</v>
      </c>
      <c r="G84" s="239" t="s">
        <v>367</v>
      </c>
      <c r="H84" s="240" t="s">
        <v>368</v>
      </c>
      <c r="I84" s="169"/>
      <c r="J84" s="181">
        <v>365</v>
      </c>
      <c r="K84" s="169"/>
      <c r="L84" s="169"/>
    </row>
    <row r="85" spans="1:12" x14ac:dyDescent="0.2">
      <c r="B85" s="198" t="s">
        <v>116</v>
      </c>
      <c r="C85" s="169" t="s">
        <v>117</v>
      </c>
      <c r="E85" s="241">
        <v>9.8000000000000004E-2</v>
      </c>
      <c r="F85" s="169" t="s">
        <v>118</v>
      </c>
      <c r="G85" s="239"/>
      <c r="H85" s="240"/>
      <c r="I85" s="169"/>
      <c r="J85" s="181"/>
      <c r="K85" s="169"/>
      <c r="L85" s="169"/>
    </row>
    <row r="86" spans="1:12" x14ac:dyDescent="0.2">
      <c r="B86" s="198" t="s">
        <v>119</v>
      </c>
      <c r="C86" s="169"/>
      <c r="E86" s="213"/>
      <c r="F86" s="169"/>
      <c r="G86" s="200"/>
      <c r="H86" s="200"/>
      <c r="I86" s="175" t="s">
        <v>120</v>
      </c>
      <c r="J86" s="169">
        <f>SUM(J84:J85)</f>
        <v>365</v>
      </c>
      <c r="K86" s="169"/>
      <c r="L86" s="169"/>
    </row>
    <row r="87" spans="1:12" x14ac:dyDescent="0.2">
      <c r="B87" s="198" t="s">
        <v>121</v>
      </c>
      <c r="C87" s="169" t="s">
        <v>122</v>
      </c>
      <c r="E87" s="214">
        <f>((E84*J84) + (E85* J85)) / J86</f>
        <v>9.8000000000000004E-2</v>
      </c>
      <c r="F87" s="169" t="s">
        <v>123</v>
      </c>
      <c r="H87" s="169"/>
      <c r="I87" s="169"/>
      <c r="J87" s="169"/>
      <c r="K87" s="169"/>
      <c r="L87" s="169"/>
    </row>
    <row r="88" spans="1:12" x14ac:dyDescent="0.2">
      <c r="A88" s="164"/>
      <c r="B88" s="169"/>
      <c r="H88" s="169"/>
      <c r="I88" s="169"/>
      <c r="J88" s="169"/>
      <c r="K88" s="169"/>
      <c r="L88" s="169"/>
    </row>
    <row r="89" spans="1:12" x14ac:dyDescent="0.2">
      <c r="A89" s="164"/>
      <c r="B89" s="169" t="s">
        <v>124</v>
      </c>
      <c r="H89" s="169"/>
      <c r="I89" s="169"/>
      <c r="J89" s="169"/>
      <c r="K89" s="169"/>
      <c r="L89" s="169"/>
    </row>
    <row r="90" spans="1:12" x14ac:dyDescent="0.2">
      <c r="A90" s="164"/>
      <c r="B90" s="169"/>
      <c r="E90" s="188" t="s">
        <v>96</v>
      </c>
      <c r="H90" s="169"/>
      <c r="I90" s="169"/>
      <c r="J90" s="169"/>
      <c r="K90" s="169"/>
      <c r="L90" s="169"/>
    </row>
    <row r="91" spans="1:12" x14ac:dyDescent="0.2">
      <c r="B91" s="198" t="s">
        <v>125</v>
      </c>
      <c r="C91" s="169" t="s">
        <v>126</v>
      </c>
      <c r="E91" s="161" t="s">
        <v>369</v>
      </c>
      <c r="F91" s="161"/>
      <c r="G91" s="161"/>
      <c r="H91" s="181"/>
      <c r="I91" s="181"/>
      <c r="J91" s="181"/>
      <c r="K91" s="169"/>
      <c r="L91" s="169"/>
    </row>
    <row r="92" spans="1:12" x14ac:dyDescent="0.2">
      <c r="B92" s="198" t="s">
        <v>127</v>
      </c>
      <c r="C92" s="169" t="s">
        <v>128</v>
      </c>
      <c r="E92" s="161" t="s">
        <v>369</v>
      </c>
      <c r="F92" s="161"/>
      <c r="G92" s="161"/>
      <c r="H92" s="181"/>
      <c r="I92" s="181"/>
      <c r="J92" s="181"/>
      <c r="K92" s="169"/>
      <c r="L92" s="169"/>
    </row>
    <row r="93" spans="1:12" x14ac:dyDescent="0.2">
      <c r="C93" s="169"/>
      <c r="E93" s="200"/>
      <c r="I93" s="169"/>
      <c r="J93" s="169"/>
      <c r="K93" s="169"/>
      <c r="L93" s="169"/>
    </row>
    <row r="94" spans="1:12" x14ac:dyDescent="0.2">
      <c r="E94" s="166" t="s">
        <v>110</v>
      </c>
      <c r="F94" s="188" t="s">
        <v>96</v>
      </c>
      <c r="H94" s="169"/>
      <c r="I94" s="169"/>
    </row>
    <row r="95" spans="1:12" x14ac:dyDescent="0.2">
      <c r="B95" s="198" t="s">
        <v>129</v>
      </c>
      <c r="C95" s="169" t="s">
        <v>130</v>
      </c>
      <c r="D95" s="169"/>
      <c r="E95" s="179">
        <v>1.9907646765737794E-2</v>
      </c>
      <c r="F95" t="s">
        <v>487</v>
      </c>
      <c r="H95" s="169"/>
      <c r="I95" s="169"/>
    </row>
    <row r="96" spans="1:12" x14ac:dyDescent="0.2">
      <c r="B96" s="198" t="s">
        <v>131</v>
      </c>
      <c r="C96" s="169" t="s">
        <v>132</v>
      </c>
      <c r="E96" s="179">
        <v>4.9514327156233075E-3</v>
      </c>
      <c r="F96" t="s">
        <v>469</v>
      </c>
      <c r="H96" s="169"/>
      <c r="I96" s="169"/>
    </row>
    <row r="97" spans="1:10" x14ac:dyDescent="0.2">
      <c r="B97" s="198" t="s">
        <v>133</v>
      </c>
      <c r="C97" s="169" t="s">
        <v>134</v>
      </c>
      <c r="E97" s="178">
        <v>4.7640626543274063E-2</v>
      </c>
      <c r="F97" t="s">
        <v>488</v>
      </c>
      <c r="G97" s="169"/>
      <c r="H97" s="169"/>
    </row>
    <row r="98" spans="1:10" x14ac:dyDescent="0.2">
      <c r="B98" s="164" t="s">
        <v>135</v>
      </c>
      <c r="C98" s="176" t="s">
        <v>68</v>
      </c>
      <c r="E98" s="209">
        <f>SUM(E95:E97)</f>
        <v>7.2499706024635166E-2</v>
      </c>
      <c r="F98" s="170" t="str">
        <f>"Sum of Lines "&amp;B92&amp;" to "&amp;B96&amp;""</f>
        <v>Sum of Lines f to h</v>
      </c>
      <c r="G98" s="199"/>
      <c r="J98" s="219"/>
    </row>
    <row r="99" spans="1:10" x14ac:dyDescent="0.2">
      <c r="A99" s="164"/>
      <c r="C99" s="65"/>
      <c r="D99" s="66"/>
      <c r="E99" s="170"/>
      <c r="F99" s="170"/>
      <c r="G99" s="199"/>
      <c r="H99" s="170"/>
      <c r="J99" s="219"/>
    </row>
    <row r="100" spans="1:10" x14ac:dyDescent="0.2">
      <c r="A100" s="164"/>
      <c r="B100" s="169" t="s">
        <v>136</v>
      </c>
    </row>
    <row r="101" spans="1:10" x14ac:dyDescent="0.2">
      <c r="A101" s="164"/>
    </row>
    <row r="102" spans="1:10" x14ac:dyDescent="0.2">
      <c r="A102" s="164"/>
      <c r="E102" s="166" t="s">
        <v>110</v>
      </c>
      <c r="F102" s="188" t="s">
        <v>96</v>
      </c>
    </row>
    <row r="103" spans="1:10" x14ac:dyDescent="0.2">
      <c r="B103" s="198" t="s">
        <v>137</v>
      </c>
      <c r="E103" s="179">
        <f>E96+E97</f>
        <v>5.2592059258897372E-2</v>
      </c>
      <c r="F103" s="170" t="str">
        <f>"Sum of Lines "&amp;B95&amp;" to "&amp;B96&amp;""</f>
        <v>Sum of Lines g to h</v>
      </c>
    </row>
    <row r="104" spans="1:10" x14ac:dyDescent="0.2">
      <c r="A104" s="164"/>
      <c r="E104" s="179"/>
      <c r="F104" s="170"/>
    </row>
    <row r="105" spans="1:10" x14ac:dyDescent="0.2">
      <c r="A105" s="164"/>
      <c r="B105" s="201" t="s">
        <v>370</v>
      </c>
      <c r="E105" s="199"/>
      <c r="F105" s="199"/>
      <c r="G105" s="199"/>
      <c r="H105" s="170"/>
    </row>
    <row r="106" spans="1:10" x14ac:dyDescent="0.2">
      <c r="A106" s="164"/>
      <c r="B106" s="169" t="s">
        <v>371</v>
      </c>
    </row>
    <row r="107" spans="1:10" x14ac:dyDescent="0.2">
      <c r="A107" s="164"/>
      <c r="B107" s="169" t="s">
        <v>372</v>
      </c>
      <c r="D107" s="164"/>
      <c r="E107" s="164"/>
      <c r="F107" s="164"/>
      <c r="G107" s="164"/>
      <c r="H107" s="164"/>
    </row>
    <row r="108" spans="1:10" x14ac:dyDescent="0.2">
      <c r="A108" s="164"/>
      <c r="B108" s="201" t="s">
        <v>373</v>
      </c>
      <c r="D108" s="164"/>
      <c r="E108" s="164"/>
      <c r="F108" s="164"/>
      <c r="G108" s="164"/>
      <c r="H108" s="164"/>
    </row>
    <row r="109" spans="1:10" x14ac:dyDescent="0.2">
      <c r="A109" s="164"/>
      <c r="B109" t="s">
        <v>374</v>
      </c>
      <c r="C109" s="67"/>
      <c r="D109" s="67"/>
      <c r="E109" s="166"/>
      <c r="F109" s="166"/>
      <c r="G109" s="166"/>
      <c r="H109" s="166"/>
    </row>
    <row r="110" spans="1:10" x14ac:dyDescent="0.2">
      <c r="A110" s="164"/>
    </row>
    <row r="111" spans="1:10" x14ac:dyDescent="0.2">
      <c r="A111" s="164"/>
    </row>
    <row r="112" spans="1:10" x14ac:dyDescent="0.2">
      <c r="A112" s="164"/>
    </row>
    <row r="113" spans="1:10" x14ac:dyDescent="0.2">
      <c r="A113" s="164"/>
      <c r="C113" s="65"/>
      <c r="E113" s="170"/>
      <c r="F113" s="170"/>
      <c r="H113" s="170"/>
      <c r="J113" s="219"/>
    </row>
    <row r="114" spans="1:10" x14ac:dyDescent="0.2">
      <c r="A114" s="164"/>
      <c r="C114" s="65"/>
      <c r="E114" s="170"/>
      <c r="F114" s="170"/>
      <c r="H114" s="170"/>
      <c r="J114" s="219"/>
    </row>
    <row r="115" spans="1:10" x14ac:dyDescent="0.2">
      <c r="A115" s="165"/>
      <c r="C115" s="65"/>
      <c r="E115" s="170"/>
      <c r="F115" s="170"/>
      <c r="H115" s="170"/>
      <c r="J115" s="219"/>
    </row>
    <row r="116" spans="1:10" x14ac:dyDescent="0.2">
      <c r="A116" s="164"/>
      <c r="D116" s="68"/>
      <c r="E116" s="170"/>
      <c r="F116" s="170"/>
      <c r="G116" s="169"/>
      <c r="H116" s="170"/>
      <c r="J116" s="219"/>
    </row>
    <row r="117" spans="1:10" x14ac:dyDescent="0.2">
      <c r="A117" s="164"/>
      <c r="C117" s="65"/>
      <c r="D117" s="175"/>
      <c r="E117" s="177"/>
      <c r="F117" s="170"/>
      <c r="G117" s="169"/>
      <c r="H117" s="170"/>
      <c r="J117" s="219"/>
    </row>
    <row r="118" spans="1:10" x14ac:dyDescent="0.2">
      <c r="A118" s="164"/>
      <c r="C118" s="65"/>
      <c r="D118" s="175"/>
      <c r="E118" s="170"/>
      <c r="F118" s="170"/>
      <c r="G118" s="169"/>
      <c r="H118" s="170"/>
      <c r="J118" s="219"/>
    </row>
    <row r="119" spans="1:10" x14ac:dyDescent="0.2">
      <c r="A119" s="164"/>
    </row>
    <row r="120" spans="1:10" x14ac:dyDescent="0.2">
      <c r="A120" s="164"/>
      <c r="B120" s="159"/>
    </row>
    <row r="121" spans="1:10" x14ac:dyDescent="0.2">
      <c r="A121" s="164"/>
    </row>
    <row r="122" spans="1:10" x14ac:dyDescent="0.2">
      <c r="A122" s="164"/>
    </row>
    <row r="123" spans="1:10" x14ac:dyDescent="0.2">
      <c r="A123" s="164"/>
      <c r="F123" s="164"/>
    </row>
    <row r="124" spans="1:10" x14ac:dyDescent="0.2">
      <c r="A124" s="164"/>
      <c r="F124" s="164"/>
    </row>
    <row r="125" spans="1:10" x14ac:dyDescent="0.2">
      <c r="A125" s="164"/>
      <c r="D125" s="164"/>
      <c r="E125" s="164"/>
      <c r="F125" s="164"/>
      <c r="H125" s="164"/>
    </row>
    <row r="126" spans="1:10" x14ac:dyDescent="0.2">
      <c r="A126" s="164"/>
      <c r="D126" s="164"/>
      <c r="E126" s="164"/>
      <c r="F126" s="164"/>
      <c r="G126" s="164"/>
      <c r="H126" s="198"/>
    </row>
    <row r="127" spans="1:10" x14ac:dyDescent="0.2">
      <c r="A127" s="165"/>
      <c r="C127" s="67"/>
      <c r="D127" s="67"/>
      <c r="E127" s="166"/>
      <c r="F127" s="163"/>
      <c r="G127" s="166"/>
      <c r="H127" s="198"/>
    </row>
    <row r="128" spans="1:10" x14ac:dyDescent="0.2">
      <c r="A128" s="164"/>
      <c r="C128" s="65"/>
      <c r="D128" s="66"/>
      <c r="E128" s="170"/>
      <c r="F128" s="170"/>
      <c r="G128" s="214"/>
      <c r="H128" s="170"/>
    </row>
    <row r="129" spans="1:8" x14ac:dyDescent="0.2">
      <c r="A129" s="164"/>
      <c r="C129" s="65"/>
      <c r="D129" s="66"/>
      <c r="E129" s="170"/>
      <c r="F129" s="170"/>
      <c r="G129" s="214"/>
      <c r="H129" s="170"/>
    </row>
    <row r="130" spans="1:8" x14ac:dyDescent="0.2">
      <c r="A130" s="164"/>
      <c r="C130" s="65"/>
      <c r="D130" s="66"/>
      <c r="E130" s="170"/>
      <c r="F130" s="170"/>
      <c r="G130" s="214"/>
      <c r="H130" s="170"/>
    </row>
    <row r="131" spans="1:8" x14ac:dyDescent="0.2">
      <c r="A131" s="164"/>
      <c r="C131" s="65"/>
      <c r="D131" s="66"/>
      <c r="E131" s="170"/>
      <c r="F131" s="170"/>
      <c r="G131" s="214"/>
      <c r="H131" s="170"/>
    </row>
    <row r="132" spans="1:8" x14ac:dyDescent="0.2">
      <c r="A132" s="164"/>
      <c r="C132" s="65"/>
      <c r="D132" s="66"/>
      <c r="E132" s="170"/>
      <c r="F132" s="170"/>
      <c r="G132" s="214"/>
      <c r="H132" s="170"/>
    </row>
    <row r="133" spans="1:8" x14ac:dyDescent="0.2">
      <c r="A133" s="164"/>
      <c r="C133" s="65"/>
      <c r="D133" s="66"/>
      <c r="E133" s="170"/>
      <c r="F133" s="170"/>
      <c r="G133" s="214"/>
      <c r="H133" s="170"/>
    </row>
    <row r="134" spans="1:8" x14ac:dyDescent="0.2">
      <c r="A134" s="164"/>
      <c r="C134" s="65"/>
      <c r="D134" s="66"/>
      <c r="E134" s="170"/>
      <c r="F134" s="170"/>
      <c r="G134" s="214"/>
      <c r="H134" s="170"/>
    </row>
    <row r="135" spans="1:8" x14ac:dyDescent="0.2">
      <c r="A135" s="164"/>
      <c r="C135" s="65"/>
      <c r="D135" s="66"/>
      <c r="E135" s="170"/>
      <c r="F135" s="170"/>
      <c r="G135" s="214"/>
      <c r="H135" s="170"/>
    </row>
    <row r="136" spans="1:8" x14ac:dyDescent="0.2">
      <c r="A136" s="164"/>
      <c r="C136" s="65"/>
      <c r="D136" s="66"/>
      <c r="E136" s="170"/>
      <c r="F136" s="170"/>
      <c r="G136" s="214"/>
      <c r="H136" s="170"/>
    </row>
    <row r="137" spans="1:8" x14ac:dyDescent="0.2">
      <c r="A137" s="164"/>
      <c r="C137" s="65"/>
      <c r="D137" s="66"/>
      <c r="E137" s="170"/>
      <c r="F137" s="170"/>
      <c r="G137" s="214"/>
      <c r="H137" s="170"/>
    </row>
    <row r="138" spans="1:8" x14ac:dyDescent="0.2">
      <c r="A138" s="164"/>
      <c r="C138" s="65"/>
      <c r="D138" s="66"/>
      <c r="E138" s="170"/>
      <c r="F138" s="170"/>
      <c r="G138" s="214"/>
      <c r="H138" s="170"/>
    </row>
    <row r="139" spans="1:8" x14ac:dyDescent="0.2">
      <c r="A139" s="164"/>
      <c r="C139" s="65"/>
      <c r="D139" s="66"/>
      <c r="E139" s="170"/>
      <c r="F139" s="170"/>
      <c r="G139" s="214"/>
      <c r="H139" s="177"/>
    </row>
    <row r="140" spans="1:8" x14ac:dyDescent="0.2">
      <c r="A140" s="164"/>
      <c r="H140" s="170"/>
    </row>
    <row r="141" spans="1:8" x14ac:dyDescent="0.2">
      <c r="A141" s="164"/>
      <c r="C141" s="65"/>
      <c r="D141" s="66"/>
      <c r="F141" s="220"/>
      <c r="G141" s="214"/>
      <c r="H141" s="220"/>
    </row>
    <row r="142" spans="1:8" x14ac:dyDescent="0.2">
      <c r="A142" s="164"/>
      <c r="B142" s="159"/>
      <c r="C142" s="65"/>
      <c r="D142" s="66"/>
      <c r="F142" s="220"/>
      <c r="G142" s="214"/>
      <c r="H142" s="220"/>
    </row>
    <row r="143" spans="1:8" x14ac:dyDescent="0.2">
      <c r="A143" s="165"/>
      <c r="B143" s="159"/>
      <c r="C143" s="65"/>
      <c r="D143" s="66"/>
      <c r="F143" s="220"/>
      <c r="G143" s="214"/>
      <c r="H143" s="220"/>
    </row>
    <row r="144" spans="1:8" x14ac:dyDescent="0.2">
      <c r="A144" s="164"/>
      <c r="C144" s="65"/>
      <c r="D144" s="71"/>
      <c r="E144" s="170"/>
      <c r="F144" s="221"/>
      <c r="G144" s="214"/>
      <c r="H144" s="220"/>
    </row>
    <row r="145" spans="1:8" x14ac:dyDescent="0.2">
      <c r="A145" s="164"/>
      <c r="C145" s="65"/>
      <c r="D145" s="173"/>
      <c r="E145" s="170"/>
      <c r="F145" s="221"/>
      <c r="G145" s="214"/>
      <c r="H145" s="220"/>
    </row>
    <row r="146" spans="1:8" x14ac:dyDescent="0.2">
      <c r="A146" s="164"/>
      <c r="C146" s="65"/>
      <c r="D146" s="173"/>
      <c r="E146" s="177"/>
      <c r="F146" s="221"/>
      <c r="G146" s="214"/>
      <c r="H146" s="220"/>
    </row>
    <row r="147" spans="1:8" x14ac:dyDescent="0.2">
      <c r="A147" s="164"/>
      <c r="C147" s="65"/>
      <c r="D147" s="71"/>
      <c r="E147" s="170"/>
      <c r="F147" s="220"/>
      <c r="G147" s="214"/>
      <c r="H147" s="220"/>
    </row>
    <row r="148" spans="1:8" x14ac:dyDescent="0.2">
      <c r="A148" s="164"/>
      <c r="C148" s="65"/>
      <c r="D148" s="66"/>
      <c r="F148" s="220"/>
      <c r="G148" s="214"/>
      <c r="H148" s="220"/>
    </row>
    <row r="149" spans="1:8" x14ac:dyDescent="0.2">
      <c r="A149" s="164"/>
    </row>
    <row r="150" spans="1:8" x14ac:dyDescent="0.2">
      <c r="A150" s="164"/>
    </row>
    <row r="151" spans="1:8" x14ac:dyDescent="0.2">
      <c r="A151" s="164"/>
    </row>
    <row r="152" spans="1:8" x14ac:dyDescent="0.2">
      <c r="A152" s="164"/>
      <c r="B152" s="159"/>
    </row>
    <row r="153" spans="1:8" x14ac:dyDescent="0.2">
      <c r="A153" s="164"/>
      <c r="B153" s="169"/>
    </row>
    <row r="154" spans="1:8" x14ac:dyDescent="0.2">
      <c r="A154" s="164"/>
      <c r="B154" s="169"/>
    </row>
    <row r="155" spans="1:8" x14ac:dyDescent="0.2">
      <c r="A155" s="164"/>
      <c r="B155" s="169"/>
    </row>
    <row r="156" spans="1:8" x14ac:dyDescent="0.2">
      <c r="A156" s="164"/>
    </row>
    <row r="157" spans="1:8" x14ac:dyDescent="0.2">
      <c r="A157" s="164"/>
      <c r="B157" s="159"/>
    </row>
    <row r="158" spans="1:8" x14ac:dyDescent="0.2">
      <c r="A158" s="164"/>
    </row>
    <row r="159" spans="1:8" x14ac:dyDescent="0.2">
      <c r="A159" s="165"/>
      <c r="C159" s="67"/>
      <c r="D159" s="166"/>
    </row>
    <row r="160" spans="1:8" x14ac:dyDescent="0.2">
      <c r="A160" s="164"/>
      <c r="C160" s="65"/>
      <c r="D160" s="222"/>
      <c r="F160" s="179"/>
    </row>
    <row r="161" spans="1:6" x14ac:dyDescent="0.2">
      <c r="A161" s="164"/>
      <c r="C161" s="65"/>
      <c r="D161" s="222"/>
      <c r="F161" s="179"/>
    </row>
    <row r="162" spans="1:6" x14ac:dyDescent="0.2">
      <c r="A162" s="164"/>
      <c r="C162" s="65"/>
      <c r="D162" s="222"/>
      <c r="F162" s="179"/>
    </row>
    <row r="163" spans="1:6" x14ac:dyDescent="0.2">
      <c r="A163" s="164"/>
      <c r="C163" s="65"/>
      <c r="D163" s="222"/>
      <c r="F163" s="179"/>
    </row>
    <row r="164" spans="1:6" x14ac:dyDescent="0.2">
      <c r="A164" s="164"/>
      <c r="C164" s="65"/>
      <c r="D164" s="222"/>
      <c r="F164" s="179"/>
    </row>
    <row r="165" spans="1:6" x14ac:dyDescent="0.2">
      <c r="A165" s="164"/>
      <c r="C165" s="65"/>
      <c r="D165" s="222"/>
      <c r="F165" s="179"/>
    </row>
    <row r="166" spans="1:6" x14ac:dyDescent="0.2">
      <c r="A166" s="164"/>
      <c r="C166" s="65"/>
      <c r="D166" s="222"/>
      <c r="F166" s="179"/>
    </row>
    <row r="167" spans="1:6" x14ac:dyDescent="0.2">
      <c r="A167" s="164"/>
      <c r="C167" s="65"/>
      <c r="D167" s="222"/>
      <c r="F167" s="179"/>
    </row>
    <row r="168" spans="1:6" x14ac:dyDescent="0.2">
      <c r="A168" s="164"/>
      <c r="C168" s="65"/>
      <c r="D168" s="222"/>
      <c r="F168" s="179"/>
    </row>
    <row r="169" spans="1:6" x14ac:dyDescent="0.2">
      <c r="A169" s="164"/>
      <c r="C169" s="65"/>
      <c r="D169" s="222"/>
      <c r="F169" s="179"/>
    </row>
    <row r="170" spans="1:6" x14ac:dyDescent="0.2">
      <c r="A170" s="164"/>
      <c r="C170" s="65"/>
      <c r="D170" s="222"/>
      <c r="F170" s="179"/>
    </row>
    <row r="171" spans="1:6" x14ac:dyDescent="0.2">
      <c r="A171" s="164"/>
      <c r="C171" s="65"/>
      <c r="D171" s="223"/>
      <c r="F171" s="178"/>
    </row>
    <row r="172" spans="1:6" x14ac:dyDescent="0.2">
      <c r="A172" s="164"/>
      <c r="C172" s="68"/>
      <c r="D172" s="222"/>
    </row>
  </sheetData>
  <mergeCells count="1">
    <mergeCell ref="K71:L71"/>
  </mergeCells>
  <pageMargins left="0.75" right="0.75" top="1" bottom="1" header="0.5" footer="0.5"/>
  <pageSetup scale="70" orientation="landscape" cellComments="asDisplayed" r:id="rId1"/>
  <headerFooter alignWithMargins="0">
    <oddHeader>&amp;CSchedule 4
True Up TRR
(Revised 2017 
TO13 True Up TRR)&amp;RTO2024 Annual Update
Attachment 4
WP-Schedule 3-One Time Adj Prior Period
Page &amp;P of &amp;N</oddHeader>
    <oddFooter>&amp;R&amp;A</oddFooter>
  </headerFooter>
  <rowBreaks count="4" manualBreakCount="4">
    <brk id="46" max="11"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69854-4E40-405F-B649-15E6B852122C}">
  <sheetPr>
    <tabColor rgb="FFFFCCCC"/>
  </sheetPr>
  <dimension ref="A1:X113"/>
  <sheetViews>
    <sheetView zoomScaleNormal="10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8" customWidth="1"/>
    <col min="11" max="11" width="11" bestFit="1" customWidth="1"/>
  </cols>
  <sheetData>
    <row r="1" spans="1:24" x14ac:dyDescent="0.2">
      <c r="A1" s="159" t="s">
        <v>170</v>
      </c>
      <c r="F1" s="160" t="s">
        <v>171</v>
      </c>
      <c r="G1" s="161"/>
      <c r="H1" s="162"/>
      <c r="I1" s="162"/>
    </row>
    <row r="2" spans="1:24" x14ac:dyDescent="0.2">
      <c r="E2" s="163" t="s">
        <v>172</v>
      </c>
      <c r="F2" s="163" t="s">
        <v>173</v>
      </c>
      <c r="G2" s="163" t="s">
        <v>174</v>
      </c>
      <c r="H2" s="163" t="s">
        <v>175</v>
      </c>
      <c r="I2" s="162"/>
    </row>
    <row r="3" spans="1:24" x14ac:dyDescent="0.2">
      <c r="G3" s="162" t="s">
        <v>176</v>
      </c>
    </row>
    <row r="4" spans="1:24" x14ac:dyDescent="0.2">
      <c r="E4" s="164" t="s">
        <v>177</v>
      </c>
      <c r="F4" s="110" t="s">
        <v>178</v>
      </c>
      <c r="G4" s="164" t="s">
        <v>179</v>
      </c>
      <c r="I4" s="164"/>
    </row>
    <row r="5" spans="1:24" x14ac:dyDescent="0.2">
      <c r="A5" s="165" t="s">
        <v>39</v>
      </c>
      <c r="B5" s="166"/>
      <c r="C5" s="166" t="s">
        <v>180</v>
      </c>
      <c r="D5" s="166" t="s">
        <v>31</v>
      </c>
      <c r="E5" s="166" t="s">
        <v>32</v>
      </c>
      <c r="F5" s="67" t="s">
        <v>33</v>
      </c>
      <c r="G5" s="166" t="s">
        <v>181</v>
      </c>
      <c r="H5" s="166" t="s">
        <v>82</v>
      </c>
      <c r="I5" s="166" t="s">
        <v>42</v>
      </c>
      <c r="K5" s="166"/>
      <c r="L5" s="166"/>
      <c r="M5" s="166"/>
      <c r="N5" s="166"/>
      <c r="O5" s="166"/>
      <c r="P5" s="166"/>
      <c r="Q5" s="166"/>
      <c r="R5" s="166"/>
      <c r="S5" s="166"/>
      <c r="T5" s="166"/>
      <c r="U5" s="166"/>
      <c r="V5" s="166"/>
      <c r="W5" s="166"/>
      <c r="X5" s="166"/>
    </row>
    <row r="6" spans="1:24" x14ac:dyDescent="0.2">
      <c r="A6" s="164">
        <v>1</v>
      </c>
      <c r="C6" s="162">
        <v>920</v>
      </c>
      <c r="D6" t="s">
        <v>182</v>
      </c>
      <c r="E6" s="167">
        <v>354859044</v>
      </c>
      <c r="F6" s="162" t="s">
        <v>183</v>
      </c>
      <c r="G6" s="170">
        <f>D37</f>
        <v>69867000.913848624</v>
      </c>
      <c r="H6" s="170">
        <f t="shared" ref="H6:H19" si="0">E6-G6</f>
        <v>284992043.08615136</v>
      </c>
      <c r="J6" s="169"/>
    </row>
    <row r="7" spans="1:24" x14ac:dyDescent="0.2">
      <c r="A7" s="164">
        <f>A6+1</f>
        <v>2</v>
      </c>
      <c r="C7" s="162">
        <v>921</v>
      </c>
      <c r="D7" t="s">
        <v>184</v>
      </c>
      <c r="E7" s="167">
        <v>249803334</v>
      </c>
      <c r="F7" s="162" t="s">
        <v>185</v>
      </c>
      <c r="G7" s="170">
        <f t="shared" ref="G7:G19" si="1">D38</f>
        <v>5868285.4679282326</v>
      </c>
      <c r="H7" s="170">
        <f t="shared" si="0"/>
        <v>243935048.53207177</v>
      </c>
      <c r="J7" s="169"/>
    </row>
    <row r="8" spans="1:24" x14ac:dyDescent="0.2">
      <c r="A8" s="164">
        <f>A7+1</f>
        <v>3</v>
      </c>
      <c r="C8" s="162">
        <v>922</v>
      </c>
      <c r="D8" t="s">
        <v>186</v>
      </c>
      <c r="E8" s="167">
        <v>-145897634</v>
      </c>
      <c r="F8" s="162" t="s">
        <v>187</v>
      </c>
      <c r="G8" s="170">
        <f t="shared" si="1"/>
        <v>-48972720</v>
      </c>
      <c r="H8" s="170">
        <f t="shared" si="0"/>
        <v>-96924914</v>
      </c>
      <c r="I8" s="180" t="s">
        <v>188</v>
      </c>
      <c r="J8" s="169"/>
    </row>
    <row r="9" spans="1:24" x14ac:dyDescent="0.2">
      <c r="A9" s="164">
        <f t="shared" ref="A9:A20" si="2">A8+1</f>
        <v>4</v>
      </c>
      <c r="B9" s="164"/>
      <c r="C9" s="162">
        <v>923</v>
      </c>
      <c r="D9" t="s">
        <v>189</v>
      </c>
      <c r="E9" s="167">
        <v>54121017</v>
      </c>
      <c r="F9" s="162" t="s">
        <v>190</v>
      </c>
      <c r="G9" s="168">
        <f t="shared" si="1"/>
        <v>7846217.6600000001</v>
      </c>
      <c r="H9" s="168">
        <f t="shared" si="0"/>
        <v>46274799.340000004</v>
      </c>
      <c r="J9" s="169"/>
    </row>
    <row r="10" spans="1:24" x14ac:dyDescent="0.2">
      <c r="A10" s="164">
        <f t="shared" si="2"/>
        <v>5</v>
      </c>
      <c r="B10" s="164"/>
      <c r="C10" s="162">
        <v>924</v>
      </c>
      <c r="D10" t="s">
        <v>191</v>
      </c>
      <c r="E10" s="167">
        <v>14497978</v>
      </c>
      <c r="F10" s="162" t="s">
        <v>192</v>
      </c>
      <c r="G10" s="170">
        <f t="shared" si="1"/>
        <v>0</v>
      </c>
      <c r="H10" s="170">
        <f t="shared" si="0"/>
        <v>14497978</v>
      </c>
      <c r="J10" s="169"/>
    </row>
    <row r="11" spans="1:24" x14ac:dyDescent="0.2">
      <c r="A11" s="164">
        <f t="shared" si="2"/>
        <v>6</v>
      </c>
      <c r="B11" s="164"/>
      <c r="C11" s="162">
        <v>925</v>
      </c>
      <c r="D11" t="s">
        <v>193</v>
      </c>
      <c r="E11" s="167">
        <v>117581984</v>
      </c>
      <c r="F11" s="162" t="s">
        <v>194</v>
      </c>
      <c r="G11" s="170">
        <f t="shared" si="1"/>
        <v>3113513</v>
      </c>
      <c r="H11" s="170">
        <f t="shared" si="0"/>
        <v>114468471</v>
      </c>
      <c r="J11" s="169"/>
    </row>
    <row r="12" spans="1:24" x14ac:dyDescent="0.2">
      <c r="A12" s="164">
        <f t="shared" si="2"/>
        <v>7</v>
      </c>
      <c r="B12" s="164"/>
      <c r="C12" s="162">
        <v>926</v>
      </c>
      <c r="D12" t="s">
        <v>195</v>
      </c>
      <c r="E12" s="167">
        <v>142806958</v>
      </c>
      <c r="F12" s="162" t="s">
        <v>196</v>
      </c>
      <c r="G12" s="170">
        <f t="shared" si="1"/>
        <v>-15693853.432685971</v>
      </c>
      <c r="H12" s="170">
        <f t="shared" si="0"/>
        <v>158500811.43268597</v>
      </c>
      <c r="J12" s="169"/>
    </row>
    <row r="13" spans="1:24" x14ac:dyDescent="0.2">
      <c r="A13" s="164">
        <f t="shared" si="2"/>
        <v>8</v>
      </c>
      <c r="B13" s="164"/>
      <c r="C13" s="162">
        <v>927</v>
      </c>
      <c r="D13" t="s">
        <v>197</v>
      </c>
      <c r="E13" s="167">
        <v>110632750</v>
      </c>
      <c r="F13" s="162" t="s">
        <v>198</v>
      </c>
      <c r="G13" s="170">
        <f t="shared" si="1"/>
        <v>110632750</v>
      </c>
      <c r="H13" s="170">
        <f t="shared" si="0"/>
        <v>0</v>
      </c>
      <c r="J13" s="169"/>
    </row>
    <row r="14" spans="1:24" x14ac:dyDescent="0.2">
      <c r="A14" s="164">
        <f t="shared" si="2"/>
        <v>9</v>
      </c>
      <c r="B14" s="164"/>
      <c r="C14" s="162">
        <v>928</v>
      </c>
      <c r="D14" s="169" t="s">
        <v>199</v>
      </c>
      <c r="E14" s="167">
        <v>16012736</v>
      </c>
      <c r="F14" s="162" t="s">
        <v>200</v>
      </c>
      <c r="G14" s="170">
        <f t="shared" si="1"/>
        <v>17351998</v>
      </c>
      <c r="H14" s="170">
        <f t="shared" si="0"/>
        <v>-1339262</v>
      </c>
      <c r="J14" s="169"/>
    </row>
    <row r="15" spans="1:24" x14ac:dyDescent="0.2">
      <c r="A15" s="164">
        <f t="shared" si="2"/>
        <v>10</v>
      </c>
      <c r="B15" s="164"/>
      <c r="C15" s="162">
        <v>929</v>
      </c>
      <c r="D15" t="s">
        <v>201</v>
      </c>
      <c r="E15" s="167">
        <v>0</v>
      </c>
      <c r="F15" s="162" t="s">
        <v>202</v>
      </c>
      <c r="G15" s="170">
        <f t="shared" si="1"/>
        <v>0</v>
      </c>
      <c r="H15" s="170">
        <f t="shared" si="0"/>
        <v>0</v>
      </c>
      <c r="J15" s="169"/>
    </row>
    <row r="16" spans="1:24" x14ac:dyDescent="0.2">
      <c r="A16" s="164">
        <f t="shared" si="2"/>
        <v>11</v>
      </c>
      <c r="B16" s="164"/>
      <c r="C16" s="162">
        <v>930.1</v>
      </c>
      <c r="D16" t="s">
        <v>203</v>
      </c>
      <c r="E16" s="167">
        <v>5718074</v>
      </c>
      <c r="F16" s="162" t="s">
        <v>204</v>
      </c>
      <c r="G16" s="170">
        <f t="shared" si="1"/>
        <v>0</v>
      </c>
      <c r="H16" s="170">
        <f t="shared" si="0"/>
        <v>5718074</v>
      </c>
      <c r="J16" s="169"/>
    </row>
    <row r="17" spans="1:10" x14ac:dyDescent="0.2">
      <c r="A17" s="164">
        <f t="shared" si="2"/>
        <v>12</v>
      </c>
      <c r="B17" s="164"/>
      <c r="C17" s="162">
        <v>930.2</v>
      </c>
      <c r="D17" t="s">
        <v>205</v>
      </c>
      <c r="E17" s="167">
        <v>34422373</v>
      </c>
      <c r="F17" s="162" t="s">
        <v>206</v>
      </c>
      <c r="G17" s="170">
        <f t="shared" si="1"/>
        <v>24004995.530000001</v>
      </c>
      <c r="H17" s="170">
        <f t="shared" si="0"/>
        <v>10417377.469999999</v>
      </c>
      <c r="J17" s="169"/>
    </row>
    <row r="18" spans="1:10" x14ac:dyDescent="0.2">
      <c r="A18" s="164">
        <f t="shared" si="2"/>
        <v>13</v>
      </c>
      <c r="B18" s="164"/>
      <c r="C18" s="162">
        <v>931</v>
      </c>
      <c r="D18" t="s">
        <v>207</v>
      </c>
      <c r="E18" s="167">
        <v>6627867</v>
      </c>
      <c r="F18" s="162" t="s">
        <v>208</v>
      </c>
      <c r="G18" s="170">
        <f t="shared" si="1"/>
        <v>11411119</v>
      </c>
      <c r="H18" s="170">
        <f t="shared" si="0"/>
        <v>-4783252</v>
      </c>
      <c r="J18" s="169"/>
    </row>
    <row r="19" spans="1:10" x14ac:dyDescent="0.2">
      <c r="A19" s="164">
        <f t="shared" si="2"/>
        <v>14</v>
      </c>
      <c r="B19" s="164"/>
      <c r="C19" s="162">
        <v>935</v>
      </c>
      <c r="D19" t="s">
        <v>209</v>
      </c>
      <c r="E19" s="171">
        <v>13296044</v>
      </c>
      <c r="F19" s="162" t="s">
        <v>210</v>
      </c>
      <c r="G19" s="170">
        <f t="shared" si="1"/>
        <v>697671</v>
      </c>
      <c r="H19" s="177">
        <f t="shared" si="0"/>
        <v>12598373</v>
      </c>
      <c r="J19" s="169"/>
    </row>
    <row r="20" spans="1:10" x14ac:dyDescent="0.2">
      <c r="A20" s="164">
        <f t="shared" si="2"/>
        <v>15</v>
      </c>
      <c r="E20" s="170">
        <f>SUM(E6:E19)</f>
        <v>974482525</v>
      </c>
      <c r="G20" s="173" t="s">
        <v>211</v>
      </c>
      <c r="H20" s="174">
        <f>SUM(H6:H19)</f>
        <v>788355547.8609091</v>
      </c>
    </row>
    <row r="22" spans="1:10" x14ac:dyDescent="0.2">
      <c r="F22" s="166" t="s">
        <v>32</v>
      </c>
      <c r="G22" s="166" t="s">
        <v>33</v>
      </c>
    </row>
    <row r="23" spans="1:10" x14ac:dyDescent="0.2">
      <c r="A23" s="164">
        <f>A20+1</f>
        <v>16</v>
      </c>
      <c r="E23" s="175" t="s">
        <v>212</v>
      </c>
      <c r="F23" s="168">
        <f>H20</f>
        <v>788355547.8609091</v>
      </c>
      <c r="G23" s="176" t="str">
        <f>"Line "&amp;A20&amp;""</f>
        <v>Line 15</v>
      </c>
    </row>
    <row r="24" spans="1:10" x14ac:dyDescent="0.2">
      <c r="A24" s="164">
        <f t="shared" ref="A24:A30" si="3">A23+1</f>
        <v>17</v>
      </c>
      <c r="E24" s="175" t="s">
        <v>213</v>
      </c>
      <c r="F24" s="177">
        <f>E10</f>
        <v>14497978</v>
      </c>
      <c r="G24" s="176" t="str">
        <f>"Line "&amp;A10&amp;""</f>
        <v>Line 5</v>
      </c>
    </row>
    <row r="25" spans="1:10" x14ac:dyDescent="0.2">
      <c r="A25" s="164">
        <f t="shared" si="3"/>
        <v>18</v>
      </c>
      <c r="E25" s="175" t="s">
        <v>214</v>
      </c>
      <c r="F25" s="168">
        <f>F23-F24</f>
        <v>773857569.8609091</v>
      </c>
      <c r="G25" s="176" t="str">
        <f>"Line "&amp;A23&amp;" - Line "&amp;A24&amp;""</f>
        <v>Line 16 - Line 17</v>
      </c>
    </row>
    <row r="26" spans="1:10" x14ac:dyDescent="0.2">
      <c r="A26" s="164">
        <f t="shared" si="3"/>
        <v>19</v>
      </c>
      <c r="E26" s="173" t="s">
        <v>215</v>
      </c>
      <c r="F26" s="178">
        <v>5.6290212846604806E-2</v>
      </c>
      <c r="G26" s="176" t="s">
        <v>492</v>
      </c>
    </row>
    <row r="27" spans="1:10" x14ac:dyDescent="0.2">
      <c r="A27" s="164">
        <f t="shared" si="3"/>
        <v>20</v>
      </c>
      <c r="E27" s="175" t="s">
        <v>217</v>
      </c>
      <c r="F27" s="168">
        <f>F25*F26</f>
        <v>43560607.320426919</v>
      </c>
      <c r="G27" s="176" t="str">
        <f>"Line "&amp;A25&amp;" * Line "&amp;A26&amp;""</f>
        <v>Line 18 * Line 19</v>
      </c>
    </row>
    <row r="28" spans="1:10" x14ac:dyDescent="0.2">
      <c r="A28" s="164">
        <f t="shared" si="3"/>
        <v>21</v>
      </c>
      <c r="E28" s="175" t="s">
        <v>218</v>
      </c>
      <c r="F28" s="179">
        <v>0.19111474096755637</v>
      </c>
      <c r="G28" s="180" t="s">
        <v>493</v>
      </c>
    </row>
    <row r="29" spans="1:10" x14ac:dyDescent="0.2">
      <c r="A29" s="164">
        <f t="shared" si="3"/>
        <v>22</v>
      </c>
      <c r="E29" s="175" t="s">
        <v>220</v>
      </c>
      <c r="F29" s="177">
        <f>H10*F28</f>
        <v>2770777.3100233311</v>
      </c>
      <c r="G29" s="176" t="str">
        <f>"Line "&amp;A10&amp;" Col 4 * Line "&amp;A28&amp;""</f>
        <v>Line 5 Col 4 * Line 21</v>
      </c>
    </row>
    <row r="30" spans="1:10" x14ac:dyDescent="0.2">
      <c r="A30" s="164">
        <f t="shared" si="3"/>
        <v>23</v>
      </c>
      <c r="E30" s="175" t="s">
        <v>221</v>
      </c>
      <c r="F30" s="174">
        <f>F27+F29</f>
        <v>46331384.630450249</v>
      </c>
      <c r="G30" s="176" t="str">
        <f>"Line "&amp;A27&amp;" + Line "&amp;A29&amp;""</f>
        <v>Line 20 + Line 22</v>
      </c>
    </row>
    <row r="32" spans="1:10" x14ac:dyDescent="0.2">
      <c r="B32" s="159" t="s">
        <v>222</v>
      </c>
      <c r="E32" s="163" t="s">
        <v>172</v>
      </c>
      <c r="F32" s="163" t="s">
        <v>173</v>
      </c>
      <c r="G32" s="163" t="s">
        <v>174</v>
      </c>
      <c r="H32" s="163" t="s">
        <v>175</v>
      </c>
    </row>
    <row r="33" spans="1:11" x14ac:dyDescent="0.2">
      <c r="B33" s="159"/>
      <c r="E33" s="164" t="s">
        <v>223</v>
      </c>
      <c r="F33" s="163"/>
      <c r="G33" s="163"/>
      <c r="H33" s="163"/>
    </row>
    <row r="34" spans="1:11" x14ac:dyDescent="0.2">
      <c r="E34" s="164" t="s">
        <v>224</v>
      </c>
    </row>
    <row r="35" spans="1:11" x14ac:dyDescent="0.2">
      <c r="D35" s="164" t="s">
        <v>225</v>
      </c>
      <c r="E35" s="164" t="s">
        <v>226</v>
      </c>
      <c r="F35" s="164" t="s">
        <v>227</v>
      </c>
      <c r="G35" s="164"/>
      <c r="H35" s="164"/>
    </row>
    <row r="36" spans="1:11" x14ac:dyDescent="0.2">
      <c r="C36" s="166" t="s">
        <v>180</v>
      </c>
      <c r="D36" s="163" t="s">
        <v>228</v>
      </c>
      <c r="E36" s="166" t="s">
        <v>229</v>
      </c>
      <c r="F36" s="166" t="s">
        <v>230</v>
      </c>
      <c r="G36" s="166" t="s">
        <v>231</v>
      </c>
      <c r="H36" s="166" t="s">
        <v>232</v>
      </c>
      <c r="I36" s="166" t="s">
        <v>42</v>
      </c>
    </row>
    <row r="37" spans="1:11" x14ac:dyDescent="0.2">
      <c r="A37" s="164">
        <f>A30+1</f>
        <v>24</v>
      </c>
      <c r="C37" s="162">
        <v>920</v>
      </c>
      <c r="D37" s="185">
        <f>SUM(E37:H37)</f>
        <v>69867000.913848624</v>
      </c>
      <c r="E37" s="186">
        <v>-11516850.328934595</v>
      </c>
      <c r="F37" s="184"/>
      <c r="G37" s="170">
        <f>G59</f>
        <v>81383851.242783219</v>
      </c>
      <c r="H37" s="184"/>
      <c r="I37" s="176" t="s">
        <v>233</v>
      </c>
    </row>
    <row r="38" spans="1:11" x14ac:dyDescent="0.2">
      <c r="A38" s="164">
        <f>A37+1</f>
        <v>25</v>
      </c>
      <c r="C38" s="162">
        <v>921</v>
      </c>
      <c r="D38" s="185">
        <f t="shared" ref="D38:D50" si="4">SUM(E38:H38)</f>
        <v>5868285.4679282326</v>
      </c>
      <c r="E38" s="186">
        <v>5868285.4679282326</v>
      </c>
      <c r="F38" s="184"/>
      <c r="G38" s="184">
        <v>0</v>
      </c>
      <c r="H38" s="184"/>
      <c r="I38" s="180"/>
    </row>
    <row r="39" spans="1:11" ht="13.5" thickBot="1" x14ac:dyDescent="0.25">
      <c r="A39" s="164">
        <f t="shared" ref="A39:A50" si="5">A38+1</f>
        <v>26</v>
      </c>
      <c r="C39" s="162">
        <v>922</v>
      </c>
      <c r="D39" s="185">
        <f t="shared" si="4"/>
        <v>-48972720</v>
      </c>
      <c r="E39" s="186">
        <v>-7655813</v>
      </c>
      <c r="F39" s="184"/>
      <c r="G39" s="111">
        <v>-41316907</v>
      </c>
      <c r="H39" s="184"/>
      <c r="I39" s="180"/>
    </row>
    <row r="40" spans="1:11" ht="13.5" thickBot="1" x14ac:dyDescent="0.25">
      <c r="A40" s="164">
        <f t="shared" si="5"/>
        <v>27</v>
      </c>
      <c r="C40" s="162">
        <v>923</v>
      </c>
      <c r="D40" s="182">
        <f t="shared" si="4"/>
        <v>7846217.6600000001</v>
      </c>
      <c r="E40" s="183">
        <v>7846217.6600000001</v>
      </c>
      <c r="F40" s="184"/>
      <c r="G40" s="184">
        <v>0</v>
      </c>
      <c r="H40" s="184"/>
      <c r="I40" s="180"/>
      <c r="J40" s="166"/>
      <c r="K40" s="166"/>
    </row>
    <row r="41" spans="1:11" x14ac:dyDescent="0.2">
      <c r="A41" s="164">
        <f t="shared" si="5"/>
        <v>28</v>
      </c>
      <c r="C41" s="162">
        <v>924</v>
      </c>
      <c r="D41" s="185">
        <f t="shared" si="4"/>
        <v>0</v>
      </c>
      <c r="E41" s="186">
        <v>0</v>
      </c>
      <c r="F41" s="184"/>
      <c r="G41" s="184">
        <v>0</v>
      </c>
      <c r="H41" s="184"/>
      <c r="I41" s="180"/>
      <c r="K41" s="170"/>
    </row>
    <row r="42" spans="1:11" x14ac:dyDescent="0.2">
      <c r="A42" s="164">
        <f t="shared" si="5"/>
        <v>29</v>
      </c>
      <c r="C42" s="162">
        <v>925</v>
      </c>
      <c r="D42" s="185">
        <f t="shared" si="4"/>
        <v>3113513</v>
      </c>
      <c r="E42" s="186">
        <v>3113513</v>
      </c>
      <c r="F42" s="184"/>
      <c r="G42" s="184">
        <v>0</v>
      </c>
      <c r="H42" s="184"/>
      <c r="I42" s="176"/>
      <c r="K42" s="170"/>
    </row>
    <row r="43" spans="1:11" x14ac:dyDescent="0.2">
      <c r="A43" s="164">
        <f t="shared" si="5"/>
        <v>30</v>
      </c>
      <c r="C43" s="162">
        <v>926</v>
      </c>
      <c r="D43" s="185">
        <f t="shared" si="4"/>
        <v>-15693853.432685971</v>
      </c>
      <c r="E43" s="186">
        <v>19430852.567314029</v>
      </c>
      <c r="F43" s="184"/>
      <c r="G43" s="184">
        <v>0</v>
      </c>
      <c r="H43" s="170">
        <f>E71</f>
        <v>-35124706</v>
      </c>
      <c r="I43" s="176" t="s">
        <v>234</v>
      </c>
      <c r="K43" s="170"/>
    </row>
    <row r="44" spans="1:11" x14ac:dyDescent="0.2">
      <c r="A44" s="164">
        <f t="shared" si="5"/>
        <v>31</v>
      </c>
      <c r="C44" s="162">
        <v>927</v>
      </c>
      <c r="D44" s="185">
        <f t="shared" si="4"/>
        <v>110632750</v>
      </c>
      <c r="E44" s="170">
        <v>0</v>
      </c>
      <c r="F44" s="170">
        <f>E13</f>
        <v>110632750</v>
      </c>
      <c r="G44" s="170">
        <v>0</v>
      </c>
      <c r="H44" s="170">
        <v>0</v>
      </c>
      <c r="I44" s="180" t="s">
        <v>235</v>
      </c>
      <c r="K44" s="170"/>
    </row>
    <row r="45" spans="1:11" x14ac:dyDescent="0.2">
      <c r="A45" s="164">
        <f t="shared" si="5"/>
        <v>32</v>
      </c>
      <c r="C45" s="162">
        <v>928</v>
      </c>
      <c r="D45" s="185">
        <f t="shared" si="4"/>
        <v>17351998</v>
      </c>
      <c r="E45" s="186">
        <v>17351998</v>
      </c>
      <c r="F45" s="184"/>
      <c r="G45" s="111">
        <v>0</v>
      </c>
      <c r="H45" s="184"/>
      <c r="I45" s="180"/>
      <c r="K45" s="170"/>
    </row>
    <row r="46" spans="1:11" x14ac:dyDescent="0.2">
      <c r="A46" s="164">
        <f t="shared" si="5"/>
        <v>33</v>
      </c>
      <c r="C46" s="162">
        <v>929</v>
      </c>
      <c r="D46" s="185">
        <f t="shared" si="4"/>
        <v>0</v>
      </c>
      <c r="E46" s="186">
        <v>0</v>
      </c>
      <c r="F46" s="184"/>
      <c r="G46" s="111">
        <v>0</v>
      </c>
      <c r="H46" s="184"/>
      <c r="I46" s="180"/>
      <c r="K46" s="170"/>
    </row>
    <row r="47" spans="1:11" x14ac:dyDescent="0.2">
      <c r="A47" s="164">
        <f t="shared" si="5"/>
        <v>34</v>
      </c>
      <c r="C47" s="162">
        <v>930.1</v>
      </c>
      <c r="D47" s="185">
        <f t="shared" si="4"/>
        <v>0</v>
      </c>
      <c r="E47" s="186">
        <v>0</v>
      </c>
      <c r="F47" s="184"/>
      <c r="G47" s="111">
        <v>0</v>
      </c>
      <c r="H47" s="184"/>
      <c r="I47" s="180"/>
      <c r="K47" s="170"/>
    </row>
    <row r="48" spans="1:11" x14ac:dyDescent="0.2">
      <c r="A48" s="164">
        <f t="shared" si="5"/>
        <v>35</v>
      </c>
      <c r="C48" s="162">
        <v>930.2</v>
      </c>
      <c r="D48" s="185">
        <f t="shared" si="4"/>
        <v>24004995.530000001</v>
      </c>
      <c r="E48" s="186">
        <v>24004995.530000001</v>
      </c>
      <c r="F48" s="184"/>
      <c r="G48" s="111">
        <v>0</v>
      </c>
      <c r="H48" s="184"/>
      <c r="I48" s="180"/>
      <c r="J48" s="187"/>
    </row>
    <row r="49" spans="1:10" x14ac:dyDescent="0.2">
      <c r="A49" s="164">
        <f t="shared" si="5"/>
        <v>36</v>
      </c>
      <c r="C49" s="162">
        <v>931</v>
      </c>
      <c r="D49" s="185">
        <f t="shared" si="4"/>
        <v>11411119</v>
      </c>
      <c r="E49" s="186">
        <v>11411119</v>
      </c>
      <c r="F49" s="184"/>
      <c r="G49" s="111">
        <v>0</v>
      </c>
      <c r="H49" s="184"/>
      <c r="I49" s="180"/>
      <c r="J49" s="170"/>
    </row>
    <row r="50" spans="1:10" x14ac:dyDescent="0.2">
      <c r="A50" s="164">
        <f t="shared" si="5"/>
        <v>37</v>
      </c>
      <c r="C50" s="162">
        <v>935</v>
      </c>
      <c r="D50" s="185">
        <f t="shared" si="4"/>
        <v>697671</v>
      </c>
      <c r="E50" s="186">
        <v>697671</v>
      </c>
      <c r="F50" s="184"/>
      <c r="G50" s="111">
        <v>0</v>
      </c>
      <c r="H50" s="184"/>
      <c r="I50" s="180"/>
    </row>
    <row r="51" spans="1:10" x14ac:dyDescent="0.2">
      <c r="A51" s="164"/>
      <c r="C51" s="162"/>
      <c r="D51" s="185"/>
      <c r="E51" s="187"/>
      <c r="F51" s="170"/>
      <c r="G51" s="242"/>
      <c r="H51" s="170"/>
      <c r="I51" s="180"/>
    </row>
    <row r="52" spans="1:10" x14ac:dyDescent="0.2">
      <c r="B52" s="159" t="s">
        <v>236</v>
      </c>
    </row>
    <row r="53" spans="1:10" x14ac:dyDescent="0.2">
      <c r="B53" s="159"/>
      <c r="C53" t="s">
        <v>375</v>
      </c>
    </row>
    <row r="54" spans="1:10" x14ac:dyDescent="0.2">
      <c r="B54" s="159"/>
      <c r="C54" s="169" t="s">
        <v>237</v>
      </c>
      <c r="G54" s="164"/>
      <c r="H54" s="164"/>
    </row>
    <row r="55" spans="1:10" x14ac:dyDescent="0.2">
      <c r="B55" s="159"/>
      <c r="C55" s="56" t="s">
        <v>238</v>
      </c>
      <c r="D55" s="56"/>
      <c r="E55" s="56"/>
      <c r="G55" s="164"/>
      <c r="H55" s="164"/>
    </row>
    <row r="56" spans="1:10" x14ac:dyDescent="0.2">
      <c r="B56" s="159"/>
      <c r="G56" s="166" t="s">
        <v>32</v>
      </c>
      <c r="H56" s="166" t="s">
        <v>33</v>
      </c>
    </row>
    <row r="57" spans="1:10" x14ac:dyDescent="0.2">
      <c r="A57" s="164"/>
      <c r="B57" s="164" t="s">
        <v>114</v>
      </c>
      <c r="F57" s="175" t="s">
        <v>239</v>
      </c>
      <c r="G57" s="186">
        <v>103811324.56999999</v>
      </c>
      <c r="H57" s="176" t="s">
        <v>240</v>
      </c>
    </row>
    <row r="58" spans="1:10" x14ac:dyDescent="0.2">
      <c r="A58" s="164"/>
      <c r="B58" s="164" t="s">
        <v>116</v>
      </c>
      <c r="C58" s="169"/>
      <c r="F58" s="175" t="s">
        <v>241</v>
      </c>
      <c r="G58" s="177">
        <f>E62</f>
        <v>22427473.327216774</v>
      </c>
      <c r="H58" s="176" t="str">
        <f>"Note 2, "&amp;B62&amp;""</f>
        <v>Note 2, d</v>
      </c>
    </row>
    <row r="59" spans="1:10" x14ac:dyDescent="0.2">
      <c r="A59" s="164"/>
      <c r="B59" s="164" t="s">
        <v>119</v>
      </c>
      <c r="F59" s="175" t="s">
        <v>242</v>
      </c>
      <c r="G59" s="170">
        <f>G57-G58</f>
        <v>81383851.242783219</v>
      </c>
    </row>
    <row r="60" spans="1:10" x14ac:dyDescent="0.2">
      <c r="A60" s="164"/>
      <c r="C60" s="56" t="s">
        <v>243</v>
      </c>
      <c r="D60" s="56"/>
      <c r="E60" s="56"/>
      <c r="G60" s="170"/>
    </row>
    <row r="61" spans="1:10" x14ac:dyDescent="0.2">
      <c r="A61" s="164"/>
      <c r="D61" s="188" t="s">
        <v>244</v>
      </c>
      <c r="E61" s="166" t="s">
        <v>32</v>
      </c>
      <c r="F61" s="166" t="s">
        <v>33</v>
      </c>
      <c r="G61" s="170"/>
    </row>
    <row r="62" spans="1:10" x14ac:dyDescent="0.2">
      <c r="A62" s="164"/>
      <c r="B62" s="164" t="s">
        <v>121</v>
      </c>
      <c r="D62" t="s">
        <v>245</v>
      </c>
      <c r="E62" s="111">
        <v>22427473.327216774</v>
      </c>
      <c r="F62" s="176" t="s">
        <v>246</v>
      </c>
      <c r="G62" s="170"/>
    </row>
    <row r="63" spans="1:10" x14ac:dyDescent="0.2">
      <c r="A63" s="164"/>
      <c r="B63" s="164" t="s">
        <v>125</v>
      </c>
      <c r="D63" s="169" t="s">
        <v>247</v>
      </c>
      <c r="E63" s="111">
        <v>10140103.249080425</v>
      </c>
      <c r="F63" s="176" t="s">
        <v>246</v>
      </c>
      <c r="G63" s="170"/>
      <c r="I63" s="112"/>
    </row>
    <row r="64" spans="1:10" x14ac:dyDescent="0.2">
      <c r="A64" s="164"/>
      <c r="B64" s="164" t="s">
        <v>127</v>
      </c>
      <c r="D64" s="169" t="s">
        <v>248</v>
      </c>
      <c r="E64" s="113">
        <v>33565144.913702808</v>
      </c>
      <c r="F64" s="176" t="s">
        <v>246</v>
      </c>
      <c r="G64" s="170"/>
      <c r="I64" s="170"/>
    </row>
    <row r="65" spans="1:7" x14ac:dyDescent="0.2">
      <c r="A65" s="164"/>
      <c r="B65" s="164" t="s">
        <v>129</v>
      </c>
      <c r="D65" s="175" t="s">
        <v>249</v>
      </c>
      <c r="E65" s="170">
        <f>SUM(E62:E64)</f>
        <v>66132721.49000001</v>
      </c>
      <c r="F65" s="176" t="str">
        <f>"Sum of "&amp;B62&amp;" to "&amp;B64&amp;""</f>
        <v>Sum of d to f</v>
      </c>
      <c r="G65" s="170"/>
    </row>
    <row r="67" spans="1:7" x14ac:dyDescent="0.2">
      <c r="B67" s="159" t="s">
        <v>250</v>
      </c>
    </row>
    <row r="68" spans="1:7" x14ac:dyDescent="0.2">
      <c r="E68" s="166" t="s">
        <v>32</v>
      </c>
      <c r="F68" s="188" t="s">
        <v>251</v>
      </c>
    </row>
    <row r="69" spans="1:7" x14ac:dyDescent="0.2">
      <c r="A69" s="164"/>
      <c r="B69" s="164" t="s">
        <v>114</v>
      </c>
      <c r="D69" s="175" t="s">
        <v>376</v>
      </c>
      <c r="E69" s="189">
        <v>40171333</v>
      </c>
      <c r="F69" s="176" t="s">
        <v>253</v>
      </c>
    </row>
    <row r="70" spans="1:7" x14ac:dyDescent="0.2">
      <c r="A70" s="164"/>
      <c r="B70" s="164" t="s">
        <v>116</v>
      </c>
      <c r="D70" s="175" t="s">
        <v>256</v>
      </c>
      <c r="E70" s="191">
        <v>5046627</v>
      </c>
      <c r="F70" s="176" t="s">
        <v>240</v>
      </c>
    </row>
    <row r="71" spans="1:7" x14ac:dyDescent="0.2">
      <c r="A71" s="164"/>
      <c r="B71" s="164" t="s">
        <v>119</v>
      </c>
      <c r="D71" s="175" t="s">
        <v>257</v>
      </c>
      <c r="E71" s="170">
        <f>E70-E69</f>
        <v>-35124706</v>
      </c>
      <c r="F71" s="176" t="str">
        <f>""&amp;B70&amp;" - "&amp;B69&amp;""</f>
        <v>b - a</v>
      </c>
    </row>
    <row r="72" spans="1:7" x14ac:dyDescent="0.2">
      <c r="A72" s="164"/>
      <c r="B72" s="159" t="s">
        <v>258</v>
      </c>
      <c r="D72" s="175"/>
      <c r="E72" s="170"/>
      <c r="F72" s="176"/>
    </row>
    <row r="73" spans="1:7" x14ac:dyDescent="0.2">
      <c r="A73" s="164"/>
      <c r="B73" s="159"/>
      <c r="C73" t="str">
        <f>"Amount in Line "&amp;A44&amp;", column 2 equals amount in Line "&amp;A13&amp;", column 1 because all Franchise Requirements Expenses are excluded"</f>
        <v>Amount in Line 31, column 2 equals amount in Line 8, column 1 because all Franchise Requirements Expenses are excluded</v>
      </c>
      <c r="D73" s="175"/>
      <c r="E73" s="170"/>
      <c r="F73" s="176"/>
    </row>
    <row r="74" spans="1:7" x14ac:dyDescent="0.2">
      <c r="A74" s="164"/>
      <c r="B74" s="159"/>
      <c r="C74" s="169" t="s">
        <v>259</v>
      </c>
      <c r="D74" s="175"/>
      <c r="E74" s="170"/>
      <c r="F74" s="176"/>
    </row>
    <row r="76" spans="1:7" x14ac:dyDescent="0.2">
      <c r="B76" s="159" t="s">
        <v>104</v>
      </c>
    </row>
    <row r="77" spans="1:7" x14ac:dyDescent="0.2">
      <c r="C77" s="169" t="str">
        <f>"1) Enter amounts of A&amp;G expenses from FERC Form 1 in Lines "&amp;A6&amp;" to "&amp;A19&amp;"."</f>
        <v>1) Enter amounts of A&amp;G expenses from FERC Form 1 in Lines 1 to 14.</v>
      </c>
    </row>
    <row r="78" spans="1:7" x14ac:dyDescent="0.2">
      <c r="C78" s="169" t="s">
        <v>260</v>
      </c>
      <c r="G78" t="str">
        <f>"Column 3, Line "&amp;A37&amp;""</f>
        <v>Column 3, Line 24</v>
      </c>
    </row>
    <row r="79" spans="1:7" x14ac:dyDescent="0.2">
      <c r="C79" s="176" t="str">
        <f>"is calculated in Note 2.  The PBOPs exclusion in Column 4, Line "&amp;A43&amp;" is calculated in Note 3."</f>
        <v>is calculated in Note 2.  The PBOPs exclusion in Column 4, Line 30 is calculated in Note 3.</v>
      </c>
      <c r="G79" s="169"/>
    </row>
    <row r="80" spans="1:7" x14ac:dyDescent="0.2">
      <c r="C80" s="176" t="s">
        <v>261</v>
      </c>
    </row>
    <row r="81" spans="3:7" x14ac:dyDescent="0.2">
      <c r="C81" s="176" t="s">
        <v>262</v>
      </c>
      <c r="D81" s="175"/>
      <c r="E81" s="170"/>
      <c r="F81" s="176"/>
    </row>
    <row r="82" spans="3:7" x14ac:dyDescent="0.2">
      <c r="C82" s="176" t="s">
        <v>263</v>
      </c>
      <c r="D82" s="175"/>
      <c r="E82" s="170"/>
      <c r="F82" s="176"/>
    </row>
    <row r="83" spans="3:7" x14ac:dyDescent="0.2">
      <c r="C83" s="176" t="s">
        <v>264</v>
      </c>
    </row>
    <row r="84" spans="3:7" x14ac:dyDescent="0.2">
      <c r="C84" s="176" t="s">
        <v>265</v>
      </c>
    </row>
    <row r="85" spans="3:7" x14ac:dyDescent="0.2">
      <c r="C85" s="176" t="s">
        <v>266</v>
      </c>
    </row>
    <row r="86" spans="3:7" x14ac:dyDescent="0.2">
      <c r="C86" s="176" t="s">
        <v>267</v>
      </c>
    </row>
    <row r="87" spans="3:7" x14ac:dyDescent="0.2">
      <c r="C87" s="176" t="s">
        <v>268</v>
      </c>
    </row>
    <row r="88" spans="3:7" x14ac:dyDescent="0.2">
      <c r="C88" s="176" t="s">
        <v>269</v>
      </c>
      <c r="D88" s="169"/>
      <c r="E88" s="192"/>
      <c r="F88" s="192"/>
      <c r="G88" s="192"/>
    </row>
    <row r="89" spans="3:7" x14ac:dyDescent="0.2">
      <c r="C89" s="193" t="s">
        <v>270</v>
      </c>
      <c r="D89" s="169"/>
      <c r="E89" s="192"/>
      <c r="F89" s="192"/>
      <c r="G89" s="192"/>
    </row>
    <row r="90" spans="3:7" x14ac:dyDescent="0.2">
      <c r="C90" s="193" t="s">
        <v>271</v>
      </c>
      <c r="D90" s="169"/>
      <c r="E90" s="192"/>
      <c r="F90" s="192"/>
      <c r="G90" s="192"/>
    </row>
    <row r="91" spans="3:7" x14ac:dyDescent="0.2">
      <c r="C91" s="193" t="s">
        <v>272</v>
      </c>
      <c r="D91" s="169"/>
      <c r="E91" s="192"/>
      <c r="F91" s="192"/>
      <c r="G91" s="192"/>
    </row>
    <row r="92" spans="3:7" x14ac:dyDescent="0.2">
      <c r="C92" s="176" t="s">
        <v>273</v>
      </c>
      <c r="D92" s="169"/>
      <c r="E92" s="192"/>
      <c r="F92" s="192"/>
      <c r="G92" s="192"/>
    </row>
    <row r="93" spans="3:7" x14ac:dyDescent="0.2">
      <c r="C93" s="193" t="s">
        <v>274</v>
      </c>
      <c r="D93" s="169"/>
      <c r="E93" s="192"/>
      <c r="F93" s="192"/>
      <c r="G93" s="192"/>
    </row>
    <row r="94" spans="3:7" x14ac:dyDescent="0.2">
      <c r="C94" s="193" t="s">
        <v>275</v>
      </c>
      <c r="D94" s="169"/>
      <c r="E94" s="192"/>
      <c r="F94" s="192"/>
      <c r="G94" s="192"/>
    </row>
    <row r="95" spans="3:7" x14ac:dyDescent="0.2">
      <c r="C95" s="193" t="s">
        <v>377</v>
      </c>
      <c r="D95" s="169"/>
      <c r="E95" s="192"/>
      <c r="F95" s="192"/>
      <c r="G95" s="192"/>
    </row>
    <row r="96" spans="3:7" x14ac:dyDescent="0.2">
      <c r="C96" s="193" t="s">
        <v>277</v>
      </c>
      <c r="D96" s="169"/>
      <c r="E96" s="192"/>
      <c r="F96" s="192"/>
      <c r="G96" s="192"/>
    </row>
    <row r="97" spans="3:10" x14ac:dyDescent="0.2">
      <c r="C97" s="176" t="s">
        <v>378</v>
      </c>
      <c r="D97" s="169"/>
      <c r="E97" s="192"/>
      <c r="F97" s="192"/>
      <c r="G97" s="192"/>
      <c r="H97" s="192"/>
    </row>
    <row r="98" spans="3:10" x14ac:dyDescent="0.2">
      <c r="C98" s="193" t="s">
        <v>379</v>
      </c>
      <c r="D98" s="169"/>
      <c r="E98" s="192"/>
      <c r="F98" s="192"/>
      <c r="G98" s="192"/>
    </row>
    <row r="99" spans="3:10" x14ac:dyDescent="0.2">
      <c r="C99" s="243" t="s">
        <v>380</v>
      </c>
      <c r="D99" s="169"/>
      <c r="E99" s="192"/>
      <c r="F99" s="192"/>
      <c r="G99" s="192"/>
    </row>
    <row r="100" spans="3:10" x14ac:dyDescent="0.2">
      <c r="C100" s="243" t="s">
        <v>381</v>
      </c>
      <c r="D100" s="169"/>
      <c r="E100" s="192"/>
      <c r="F100" s="192"/>
      <c r="G100" s="192"/>
    </row>
    <row r="101" spans="3:10" x14ac:dyDescent="0.2">
      <c r="C101" s="243" t="s">
        <v>382</v>
      </c>
      <c r="D101" s="169"/>
      <c r="E101" s="192"/>
      <c r="F101" s="192"/>
      <c r="G101" s="192"/>
    </row>
    <row r="102" spans="3:10" x14ac:dyDescent="0.2">
      <c r="C102" s="243" t="s">
        <v>381</v>
      </c>
      <c r="D102" s="169"/>
      <c r="E102" s="192"/>
      <c r="F102" s="192"/>
      <c r="G102" s="192"/>
    </row>
    <row r="103" spans="3:10" x14ac:dyDescent="0.2">
      <c r="C103" s="243" t="s">
        <v>383</v>
      </c>
      <c r="D103" s="169"/>
      <c r="E103" s="192"/>
      <c r="F103" s="192"/>
      <c r="G103" s="192"/>
    </row>
    <row r="104" spans="3:10" x14ac:dyDescent="0.2">
      <c r="C104" s="193" t="s">
        <v>384</v>
      </c>
      <c r="D104" s="169"/>
      <c r="E104" s="192"/>
      <c r="F104" s="192"/>
      <c r="G104" s="192"/>
    </row>
    <row r="105" spans="3:10" x14ac:dyDescent="0.2">
      <c r="C105" s="193" t="s">
        <v>385</v>
      </c>
      <c r="D105" s="169"/>
      <c r="E105" s="192"/>
      <c r="F105" s="192"/>
      <c r="G105" s="192"/>
    </row>
    <row r="106" spans="3:10" x14ac:dyDescent="0.2">
      <c r="C106" s="65" t="s">
        <v>278</v>
      </c>
      <c r="D106" s="56"/>
      <c r="E106" s="56"/>
      <c r="F106" s="56"/>
      <c r="G106" s="56"/>
      <c r="H106" s="56"/>
      <c r="I106" s="56"/>
      <c r="J106" s="56"/>
    </row>
    <row r="107" spans="3:10" x14ac:dyDescent="0.2">
      <c r="C107" s="169" t="s">
        <v>279</v>
      </c>
    </row>
    <row r="108" spans="3:10" x14ac:dyDescent="0.2">
      <c r="C108" s="65" t="s">
        <v>280</v>
      </c>
      <c r="D108" s="56"/>
      <c r="E108" s="56"/>
      <c r="F108" s="56"/>
      <c r="G108" s="56"/>
      <c r="H108" s="56"/>
      <c r="I108" s="56"/>
    </row>
    <row r="109" spans="3:10" x14ac:dyDescent="0.2">
      <c r="C109" s="169" t="str">
        <f>"4) Determine the PBOPs exclusion.  The authorized amount of PBOPs expense (line "&amp;B69&amp;") may only be revised"</f>
        <v>4) Determine the PBOPs exclusion.  The authorized amount of PBOPs expense (line a) may only be revised</v>
      </c>
    </row>
    <row r="110" spans="3:10" x14ac:dyDescent="0.2">
      <c r="C110" s="169" t="s">
        <v>281</v>
      </c>
    </row>
    <row r="111" spans="3:10" x14ac:dyDescent="0.2">
      <c r="C111" s="169" t="s">
        <v>386</v>
      </c>
    </row>
    <row r="112" spans="3:10" x14ac:dyDescent="0.2">
      <c r="C112" s="169" t="s">
        <v>387</v>
      </c>
      <c r="I112" s="181" t="s">
        <v>388</v>
      </c>
      <c r="J112" s="161"/>
    </row>
    <row r="113" spans="3:3" x14ac:dyDescent="0.2">
      <c r="C113" s="169" t="s">
        <v>284</v>
      </c>
    </row>
  </sheetData>
  <pageMargins left="0.75" right="0.75" top="1" bottom="1" header="0.5" footer="0.5"/>
  <pageSetup scale="70" orientation="landscape" cellComments="asDisplayed" r:id="rId1"/>
  <headerFooter alignWithMargins="0">
    <oddHeader>&amp;CSchedule 20
Administrative and General Expenses
(Revised 2017 
TO13 True Up TRR)&amp;RTO2024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958EB-BA1D-44C7-84CE-5636351971A0}">
  <sheetPr>
    <tabColor rgb="FFCC99FF"/>
  </sheetPr>
  <dimension ref="A3:G12"/>
  <sheetViews>
    <sheetView zoomScaleNormal="100" workbookViewId="0"/>
  </sheetViews>
  <sheetFormatPr defaultRowHeight="12.75" x14ac:dyDescent="0.2"/>
  <cols>
    <col min="4" max="4" width="14.28515625" bestFit="1" customWidth="1"/>
    <col min="5" max="5" width="13.42578125" customWidth="1"/>
    <col min="6" max="6" width="15.140625" customWidth="1"/>
    <col min="7" max="7" width="17.42578125" customWidth="1"/>
  </cols>
  <sheetData>
    <row r="3" spans="1:7" x14ac:dyDescent="0.2">
      <c r="A3" s="335" t="s">
        <v>389</v>
      </c>
      <c r="B3" s="335"/>
      <c r="C3" s="335"/>
      <c r="D3" s="335"/>
      <c r="E3" s="335"/>
      <c r="F3" s="335"/>
      <c r="G3" s="335"/>
    </row>
    <row r="4" spans="1:7" x14ac:dyDescent="0.2">
      <c r="A4" s="335"/>
      <c r="B4" s="335"/>
      <c r="C4" s="335"/>
      <c r="D4" s="335"/>
      <c r="E4" s="335"/>
      <c r="F4" s="335"/>
      <c r="G4" s="335"/>
    </row>
    <row r="5" spans="1:7" ht="15" x14ac:dyDescent="0.25">
      <c r="A5" s="336" t="s">
        <v>31</v>
      </c>
      <c r="B5" s="336"/>
      <c r="C5" s="336"/>
      <c r="D5" s="86" t="s">
        <v>32</v>
      </c>
      <c r="E5" s="337" t="s">
        <v>33</v>
      </c>
      <c r="F5" s="337"/>
      <c r="G5" s="337"/>
    </row>
    <row r="6" spans="1:7" ht="38.450000000000003" customHeight="1" x14ac:dyDescent="0.25">
      <c r="A6" s="344" t="s">
        <v>390</v>
      </c>
      <c r="B6" s="338"/>
      <c r="C6" s="339"/>
      <c r="D6" s="28">
        <f>'WP-2018 TO2020 Sch4-TUTRR'!E73</f>
        <v>1082933917.4765646</v>
      </c>
      <c r="E6" s="340" t="s">
        <v>436</v>
      </c>
      <c r="F6" s="340"/>
      <c r="G6" s="340"/>
    </row>
    <row r="7" spans="1:7" ht="36.950000000000003" customHeight="1" x14ac:dyDescent="0.25">
      <c r="A7" s="344" t="s">
        <v>304</v>
      </c>
      <c r="B7" s="326"/>
      <c r="C7" s="327"/>
      <c r="D7" s="28">
        <f>'WP-2018 TO2020 Sch4-TUTRR'!J71</f>
        <v>1082953610.6734653</v>
      </c>
      <c r="E7" s="344" t="s">
        <v>392</v>
      </c>
      <c r="F7" s="328"/>
      <c r="G7" s="329"/>
    </row>
    <row r="8" spans="1:7" ht="15" x14ac:dyDescent="0.25">
      <c r="A8" s="330" t="s">
        <v>34</v>
      </c>
      <c r="B8" s="330"/>
      <c r="C8" s="331"/>
      <c r="D8" s="270">
        <f>D6-D7</f>
        <v>-19693.196900606155</v>
      </c>
      <c r="E8" s="332"/>
      <c r="F8" s="332"/>
      <c r="G8" s="332"/>
    </row>
    <row r="9" spans="1:7" ht="15" x14ac:dyDescent="0.25">
      <c r="A9" s="27"/>
      <c r="B9" s="27"/>
      <c r="C9" s="27"/>
      <c r="D9" s="27"/>
      <c r="E9" s="27"/>
      <c r="F9" s="27"/>
      <c r="G9" s="27"/>
    </row>
    <row r="10" spans="1:7" ht="15" x14ac:dyDescent="0.25">
      <c r="A10" s="27"/>
      <c r="B10" s="27"/>
      <c r="C10" s="27"/>
      <c r="D10" s="27"/>
      <c r="E10" s="27"/>
      <c r="F10" s="27"/>
      <c r="G10" s="27"/>
    </row>
    <row r="11" spans="1:7" ht="15" x14ac:dyDescent="0.25">
      <c r="A11" s="115" t="s">
        <v>141</v>
      </c>
      <c r="B11" s="27"/>
      <c r="C11" s="27"/>
      <c r="D11" s="27"/>
      <c r="E11" s="27"/>
      <c r="F11" s="27"/>
      <c r="G11" s="27"/>
    </row>
    <row r="12" spans="1:7" ht="30.95" customHeight="1" x14ac:dyDescent="0.25">
      <c r="A12" s="343" t="s">
        <v>430</v>
      </c>
      <c r="B12" s="334"/>
      <c r="C12" s="334"/>
      <c r="D12" s="334"/>
      <c r="E12" s="334"/>
      <c r="F12" s="334"/>
      <c r="G12" s="334"/>
    </row>
  </sheetData>
  <mergeCells count="10">
    <mergeCell ref="A8:C8"/>
    <mergeCell ref="E8:G8"/>
    <mergeCell ref="A12:G12"/>
    <mergeCell ref="A3:G4"/>
    <mergeCell ref="A5:C5"/>
    <mergeCell ref="E5:G5"/>
    <mergeCell ref="A6:C6"/>
    <mergeCell ref="E6:G6"/>
    <mergeCell ref="A7:C7"/>
    <mergeCell ref="E7:G7"/>
  </mergeCells>
  <pageMargins left="0.7" right="0.7" top="0.75" bottom="0.75" header="0.3" footer="0.3"/>
  <pageSetup orientation="portrait" horizontalDpi="1200" verticalDpi="1200" r:id="rId1"/>
  <headerFooter>
    <oddHeader>&amp;RTO2024 Annual Update
Attachment 4
WP-Schedule 3-One Time Adj Prior Period
Page &amp;P of &amp;N</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75ECB-8DB5-4AAD-B429-9D0C678F2334}">
  <sheetPr>
    <tabColor rgb="FFCC99FF"/>
  </sheetPr>
  <dimension ref="A1:N172"/>
  <sheetViews>
    <sheetView zoomScaleNormal="10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6.5703125" customWidth="1"/>
    <col min="12" max="12" width="14.28515625" customWidth="1"/>
    <col min="13" max="13" width="4.42578125" customWidth="1"/>
    <col min="14" max="14" width="15.28515625" customWidth="1"/>
  </cols>
  <sheetData>
    <row r="1" spans="1:14" x14ac:dyDescent="0.2">
      <c r="A1" s="159" t="s">
        <v>35</v>
      </c>
    </row>
    <row r="3" spans="1:14" x14ac:dyDescent="0.2">
      <c r="B3" s="204" t="s">
        <v>36</v>
      </c>
      <c r="L3" s="164"/>
    </row>
    <row r="4" spans="1:14" x14ac:dyDescent="0.2">
      <c r="B4" s="205"/>
      <c r="F4" s="164" t="s">
        <v>37</v>
      </c>
      <c r="G4" s="164"/>
      <c r="H4" s="164" t="s">
        <v>38</v>
      </c>
      <c r="L4" s="164"/>
      <c r="N4" s="164"/>
    </row>
    <row r="5" spans="1:14" x14ac:dyDescent="0.2">
      <c r="A5" s="165" t="s">
        <v>39</v>
      </c>
      <c r="B5" s="180"/>
      <c r="C5" s="188" t="s">
        <v>40</v>
      </c>
      <c r="F5" s="166" t="s">
        <v>41</v>
      </c>
      <c r="G5" s="166" t="s">
        <v>42</v>
      </c>
      <c r="H5" s="166" t="s">
        <v>43</v>
      </c>
      <c r="J5" s="166" t="s">
        <v>32</v>
      </c>
      <c r="L5" s="166"/>
      <c r="N5" s="166"/>
    </row>
    <row r="6" spans="1:14" x14ac:dyDescent="0.2">
      <c r="A6" s="164">
        <v>1</v>
      </c>
      <c r="C6" s="201" t="s">
        <v>44</v>
      </c>
      <c r="F6" t="s">
        <v>45</v>
      </c>
      <c r="H6" s="201" t="s">
        <v>450</v>
      </c>
      <c r="J6" s="170">
        <v>8666375346.7182045</v>
      </c>
      <c r="L6" s="166"/>
      <c r="N6" s="170"/>
    </row>
    <row r="7" spans="1:14" x14ac:dyDescent="0.2">
      <c r="A7" s="164">
        <f>A6+1</f>
        <v>2</v>
      </c>
      <c r="C7" s="201" t="s">
        <v>46</v>
      </c>
      <c r="F7" t="s">
        <v>47</v>
      </c>
      <c r="H7" s="201" t="s">
        <v>451</v>
      </c>
      <c r="J7" s="170">
        <v>250784298.74780104</v>
      </c>
      <c r="L7" s="166"/>
      <c r="N7" s="170"/>
    </row>
    <row r="8" spans="1:14" x14ac:dyDescent="0.2">
      <c r="A8" s="164">
        <f>A7+1</f>
        <v>3</v>
      </c>
      <c r="C8" s="201" t="s">
        <v>48</v>
      </c>
      <c r="F8" t="s">
        <v>47</v>
      </c>
      <c r="H8" t="s">
        <v>452</v>
      </c>
      <c r="J8" s="170">
        <v>9942155</v>
      </c>
      <c r="L8" s="166"/>
      <c r="N8" s="170"/>
    </row>
    <row r="9" spans="1:14" x14ac:dyDescent="0.2">
      <c r="A9" s="164">
        <f>A8+1</f>
        <v>4</v>
      </c>
      <c r="C9" s="201" t="s">
        <v>49</v>
      </c>
      <c r="F9" t="s">
        <v>47</v>
      </c>
      <c r="H9" s="169" t="s">
        <v>453</v>
      </c>
      <c r="J9" s="170">
        <v>0</v>
      </c>
      <c r="L9" s="166"/>
      <c r="N9" s="170"/>
    </row>
    <row r="10" spans="1:14" x14ac:dyDescent="0.2">
      <c r="A10" s="164"/>
      <c r="C10" s="201"/>
      <c r="J10" s="170"/>
      <c r="L10" s="166"/>
      <c r="N10" s="170"/>
    </row>
    <row r="11" spans="1:14" x14ac:dyDescent="0.2">
      <c r="A11" s="164"/>
      <c r="C11" s="206" t="s">
        <v>50</v>
      </c>
      <c r="J11" s="170"/>
      <c r="L11" s="166"/>
      <c r="N11" s="170"/>
    </row>
    <row r="12" spans="1:14" x14ac:dyDescent="0.2">
      <c r="A12" s="164">
        <f>A9+1</f>
        <v>5</v>
      </c>
      <c r="C12" s="176" t="s">
        <v>51</v>
      </c>
      <c r="F12" t="s">
        <v>45</v>
      </c>
      <c r="H12" s="201" t="s">
        <v>454</v>
      </c>
      <c r="J12" s="170">
        <v>14561673.642511051</v>
      </c>
      <c r="L12" s="166"/>
      <c r="N12" s="170"/>
    </row>
    <row r="13" spans="1:14" x14ac:dyDescent="0.2">
      <c r="A13" s="164">
        <f>A12+1</f>
        <v>6</v>
      </c>
      <c r="C13" s="180" t="s">
        <v>52</v>
      </c>
      <c r="F13" t="s">
        <v>45</v>
      </c>
      <c r="H13" s="201" t="s">
        <v>455</v>
      </c>
      <c r="J13" s="170">
        <v>11258426.521027757</v>
      </c>
      <c r="L13" s="166"/>
      <c r="N13" s="170"/>
    </row>
    <row r="14" spans="1:14" x14ac:dyDescent="0.2">
      <c r="A14" s="164">
        <f>A13+1</f>
        <v>7</v>
      </c>
      <c r="C14" s="176" t="s">
        <v>53</v>
      </c>
      <c r="F14" s="169" t="s">
        <v>144</v>
      </c>
      <c r="H14" t="s">
        <v>456</v>
      </c>
      <c r="J14" s="172">
        <v>34900475.097199216</v>
      </c>
      <c r="L14" s="166"/>
      <c r="N14" s="170"/>
    </row>
    <row r="15" spans="1:14" x14ac:dyDescent="0.2">
      <c r="A15" s="164">
        <f>A14+1</f>
        <v>8</v>
      </c>
      <c r="C15" s="176" t="s">
        <v>54</v>
      </c>
      <c r="H15" t="str">
        <f>"Line "&amp;A12&amp;" + Line "&amp;A13&amp;" + Line "&amp;A14&amp;""</f>
        <v>Line 5 + Line 6 + Line 7</v>
      </c>
      <c r="J15" s="168">
        <f>SUM(J12:J14)</f>
        <v>60720575.260738023</v>
      </c>
      <c r="L15" s="166"/>
      <c r="N15" s="170"/>
    </row>
    <row r="16" spans="1:14" x14ac:dyDescent="0.2">
      <c r="A16" s="164"/>
      <c r="C16" s="176"/>
      <c r="J16" s="170"/>
      <c r="L16" s="166"/>
      <c r="N16" s="170"/>
    </row>
    <row r="17" spans="1:14" x14ac:dyDescent="0.2">
      <c r="A17" s="164"/>
      <c r="C17" s="207" t="s">
        <v>55</v>
      </c>
      <c r="J17" s="170"/>
      <c r="L17" s="166"/>
      <c r="N17" s="170"/>
    </row>
    <row r="18" spans="1:14" x14ac:dyDescent="0.2">
      <c r="A18" s="164">
        <f>A15+1</f>
        <v>9</v>
      </c>
      <c r="C18" s="176" t="s">
        <v>56</v>
      </c>
      <c r="F18" t="s">
        <v>45</v>
      </c>
      <c r="G18" t="s">
        <v>57</v>
      </c>
      <c r="H18" s="201" t="s">
        <v>472</v>
      </c>
      <c r="J18" s="170">
        <v>-1696750194.7350788</v>
      </c>
      <c r="L18" s="166"/>
      <c r="N18" s="170"/>
    </row>
    <row r="19" spans="1:14" x14ac:dyDescent="0.2">
      <c r="A19" s="164">
        <f>A18+1</f>
        <v>10</v>
      </c>
      <c r="C19" s="176" t="s">
        <v>58</v>
      </c>
      <c r="F19" t="s">
        <v>47</v>
      </c>
      <c r="G19" t="s">
        <v>57</v>
      </c>
      <c r="H19" s="201" t="s">
        <v>473</v>
      </c>
      <c r="J19" s="170">
        <v>0</v>
      </c>
      <c r="L19" s="166"/>
      <c r="N19" s="170"/>
    </row>
    <row r="20" spans="1:14" x14ac:dyDescent="0.2">
      <c r="A20" s="164">
        <f>A19+1</f>
        <v>11</v>
      </c>
      <c r="C20" s="176" t="s">
        <v>59</v>
      </c>
      <c r="D20" s="44"/>
      <c r="F20" t="s">
        <v>47</v>
      </c>
      <c r="G20" t="s">
        <v>57</v>
      </c>
      <c r="H20" s="201" t="s">
        <v>474</v>
      </c>
      <c r="J20" s="177">
        <v>-96157604.895406127</v>
      </c>
      <c r="L20" s="166"/>
      <c r="N20" s="170"/>
    </row>
    <row r="21" spans="1:14" x14ac:dyDescent="0.2">
      <c r="A21" s="164">
        <f>A20+1</f>
        <v>12</v>
      </c>
      <c r="C21" s="46" t="s">
        <v>60</v>
      </c>
      <c r="D21" s="44"/>
      <c r="H21" t="str">
        <f>"Line "&amp;A18&amp;" + Line "&amp;A19&amp;" + Line "&amp;A20&amp;""</f>
        <v>Line 9 + Line 10 + Line 11</v>
      </c>
      <c r="J21" s="170">
        <f>SUM(J18:J20)</f>
        <v>-1792907799.6304851</v>
      </c>
      <c r="L21" s="166"/>
      <c r="N21" s="170"/>
    </row>
    <row r="22" spans="1:14" x14ac:dyDescent="0.2">
      <c r="A22" s="164"/>
      <c r="C22" s="169"/>
      <c r="J22" s="170"/>
      <c r="L22" s="166"/>
      <c r="N22" s="170"/>
    </row>
    <row r="23" spans="1:14" x14ac:dyDescent="0.2">
      <c r="A23" s="164">
        <f>A21+1</f>
        <v>13</v>
      </c>
      <c r="C23" s="208" t="s">
        <v>61</v>
      </c>
      <c r="F23" t="s">
        <v>47</v>
      </c>
      <c r="H23" s="201" t="s">
        <v>475</v>
      </c>
      <c r="J23" s="170">
        <v>-1646877466.9842367</v>
      </c>
      <c r="L23" s="166"/>
      <c r="N23" s="170"/>
    </row>
    <row r="24" spans="1:14" x14ac:dyDescent="0.2">
      <c r="A24" s="164">
        <f>A23+1</f>
        <v>14</v>
      </c>
      <c r="C24" s="201" t="s">
        <v>62</v>
      </c>
      <c r="F24" t="s">
        <v>45</v>
      </c>
      <c r="H24" s="201" t="s">
        <v>476</v>
      </c>
      <c r="J24" s="170">
        <v>297744428.87125176</v>
      </c>
      <c r="L24" s="166"/>
      <c r="N24" s="170"/>
    </row>
    <row r="25" spans="1:14" x14ac:dyDescent="0.2">
      <c r="A25" s="164">
        <f>A24+1</f>
        <v>15</v>
      </c>
      <c r="C25" s="208" t="s">
        <v>63</v>
      </c>
      <c r="F25" t="s">
        <v>47</v>
      </c>
      <c r="G25" t="s">
        <v>57</v>
      </c>
      <c r="H25" s="201" t="s">
        <v>477</v>
      </c>
      <c r="J25" s="170">
        <v>-78952573</v>
      </c>
      <c r="L25" s="166"/>
      <c r="N25" s="170"/>
    </row>
    <row r="26" spans="1:14" x14ac:dyDescent="0.2">
      <c r="A26" s="164">
        <f t="shared" ref="A26:A27" si="0">A25+1</f>
        <v>16</v>
      </c>
      <c r="C26" s="201" t="s">
        <v>64</v>
      </c>
      <c r="H26" s="169" t="s">
        <v>478</v>
      </c>
      <c r="J26" s="170">
        <v>-86758063.662293404</v>
      </c>
      <c r="L26" s="166"/>
      <c r="N26" s="170"/>
    </row>
    <row r="27" spans="1:14" x14ac:dyDescent="0.2">
      <c r="A27" s="164">
        <f t="shared" si="0"/>
        <v>17</v>
      </c>
      <c r="C27" s="208" t="s">
        <v>65</v>
      </c>
      <c r="F27" t="s">
        <v>47</v>
      </c>
      <c r="H27" s="201" t="s">
        <v>479</v>
      </c>
      <c r="J27" s="170">
        <v>0</v>
      </c>
      <c r="L27" s="166"/>
      <c r="N27" s="170"/>
    </row>
    <row r="28" spans="1:14" x14ac:dyDescent="0.2">
      <c r="A28" s="164"/>
      <c r="C28" s="208"/>
      <c r="L28" s="166"/>
      <c r="N28" s="170"/>
    </row>
    <row r="29" spans="1:14" x14ac:dyDescent="0.2">
      <c r="A29" s="164">
        <f>A27+1</f>
        <v>18</v>
      </c>
      <c r="C29" t="s">
        <v>66</v>
      </c>
      <c r="H29" t="str">
        <f>"L"&amp;A6&amp;"+L"&amp;A7&amp;"+L"&amp;A8&amp;"+L"&amp;A9&amp;"+L"&amp;A15&amp;"+L"&amp;A21&amp;"+"</f>
        <v>L1+L2+L3+L4+L8+L12+</v>
      </c>
      <c r="J29" s="168">
        <f>J6+ J7+J8+J9+J15+J21+J23+J24+J25+J26+J27</f>
        <v>5680070901.3209801</v>
      </c>
      <c r="L29" s="166"/>
      <c r="N29" s="170"/>
    </row>
    <row r="30" spans="1:14" x14ac:dyDescent="0.2">
      <c r="A30" s="164"/>
      <c r="H30" t="str">
        <f>"L"&amp;A23&amp;"+L"&amp;A24&amp;"+L"&amp;A25&amp;"+L"&amp;A26&amp;"+L"&amp;A27&amp;""</f>
        <v>L13+L14+L15+L16+L17</v>
      </c>
      <c r="J30" s="170"/>
      <c r="L30" s="166"/>
      <c r="N30" s="170"/>
    </row>
    <row r="31" spans="1:14" x14ac:dyDescent="0.2">
      <c r="A31" s="164"/>
      <c r="B31" s="159" t="s">
        <v>67</v>
      </c>
      <c r="J31" s="170"/>
      <c r="L31" s="166"/>
      <c r="N31" s="170"/>
    </row>
    <row r="32" spans="1:14" x14ac:dyDescent="0.2">
      <c r="A32" s="165" t="s">
        <v>39</v>
      </c>
      <c r="C32" s="159"/>
      <c r="J32" s="170"/>
      <c r="L32" s="166"/>
      <c r="N32" s="170"/>
    </row>
    <row r="33" spans="1:14" x14ac:dyDescent="0.2">
      <c r="A33" s="164">
        <f>A29+1</f>
        <v>19</v>
      </c>
      <c r="B33" s="169"/>
      <c r="C33" s="169" t="s">
        <v>68</v>
      </c>
      <c r="D33" s="169"/>
      <c r="E33" s="169"/>
      <c r="F33" s="169"/>
      <c r="G33" s="169" t="s">
        <v>69</v>
      </c>
      <c r="H33" s="169" t="str">
        <f>"Instruction 1, Line "&amp;B98&amp;""</f>
        <v>Instruction 1, Line j</v>
      </c>
      <c r="I33" s="169"/>
      <c r="J33" s="209">
        <f>E98</f>
        <v>7.8018766760959951E-2</v>
      </c>
      <c r="L33" s="166"/>
      <c r="M33" s="179"/>
      <c r="N33" s="170"/>
    </row>
    <row r="34" spans="1:14" x14ac:dyDescent="0.2">
      <c r="A34" s="164">
        <f>A33+1</f>
        <v>20</v>
      </c>
      <c r="C34" s="169" t="s">
        <v>70</v>
      </c>
      <c r="D34" s="169"/>
      <c r="E34" s="169"/>
      <c r="F34" s="169"/>
      <c r="G34" s="169"/>
      <c r="H34" t="str">
        <f>"Line "&amp;A29&amp;" * Line "&amp;A33&amp;""</f>
        <v>Line 18 * Line 19</v>
      </c>
      <c r="J34" s="174">
        <f>J29*J33</f>
        <v>443152126.83587712</v>
      </c>
      <c r="L34" s="166"/>
      <c r="N34" s="170"/>
    </row>
    <row r="35" spans="1:14" x14ac:dyDescent="0.2">
      <c r="A35" s="164"/>
      <c r="B35" s="180"/>
      <c r="L35" s="166"/>
      <c r="N35" s="170"/>
    </row>
    <row r="36" spans="1:14" x14ac:dyDescent="0.2">
      <c r="A36" s="164"/>
      <c r="B36" s="159" t="s">
        <v>71</v>
      </c>
      <c r="L36" s="166"/>
      <c r="N36" s="170"/>
    </row>
    <row r="37" spans="1:14" x14ac:dyDescent="0.2">
      <c r="A37" s="164"/>
      <c r="B37" s="180"/>
      <c r="L37" s="166"/>
      <c r="N37" s="170"/>
    </row>
    <row r="38" spans="1:14" x14ac:dyDescent="0.2">
      <c r="A38" s="164">
        <f>A34+1</f>
        <v>21</v>
      </c>
      <c r="C38" s="169" t="s">
        <v>72</v>
      </c>
      <c r="J38" s="168">
        <f>(((J29*J42) + J45) *(J43/(1-J43)))+(J44/(1-J43))</f>
        <v>91581421.724850833</v>
      </c>
      <c r="L38" s="166"/>
      <c r="N38" s="170"/>
    </row>
    <row r="39" spans="1:14" x14ac:dyDescent="0.2">
      <c r="A39" s="164"/>
      <c r="J39" s="169"/>
      <c r="L39" s="166"/>
      <c r="N39" s="170"/>
    </row>
    <row r="40" spans="1:14" x14ac:dyDescent="0.2">
      <c r="A40" s="164"/>
      <c r="D40" t="s">
        <v>73</v>
      </c>
      <c r="L40" s="166"/>
      <c r="N40" s="170"/>
    </row>
    <row r="41" spans="1:14" x14ac:dyDescent="0.2">
      <c r="A41" s="164">
        <f>A38+1</f>
        <v>22</v>
      </c>
      <c r="D41" s="180" t="s">
        <v>74</v>
      </c>
      <c r="H41" t="str">
        <f>"Line "&amp;A29&amp;""</f>
        <v>Line 18</v>
      </c>
      <c r="J41" s="168">
        <f>J29</f>
        <v>5680070901.3209801</v>
      </c>
      <c r="L41" s="166"/>
      <c r="N41" s="170"/>
    </row>
    <row r="42" spans="1:14" x14ac:dyDescent="0.2">
      <c r="A42" s="164">
        <f>A41+1</f>
        <v>23</v>
      </c>
      <c r="D42" s="176" t="s">
        <v>75</v>
      </c>
      <c r="G42" s="169" t="s">
        <v>76</v>
      </c>
      <c r="H42" s="169" t="str">
        <f>"Instruction 1, Line "&amp;B103&amp;""</f>
        <v>Instruction 1, Line k</v>
      </c>
      <c r="J42" s="209">
        <f>E103</f>
        <v>5.6848332774048153E-2</v>
      </c>
      <c r="L42" s="166"/>
      <c r="M42" s="179"/>
      <c r="N42" s="170"/>
    </row>
    <row r="43" spans="1:14" x14ac:dyDescent="0.2">
      <c r="A43" s="164">
        <f>A42+1</f>
        <v>24</v>
      </c>
      <c r="D43" s="180" t="s">
        <v>77</v>
      </c>
      <c r="H43" t="s">
        <v>457</v>
      </c>
      <c r="J43" s="179">
        <v>0.27983599999999997</v>
      </c>
      <c r="L43" s="166"/>
      <c r="M43" s="179"/>
      <c r="N43" s="170"/>
    </row>
    <row r="44" spans="1:14" x14ac:dyDescent="0.2">
      <c r="A44" s="164">
        <f>A43+1</f>
        <v>25</v>
      </c>
      <c r="D44" s="180" t="s">
        <v>78</v>
      </c>
      <c r="H44" t="s">
        <v>458</v>
      </c>
      <c r="J44" s="170">
        <v>-25416331</v>
      </c>
      <c r="L44" s="166"/>
      <c r="N44" s="170"/>
    </row>
    <row r="45" spans="1:14" x14ac:dyDescent="0.2">
      <c r="A45" s="164">
        <f>A44+1</f>
        <v>26</v>
      </c>
      <c r="D45" s="180" t="s">
        <v>79</v>
      </c>
      <c r="H45" t="s">
        <v>459</v>
      </c>
      <c r="J45" s="187">
        <v>3610018</v>
      </c>
      <c r="L45" s="166"/>
      <c r="N45" s="170"/>
    </row>
    <row r="46" spans="1:14" x14ac:dyDescent="0.2">
      <c r="A46" s="164"/>
      <c r="B46" s="180"/>
      <c r="L46" s="166"/>
      <c r="N46" s="170"/>
    </row>
    <row r="47" spans="1:14" x14ac:dyDescent="0.2">
      <c r="A47" s="164"/>
      <c r="B47" s="159" t="s">
        <v>80</v>
      </c>
      <c r="L47" s="166"/>
      <c r="N47" s="170"/>
    </row>
    <row r="48" spans="1:14" x14ac:dyDescent="0.2">
      <c r="A48" s="164">
        <f>A45+1</f>
        <v>27</v>
      </c>
      <c r="B48" s="180"/>
      <c r="C48" t="s">
        <v>81</v>
      </c>
      <c r="H48" t="s">
        <v>460</v>
      </c>
      <c r="J48" s="170">
        <v>68175046.600722671</v>
      </c>
      <c r="L48" s="166"/>
      <c r="N48" s="170"/>
    </row>
    <row r="49" spans="1:14" x14ac:dyDescent="0.2">
      <c r="A49" s="164">
        <f t="shared" ref="A49:A59" si="1">A48+1</f>
        <v>28</v>
      </c>
      <c r="B49" s="180"/>
      <c r="C49" s="169" t="s">
        <v>82</v>
      </c>
      <c r="H49" t="s">
        <v>461</v>
      </c>
      <c r="J49" s="168">
        <v>211028754.17687109</v>
      </c>
      <c r="L49" s="166"/>
      <c r="N49" s="170"/>
    </row>
    <row r="50" spans="1:14" x14ac:dyDescent="0.2">
      <c r="A50" s="164">
        <f>A49+1</f>
        <v>29</v>
      </c>
      <c r="B50" s="180"/>
      <c r="C50" t="s">
        <v>83</v>
      </c>
      <c r="H50" t="s">
        <v>462</v>
      </c>
      <c r="J50" s="170">
        <v>5429238</v>
      </c>
      <c r="L50" s="166"/>
      <c r="N50" s="170"/>
    </row>
    <row r="51" spans="1:14" x14ac:dyDescent="0.2">
      <c r="A51" s="164">
        <f t="shared" si="1"/>
        <v>30</v>
      </c>
      <c r="B51" s="180"/>
      <c r="C51" s="169" t="s">
        <v>84</v>
      </c>
      <c r="H51" t="s">
        <v>463</v>
      </c>
      <c r="J51" s="170">
        <v>245884459.62477174</v>
      </c>
      <c r="L51" s="166"/>
      <c r="N51" s="170"/>
    </row>
    <row r="52" spans="1:14" x14ac:dyDescent="0.2">
      <c r="A52" s="164">
        <f t="shared" si="1"/>
        <v>31</v>
      </c>
      <c r="B52" s="180"/>
      <c r="C52" s="169" t="s">
        <v>85</v>
      </c>
      <c r="H52" t="s">
        <v>464</v>
      </c>
      <c r="J52" s="170">
        <v>0</v>
      </c>
      <c r="L52" s="166"/>
      <c r="N52" s="170"/>
    </row>
    <row r="53" spans="1:14" x14ac:dyDescent="0.2">
      <c r="A53" s="164">
        <f t="shared" si="1"/>
        <v>32</v>
      </c>
      <c r="B53" s="180"/>
      <c r="C53" s="169" t="s">
        <v>86</v>
      </c>
      <c r="H53" t="s">
        <v>465</v>
      </c>
      <c r="J53" s="170">
        <v>63673657.128531143</v>
      </c>
      <c r="L53" s="166"/>
      <c r="N53" s="170"/>
    </row>
    <row r="54" spans="1:14" x14ac:dyDescent="0.2">
      <c r="A54" s="164">
        <f t="shared" si="1"/>
        <v>33</v>
      </c>
      <c r="B54" s="180"/>
      <c r="C54" t="s">
        <v>87</v>
      </c>
      <c r="G54" s="169"/>
      <c r="H54" t="s">
        <v>466</v>
      </c>
      <c r="J54" s="170">
        <v>-58173790.509793751</v>
      </c>
      <c r="L54" s="166"/>
      <c r="N54" s="170"/>
    </row>
    <row r="55" spans="1:14" x14ac:dyDescent="0.2">
      <c r="A55" s="164">
        <f t="shared" si="1"/>
        <v>34</v>
      </c>
      <c r="B55" s="180"/>
      <c r="C55" t="s">
        <v>88</v>
      </c>
      <c r="H55" t="str">
        <f>"Line "&amp;A34&amp;""</f>
        <v>Line 20</v>
      </c>
      <c r="J55" s="168">
        <f>J34</f>
        <v>443152126.83587712</v>
      </c>
      <c r="L55" s="166"/>
      <c r="N55" s="170"/>
    </row>
    <row r="56" spans="1:14" x14ac:dyDescent="0.2">
      <c r="A56" s="164">
        <f t="shared" si="1"/>
        <v>35</v>
      </c>
      <c r="B56" s="180"/>
      <c r="C56" t="s">
        <v>89</v>
      </c>
      <c r="H56" t="str">
        <f>"Line "&amp;A38&amp;""</f>
        <v>Line 21</v>
      </c>
      <c r="J56" s="174">
        <f>J38</f>
        <v>91581421.724850833</v>
      </c>
      <c r="L56" s="166"/>
      <c r="N56" s="170"/>
    </row>
    <row r="57" spans="1:14" x14ac:dyDescent="0.2">
      <c r="A57" s="164">
        <f t="shared" si="1"/>
        <v>36</v>
      </c>
      <c r="B57" s="180"/>
      <c r="C57" s="169" t="s">
        <v>90</v>
      </c>
      <c r="H57" t="s">
        <v>467</v>
      </c>
      <c r="J57" s="187">
        <v>0</v>
      </c>
      <c r="L57" s="166"/>
      <c r="N57" s="170"/>
    </row>
    <row r="58" spans="1:14" x14ac:dyDescent="0.2">
      <c r="A58" s="164">
        <f t="shared" si="1"/>
        <v>37</v>
      </c>
      <c r="B58" s="180"/>
      <c r="C58" s="48" t="s">
        <v>91</v>
      </c>
      <c r="D58" s="48"/>
      <c r="H58" t="s">
        <v>468</v>
      </c>
      <c r="J58" s="177">
        <v>0</v>
      </c>
      <c r="L58" s="166"/>
      <c r="N58" s="170"/>
    </row>
    <row r="59" spans="1:14" x14ac:dyDescent="0.2">
      <c r="A59" s="164">
        <f t="shared" si="1"/>
        <v>38</v>
      </c>
      <c r="B59" s="180"/>
      <c r="C59" s="169" t="s">
        <v>92</v>
      </c>
      <c r="H59" t="str">
        <f>"Sum Line "&amp;A48&amp;" to Line "&amp;A58&amp;""</f>
        <v>Sum Line 27 to Line 37</v>
      </c>
      <c r="J59" s="168">
        <f>SUM(J48:J58)</f>
        <v>1070750913.5818307</v>
      </c>
      <c r="L59" s="166"/>
      <c r="N59" s="170"/>
    </row>
    <row r="60" spans="1:14" x14ac:dyDescent="0.2">
      <c r="A60" s="164"/>
      <c r="B60" s="180"/>
      <c r="J60" s="170"/>
      <c r="L60" s="166"/>
      <c r="N60" s="170"/>
    </row>
    <row r="61" spans="1:14" ht="12.75" customHeight="1" x14ac:dyDescent="0.2">
      <c r="A61" s="164">
        <f>A59+1</f>
        <v>39</v>
      </c>
      <c r="B61" s="180"/>
      <c r="C61" s="169" t="s">
        <v>93</v>
      </c>
      <c r="H61" t="s">
        <v>480</v>
      </c>
      <c r="J61" s="170">
        <v>26918854.433303144</v>
      </c>
      <c r="L61" s="166"/>
      <c r="N61" s="170"/>
    </row>
    <row r="62" spans="1:14" ht="12.75" customHeight="1" x14ac:dyDescent="0.2">
      <c r="A62" s="164" t="s">
        <v>148</v>
      </c>
      <c r="B62" s="169"/>
      <c r="C62" s="169" t="s">
        <v>149</v>
      </c>
      <c r="D62" s="169"/>
      <c r="E62" s="169"/>
      <c r="F62" s="169"/>
      <c r="G62" s="169"/>
      <c r="H62" s="169" t="s">
        <v>150</v>
      </c>
      <c r="I62" s="169"/>
      <c r="J62" s="187">
        <f>-J61</f>
        <v>-26918854.433303144</v>
      </c>
      <c r="L62" s="166"/>
      <c r="N62" s="170"/>
    </row>
    <row r="63" spans="1:14" x14ac:dyDescent="0.2">
      <c r="A63" s="164"/>
      <c r="B63" s="180"/>
      <c r="C63" s="169"/>
      <c r="J63" s="170"/>
      <c r="L63" s="166"/>
      <c r="N63" s="170"/>
    </row>
    <row r="64" spans="1:14" x14ac:dyDescent="0.2">
      <c r="A64" s="164">
        <f>A61+1</f>
        <v>40</v>
      </c>
      <c r="B64" s="180"/>
      <c r="C64" s="169" t="s">
        <v>94</v>
      </c>
      <c r="H64" s="169" t="s">
        <v>151</v>
      </c>
      <c r="J64" s="168">
        <f>J59+J61+J62</f>
        <v>1070750913.5818307</v>
      </c>
      <c r="L64" s="166"/>
      <c r="N64" s="170"/>
    </row>
    <row r="65" spans="1:14" x14ac:dyDescent="0.2">
      <c r="A65" s="164"/>
      <c r="B65" s="180"/>
      <c r="C65" s="169"/>
      <c r="J65" s="170"/>
    </row>
    <row r="66" spans="1:14" x14ac:dyDescent="0.2">
      <c r="A66" s="164"/>
      <c r="B66" s="204" t="s">
        <v>95</v>
      </c>
      <c r="C66" s="169"/>
      <c r="J66" s="170"/>
      <c r="N66" s="164"/>
    </row>
    <row r="67" spans="1:14" ht="13.5" thickBot="1" x14ac:dyDescent="0.25">
      <c r="A67" s="165" t="s">
        <v>39</v>
      </c>
      <c r="B67" s="208"/>
      <c r="G67" s="188" t="s">
        <v>96</v>
      </c>
      <c r="N67" s="166"/>
    </row>
    <row r="68" spans="1:14" x14ac:dyDescent="0.2">
      <c r="A68" s="164">
        <f>A64+1</f>
        <v>41</v>
      </c>
      <c r="B68" s="208"/>
      <c r="D68" s="175" t="s">
        <v>97</v>
      </c>
      <c r="E68" s="168">
        <f>J64</f>
        <v>1070750913.5818307</v>
      </c>
      <c r="G68" t="str">
        <f>"Line "&amp;A64&amp;""</f>
        <v>Line 40</v>
      </c>
      <c r="J68" s="50" t="s">
        <v>98</v>
      </c>
      <c r="K68" s="30"/>
      <c r="L68" s="30"/>
      <c r="N68" s="170"/>
    </row>
    <row r="69" spans="1:14" x14ac:dyDescent="0.2">
      <c r="A69" s="164">
        <f>A68+1</f>
        <v>42</v>
      </c>
      <c r="B69" s="208"/>
      <c r="D69" s="175" t="s">
        <v>99</v>
      </c>
      <c r="E69" s="210">
        <v>9.2440000000000005E-3</v>
      </c>
      <c r="G69" t="s">
        <v>481</v>
      </c>
      <c r="J69" s="52" t="s">
        <v>391</v>
      </c>
      <c r="K69" s="30"/>
      <c r="L69" s="30"/>
      <c r="N69" s="179"/>
    </row>
    <row r="70" spans="1:14" x14ac:dyDescent="0.2">
      <c r="A70" s="164">
        <f>A69+1</f>
        <v>43</v>
      </c>
      <c r="B70" s="208"/>
      <c r="D70" s="173" t="s">
        <v>100</v>
      </c>
      <c r="E70" s="168">
        <v>9898021.4451504443</v>
      </c>
      <c r="G70" t="str">
        <f>"Line "&amp;A68&amp;" * Line "&amp;A69&amp;""</f>
        <v>Line 41 * Line 42</v>
      </c>
      <c r="J70" s="53">
        <f>E73</f>
        <v>1082933917.4765646</v>
      </c>
      <c r="K70" s="30"/>
      <c r="L70" s="30"/>
      <c r="N70" s="170"/>
    </row>
    <row r="71" spans="1:14" ht="37.5" customHeight="1" x14ac:dyDescent="0.2">
      <c r="A71" s="164">
        <f>A70+1</f>
        <v>44</v>
      </c>
      <c r="B71" s="208"/>
      <c r="D71" s="175" t="s">
        <v>101</v>
      </c>
      <c r="E71" s="210">
        <v>2.134E-3</v>
      </c>
      <c r="G71" t="s">
        <v>481</v>
      </c>
      <c r="J71" s="235">
        <v>1082953610.6734653</v>
      </c>
      <c r="K71" s="341" t="s">
        <v>392</v>
      </c>
      <c r="L71" s="342"/>
      <c r="N71" s="179"/>
    </row>
    <row r="72" spans="1:14" ht="13.5" thickBot="1" x14ac:dyDescent="0.25">
      <c r="A72" s="164">
        <f>A71+1</f>
        <v>45</v>
      </c>
      <c r="B72" s="208"/>
      <c r="D72" s="175" t="s">
        <v>102</v>
      </c>
      <c r="E72" s="168">
        <v>2284982.4495836268</v>
      </c>
      <c r="G72" t="str">
        <f>"Line "&amp;A70&amp;" * Line "&amp;A71&amp;""</f>
        <v>Line 43 * Line 44</v>
      </c>
      <c r="J72" s="55">
        <f>J70-J71</f>
        <v>-19693.196900606155</v>
      </c>
      <c r="K72" s="76"/>
      <c r="L72" s="77"/>
      <c r="N72" s="170"/>
    </row>
    <row r="73" spans="1:14" x14ac:dyDescent="0.2">
      <c r="A73" s="164">
        <f>A72+1</f>
        <v>46</v>
      </c>
      <c r="B73" s="208"/>
      <c r="D73" s="175" t="s">
        <v>103</v>
      </c>
      <c r="E73" s="168">
        <f>E68+E70+E72</f>
        <v>1082933917.4765646</v>
      </c>
      <c r="G73" t="str">
        <f>"L "&amp;A68&amp;" + L "&amp;A70&amp;" + L "&amp;A72&amp;""</f>
        <v>L 41 + L 43 + L 45</v>
      </c>
      <c r="J73" s="30"/>
      <c r="K73" s="244"/>
      <c r="N73" s="170"/>
    </row>
    <row r="74" spans="1:14" x14ac:dyDescent="0.2">
      <c r="B74" s="204" t="s">
        <v>104</v>
      </c>
      <c r="D74" s="173"/>
      <c r="E74" s="170"/>
      <c r="H74" s="56"/>
      <c r="K74" s="87"/>
      <c r="L74" s="245"/>
    </row>
    <row r="75" spans="1:14" ht="26.45" customHeight="1" x14ac:dyDescent="0.2">
      <c r="A75" s="164"/>
      <c r="B75" s="169" t="s">
        <v>145</v>
      </c>
      <c r="C75" s="204"/>
      <c r="D75" s="173"/>
      <c r="E75" s="170"/>
      <c r="K75" s="87">
        <v>-19693.196900606155</v>
      </c>
      <c r="L75" s="345" t="s">
        <v>405</v>
      </c>
      <c r="M75" s="345"/>
      <c r="N75" s="250"/>
    </row>
    <row r="76" spans="1:14" ht="23.1" customHeight="1" x14ac:dyDescent="0.2">
      <c r="A76" s="164"/>
      <c r="B76" s="169" t="s">
        <v>146</v>
      </c>
      <c r="C76" s="204"/>
      <c r="D76" s="173"/>
      <c r="E76" s="170"/>
      <c r="L76" s="250"/>
      <c r="M76" s="250"/>
      <c r="N76" s="250"/>
    </row>
    <row r="77" spans="1:14" x14ac:dyDescent="0.2">
      <c r="A77" s="164"/>
      <c r="B77" s="201" t="s">
        <v>105</v>
      </c>
      <c r="C77" s="169"/>
      <c r="D77" s="173"/>
      <c r="E77" s="170"/>
    </row>
    <row r="78" spans="1:14" x14ac:dyDescent="0.2">
      <c r="A78" s="164"/>
      <c r="B78" s="201" t="s">
        <v>106</v>
      </c>
      <c r="D78" s="173"/>
      <c r="E78" s="170"/>
    </row>
    <row r="79" spans="1:14" x14ac:dyDescent="0.2">
      <c r="A79" s="164"/>
      <c r="K79" s="39"/>
      <c r="L79" s="30"/>
    </row>
    <row r="80" spans="1:14" x14ac:dyDescent="0.2">
      <c r="A80" s="164"/>
      <c r="B80" s="169" t="s">
        <v>107</v>
      </c>
    </row>
    <row r="81" spans="1:12" x14ac:dyDescent="0.2">
      <c r="A81" s="164"/>
      <c r="B81" s="169"/>
      <c r="C81" s="169" t="s">
        <v>108</v>
      </c>
    </row>
    <row r="82" spans="1:12" x14ac:dyDescent="0.2">
      <c r="A82" s="164"/>
      <c r="B82" s="169"/>
      <c r="J82" s="164" t="s">
        <v>109</v>
      </c>
    </row>
    <row r="83" spans="1:12" x14ac:dyDescent="0.2">
      <c r="A83" s="164"/>
      <c r="E83" s="166" t="s">
        <v>110</v>
      </c>
      <c r="F83" s="188" t="s">
        <v>96</v>
      </c>
      <c r="G83" s="166" t="s">
        <v>111</v>
      </c>
      <c r="H83" s="166" t="s">
        <v>112</v>
      </c>
      <c r="J83" s="166" t="s">
        <v>113</v>
      </c>
    </row>
    <row r="84" spans="1:12" x14ac:dyDescent="0.2">
      <c r="B84" s="198" t="s">
        <v>114</v>
      </c>
      <c r="C84" s="169" t="s">
        <v>115</v>
      </c>
      <c r="E84" s="246">
        <v>0.112</v>
      </c>
      <c r="F84" s="169" t="s">
        <v>118</v>
      </c>
      <c r="G84" s="212">
        <v>43101</v>
      </c>
      <c r="H84" s="212">
        <v>43465</v>
      </c>
      <c r="I84" s="169"/>
      <c r="J84" s="181">
        <v>365</v>
      </c>
    </row>
    <row r="85" spans="1:12" x14ac:dyDescent="0.2">
      <c r="B85" s="198" t="s">
        <v>116</v>
      </c>
      <c r="C85" s="169" t="s">
        <v>117</v>
      </c>
      <c r="E85" s="246">
        <v>0.112</v>
      </c>
      <c r="F85" s="169" t="s">
        <v>147</v>
      </c>
      <c r="G85" s="239"/>
      <c r="H85" s="240"/>
      <c r="I85" s="169"/>
      <c r="J85" s="181"/>
    </row>
    <row r="86" spans="1:12" x14ac:dyDescent="0.2">
      <c r="B86" s="198" t="s">
        <v>119</v>
      </c>
      <c r="C86" s="169"/>
      <c r="E86" s="213"/>
      <c r="F86" s="169"/>
      <c r="G86" s="200"/>
      <c r="H86" s="200"/>
      <c r="I86" s="175" t="s">
        <v>120</v>
      </c>
      <c r="J86" s="169">
        <f>SUM(J84:J85)</f>
        <v>365</v>
      </c>
      <c r="K86" s="169"/>
      <c r="L86" s="169"/>
    </row>
    <row r="87" spans="1:12" x14ac:dyDescent="0.2">
      <c r="B87" s="198" t="s">
        <v>121</v>
      </c>
      <c r="C87" s="169" t="s">
        <v>122</v>
      </c>
      <c r="E87" s="214">
        <f>((E84*J84) + (E85* J85)) / J86</f>
        <v>0.112</v>
      </c>
      <c r="F87" s="169" t="s">
        <v>123</v>
      </c>
      <c r="H87" s="169"/>
      <c r="I87" s="169"/>
      <c r="J87" s="169"/>
      <c r="K87" s="169"/>
      <c r="L87" s="169"/>
    </row>
    <row r="88" spans="1:12" x14ac:dyDescent="0.2">
      <c r="A88" s="164"/>
      <c r="B88" s="169"/>
      <c r="H88" s="169"/>
      <c r="I88" s="169"/>
      <c r="J88" s="169"/>
      <c r="K88" s="169"/>
      <c r="L88" s="169"/>
    </row>
    <row r="89" spans="1:12" x14ac:dyDescent="0.2">
      <c r="A89" s="164"/>
      <c r="B89" s="169" t="s">
        <v>124</v>
      </c>
      <c r="H89" s="169"/>
      <c r="I89" s="169"/>
      <c r="J89" s="169"/>
      <c r="K89" s="169"/>
      <c r="L89" s="169"/>
    </row>
    <row r="90" spans="1:12" x14ac:dyDescent="0.2">
      <c r="A90" s="164"/>
      <c r="B90" s="169"/>
      <c r="E90" s="188" t="s">
        <v>96</v>
      </c>
      <c r="H90" s="169"/>
      <c r="I90" s="169"/>
      <c r="J90" s="169"/>
      <c r="K90" s="169"/>
      <c r="L90" s="169"/>
    </row>
    <row r="91" spans="1:12" x14ac:dyDescent="0.2">
      <c r="B91" s="198" t="s">
        <v>125</v>
      </c>
      <c r="C91" s="169" t="s">
        <v>126</v>
      </c>
      <c r="E91" s="247" t="s">
        <v>393</v>
      </c>
      <c r="F91" s="161"/>
      <c r="G91" s="161"/>
      <c r="H91" s="181"/>
      <c r="I91" s="181"/>
      <c r="J91" s="181"/>
      <c r="K91" s="169"/>
      <c r="L91" s="169"/>
    </row>
    <row r="92" spans="1:12" x14ac:dyDescent="0.2">
      <c r="B92" s="198" t="s">
        <v>127</v>
      </c>
      <c r="C92" s="169" t="s">
        <v>128</v>
      </c>
      <c r="E92" s="247" t="s">
        <v>393</v>
      </c>
      <c r="F92" s="161"/>
      <c r="G92" s="161"/>
      <c r="H92" s="181"/>
      <c r="I92" s="181"/>
      <c r="J92" s="181"/>
      <c r="K92" s="169"/>
      <c r="L92" s="169"/>
    </row>
    <row r="93" spans="1:12" x14ac:dyDescent="0.2">
      <c r="C93" s="169"/>
      <c r="E93" s="200"/>
      <c r="I93" s="169"/>
      <c r="J93" s="169"/>
      <c r="K93" s="169"/>
      <c r="L93" s="169"/>
    </row>
    <row r="94" spans="1:12" x14ac:dyDescent="0.2">
      <c r="E94" s="166" t="s">
        <v>110</v>
      </c>
      <c r="F94" s="188" t="s">
        <v>96</v>
      </c>
      <c r="H94" s="169"/>
      <c r="I94" s="169"/>
      <c r="K94" s="169"/>
      <c r="L94" s="169"/>
    </row>
    <row r="95" spans="1:12" x14ac:dyDescent="0.2">
      <c r="B95" s="198" t="s">
        <v>129</v>
      </c>
      <c r="C95" s="169" t="s">
        <v>130</v>
      </c>
      <c r="D95" s="169"/>
      <c r="E95" s="179">
        <v>2.1170433986911801E-2</v>
      </c>
      <c r="F95" t="s">
        <v>469</v>
      </c>
      <c r="H95" s="169"/>
      <c r="I95" s="169"/>
      <c r="K95" s="169"/>
      <c r="L95" s="169"/>
    </row>
    <row r="96" spans="1:12" x14ac:dyDescent="0.2">
      <c r="B96" s="198" t="s">
        <v>131</v>
      </c>
      <c r="C96" s="169" t="s">
        <v>132</v>
      </c>
      <c r="E96" s="179">
        <v>4.6008620927769249E-3</v>
      </c>
      <c r="F96" t="s">
        <v>470</v>
      </c>
      <c r="H96" s="169"/>
      <c r="I96" s="169"/>
    </row>
    <row r="97" spans="1:10" x14ac:dyDescent="0.2">
      <c r="B97" s="198" t="s">
        <v>133</v>
      </c>
      <c r="C97" s="169" t="s">
        <v>134</v>
      </c>
      <c r="E97" s="178">
        <v>5.2247470681271231E-2</v>
      </c>
      <c r="F97" t="s">
        <v>471</v>
      </c>
      <c r="G97" s="169"/>
      <c r="H97" s="169"/>
    </row>
    <row r="98" spans="1:10" x14ac:dyDescent="0.2">
      <c r="B98" s="164" t="s">
        <v>135</v>
      </c>
      <c r="C98" s="176" t="s">
        <v>68</v>
      </c>
      <c r="E98" s="209">
        <f>SUM(E95:E97)</f>
        <v>7.8018766760959951E-2</v>
      </c>
      <c r="F98" s="170" t="str">
        <f>"Sum of Lines "&amp;B95&amp;" to "&amp;B97&amp;""</f>
        <v>Sum of Lines g to i</v>
      </c>
      <c r="G98" s="199"/>
      <c r="J98" s="219"/>
    </row>
    <row r="99" spans="1:10" x14ac:dyDescent="0.2">
      <c r="A99" s="164"/>
      <c r="C99" s="65"/>
      <c r="D99" s="66"/>
      <c r="E99" s="170"/>
      <c r="F99" s="170"/>
      <c r="G99" s="199"/>
      <c r="H99" s="170"/>
      <c r="J99" s="219"/>
    </row>
    <row r="100" spans="1:10" x14ac:dyDescent="0.2">
      <c r="A100" s="164"/>
      <c r="B100" s="169" t="s">
        <v>136</v>
      </c>
    </row>
    <row r="101" spans="1:10" x14ac:dyDescent="0.2">
      <c r="A101" s="164"/>
    </row>
    <row r="102" spans="1:10" x14ac:dyDescent="0.2">
      <c r="A102" s="164"/>
      <c r="E102" s="166" t="s">
        <v>110</v>
      </c>
      <c r="F102" s="188" t="s">
        <v>96</v>
      </c>
    </row>
    <row r="103" spans="1:10" x14ac:dyDescent="0.2">
      <c r="B103" s="198" t="s">
        <v>137</v>
      </c>
      <c r="E103" s="179">
        <f>E96+E97</f>
        <v>5.6848332774048153E-2</v>
      </c>
      <c r="F103" s="170" t="str">
        <f>"Sum of Lines "&amp;B96&amp;" to "&amp;B97&amp;""</f>
        <v>Sum of Lines h to i</v>
      </c>
    </row>
    <row r="104" spans="1:10" x14ac:dyDescent="0.2">
      <c r="A104" s="164"/>
      <c r="E104" s="179"/>
      <c r="F104" s="170"/>
    </row>
    <row r="105" spans="1:10" x14ac:dyDescent="0.2">
      <c r="A105" s="164"/>
      <c r="B105" s="248" t="s">
        <v>152</v>
      </c>
      <c r="E105" s="199"/>
      <c r="F105" s="199"/>
      <c r="G105" s="199"/>
      <c r="H105" s="170"/>
    </row>
    <row r="106" spans="1:10" x14ac:dyDescent="0.2">
      <c r="A106" s="164"/>
      <c r="B106" s="248" t="s">
        <v>153</v>
      </c>
    </row>
    <row r="107" spans="1:10" x14ac:dyDescent="0.2">
      <c r="A107" s="164"/>
      <c r="B107" s="248" t="s">
        <v>154</v>
      </c>
      <c r="D107" s="164"/>
      <c r="E107" s="164"/>
      <c r="F107" s="164"/>
      <c r="G107" s="164"/>
      <c r="H107" s="164"/>
    </row>
    <row r="108" spans="1:10" x14ac:dyDescent="0.2">
      <c r="A108" s="164"/>
      <c r="B108" s="201"/>
      <c r="D108" s="164"/>
      <c r="E108" s="164"/>
      <c r="F108" s="164"/>
      <c r="G108" s="164"/>
      <c r="H108" s="164"/>
    </row>
    <row r="109" spans="1:10" x14ac:dyDescent="0.2">
      <c r="A109" s="164"/>
      <c r="C109" s="67"/>
      <c r="D109" s="67"/>
      <c r="E109" s="166"/>
      <c r="F109" s="166"/>
      <c r="G109" s="166"/>
      <c r="H109" s="166"/>
    </row>
    <row r="110" spans="1:10" x14ac:dyDescent="0.2">
      <c r="A110" s="164"/>
    </row>
    <row r="111" spans="1:10" x14ac:dyDescent="0.2">
      <c r="A111" s="164"/>
    </row>
    <row r="112" spans="1:10" x14ac:dyDescent="0.2">
      <c r="A112" s="164"/>
    </row>
    <row r="113" spans="1:10" x14ac:dyDescent="0.2">
      <c r="A113" s="164"/>
      <c r="C113" s="65"/>
      <c r="E113" s="170"/>
      <c r="F113" s="170"/>
      <c r="H113" s="170"/>
      <c r="J113" s="219"/>
    </row>
    <row r="114" spans="1:10" x14ac:dyDescent="0.2">
      <c r="A114" s="164"/>
      <c r="C114" s="65"/>
      <c r="E114" s="170"/>
      <c r="F114" s="170"/>
      <c r="H114" s="170"/>
      <c r="J114" s="219"/>
    </row>
    <row r="115" spans="1:10" x14ac:dyDescent="0.2">
      <c r="A115" s="165"/>
      <c r="C115" s="65"/>
      <c r="E115" s="170"/>
      <c r="F115" s="170"/>
      <c r="H115" s="170"/>
      <c r="J115" s="219"/>
    </row>
    <row r="116" spans="1:10" x14ac:dyDescent="0.2">
      <c r="A116" s="164"/>
      <c r="D116" s="68"/>
      <c r="E116" s="170"/>
      <c r="F116" s="170"/>
      <c r="G116" s="169"/>
      <c r="H116" s="170"/>
      <c r="J116" s="219"/>
    </row>
    <row r="117" spans="1:10" x14ac:dyDescent="0.2">
      <c r="A117" s="164"/>
      <c r="C117" s="65"/>
      <c r="D117" s="175"/>
      <c r="E117" s="177"/>
      <c r="F117" s="170"/>
      <c r="G117" s="169"/>
      <c r="H117" s="170"/>
      <c r="J117" s="219"/>
    </row>
    <row r="118" spans="1:10" x14ac:dyDescent="0.2">
      <c r="A118" s="164"/>
      <c r="C118" s="65"/>
      <c r="D118" s="175"/>
      <c r="E118" s="170"/>
      <c r="F118" s="170"/>
      <c r="G118" s="169"/>
      <c r="H118" s="170"/>
      <c r="J118" s="219"/>
    </row>
    <row r="119" spans="1:10" x14ac:dyDescent="0.2">
      <c r="A119" s="164"/>
    </row>
    <row r="120" spans="1:10" x14ac:dyDescent="0.2">
      <c r="A120" s="164"/>
      <c r="B120" s="159"/>
    </row>
    <row r="121" spans="1:10" x14ac:dyDescent="0.2">
      <c r="A121" s="164"/>
    </row>
    <row r="122" spans="1:10" x14ac:dyDescent="0.2">
      <c r="A122" s="164"/>
    </row>
    <row r="123" spans="1:10" x14ac:dyDescent="0.2">
      <c r="A123" s="164"/>
      <c r="F123" s="164"/>
    </row>
    <row r="124" spans="1:10" x14ac:dyDescent="0.2">
      <c r="A124" s="164"/>
      <c r="F124" s="164"/>
    </row>
    <row r="125" spans="1:10" x14ac:dyDescent="0.2">
      <c r="A125" s="164"/>
      <c r="D125" s="164"/>
      <c r="E125" s="164"/>
      <c r="F125" s="164"/>
      <c r="H125" s="164"/>
    </row>
    <row r="126" spans="1:10" x14ac:dyDescent="0.2">
      <c r="A126" s="164"/>
      <c r="D126" s="164"/>
      <c r="E126" s="164"/>
      <c r="F126" s="164"/>
      <c r="G126" s="164"/>
      <c r="H126" s="198"/>
    </row>
    <row r="127" spans="1:10" x14ac:dyDescent="0.2">
      <c r="A127" s="165"/>
      <c r="C127" s="67"/>
      <c r="D127" s="67"/>
      <c r="E127" s="166"/>
      <c r="F127" s="163"/>
      <c r="G127" s="166"/>
      <c r="H127" s="198"/>
    </row>
    <row r="128" spans="1:10" x14ac:dyDescent="0.2">
      <c r="A128" s="164"/>
      <c r="C128" s="65"/>
      <c r="D128" s="66"/>
      <c r="E128" s="170"/>
      <c r="F128" s="170"/>
      <c r="G128" s="214"/>
      <c r="H128" s="170"/>
    </row>
    <row r="129" spans="1:8" x14ac:dyDescent="0.2">
      <c r="A129" s="164"/>
      <c r="C129" s="65"/>
      <c r="D129" s="66"/>
      <c r="E129" s="170"/>
      <c r="F129" s="170"/>
      <c r="G129" s="214"/>
      <c r="H129" s="170"/>
    </row>
    <row r="130" spans="1:8" x14ac:dyDescent="0.2">
      <c r="A130" s="164"/>
      <c r="C130" s="65"/>
      <c r="D130" s="66"/>
      <c r="E130" s="170"/>
      <c r="F130" s="170"/>
      <c r="G130" s="214"/>
      <c r="H130" s="170"/>
    </row>
    <row r="131" spans="1:8" x14ac:dyDescent="0.2">
      <c r="A131" s="164"/>
      <c r="C131" s="65"/>
      <c r="D131" s="66"/>
      <c r="E131" s="170"/>
      <c r="F131" s="170"/>
      <c r="G131" s="214"/>
      <c r="H131" s="170"/>
    </row>
    <row r="132" spans="1:8" x14ac:dyDescent="0.2">
      <c r="A132" s="164"/>
      <c r="C132" s="65"/>
      <c r="D132" s="66"/>
      <c r="E132" s="170"/>
      <c r="F132" s="170"/>
      <c r="G132" s="214"/>
      <c r="H132" s="170"/>
    </row>
    <row r="133" spans="1:8" x14ac:dyDescent="0.2">
      <c r="A133" s="164"/>
      <c r="C133" s="65"/>
      <c r="D133" s="66"/>
      <c r="E133" s="170"/>
      <c r="F133" s="170"/>
      <c r="G133" s="214"/>
      <c r="H133" s="170"/>
    </row>
    <row r="134" spans="1:8" x14ac:dyDescent="0.2">
      <c r="A134" s="164"/>
      <c r="C134" s="65"/>
      <c r="D134" s="66"/>
      <c r="E134" s="170"/>
      <c r="F134" s="170"/>
      <c r="G134" s="214"/>
      <c r="H134" s="170"/>
    </row>
    <row r="135" spans="1:8" x14ac:dyDescent="0.2">
      <c r="A135" s="164"/>
      <c r="C135" s="65"/>
      <c r="D135" s="66"/>
      <c r="E135" s="170"/>
      <c r="F135" s="170"/>
      <c r="G135" s="214"/>
      <c r="H135" s="170"/>
    </row>
    <row r="136" spans="1:8" x14ac:dyDescent="0.2">
      <c r="A136" s="164"/>
      <c r="C136" s="65"/>
      <c r="D136" s="66"/>
      <c r="E136" s="170"/>
      <c r="F136" s="170"/>
      <c r="G136" s="214"/>
      <c r="H136" s="170"/>
    </row>
    <row r="137" spans="1:8" x14ac:dyDescent="0.2">
      <c r="A137" s="164"/>
      <c r="C137" s="65"/>
      <c r="D137" s="66"/>
      <c r="E137" s="170"/>
      <c r="F137" s="170"/>
      <c r="G137" s="214"/>
      <c r="H137" s="170"/>
    </row>
    <row r="138" spans="1:8" x14ac:dyDescent="0.2">
      <c r="A138" s="164"/>
      <c r="C138" s="65"/>
      <c r="D138" s="66"/>
      <c r="E138" s="170"/>
      <c r="F138" s="170"/>
      <c r="G138" s="214"/>
      <c r="H138" s="170"/>
    </row>
    <row r="139" spans="1:8" x14ac:dyDescent="0.2">
      <c r="A139" s="164"/>
      <c r="C139" s="65"/>
      <c r="D139" s="66"/>
      <c r="E139" s="170"/>
      <c r="F139" s="170"/>
      <c r="G139" s="214"/>
      <c r="H139" s="177"/>
    </row>
    <row r="140" spans="1:8" x14ac:dyDescent="0.2">
      <c r="A140" s="164"/>
      <c r="H140" s="170"/>
    </row>
    <row r="141" spans="1:8" x14ac:dyDescent="0.2">
      <c r="A141" s="164"/>
      <c r="C141" s="65"/>
      <c r="D141" s="66"/>
      <c r="F141" s="220"/>
      <c r="G141" s="214"/>
      <c r="H141" s="220"/>
    </row>
    <row r="142" spans="1:8" x14ac:dyDescent="0.2">
      <c r="A142" s="164"/>
      <c r="B142" s="159"/>
      <c r="C142" s="65"/>
      <c r="D142" s="66"/>
      <c r="F142" s="220"/>
      <c r="G142" s="214"/>
      <c r="H142" s="220"/>
    </row>
    <row r="143" spans="1:8" x14ac:dyDescent="0.2">
      <c r="A143" s="165"/>
      <c r="B143" s="159"/>
      <c r="C143" s="65"/>
      <c r="D143" s="66"/>
      <c r="F143" s="220"/>
      <c r="G143" s="214"/>
      <c r="H143" s="220"/>
    </row>
    <row r="144" spans="1:8" x14ac:dyDescent="0.2">
      <c r="A144" s="164"/>
      <c r="C144" s="65"/>
      <c r="D144" s="71"/>
      <c r="E144" s="170"/>
      <c r="F144" s="221"/>
      <c r="G144" s="214"/>
      <c r="H144" s="220"/>
    </row>
    <row r="145" spans="1:8" x14ac:dyDescent="0.2">
      <c r="A145" s="164"/>
      <c r="C145" s="65"/>
      <c r="D145" s="173"/>
      <c r="E145" s="170"/>
      <c r="F145" s="221"/>
      <c r="G145" s="214"/>
      <c r="H145" s="220"/>
    </row>
    <row r="146" spans="1:8" x14ac:dyDescent="0.2">
      <c r="A146" s="164"/>
      <c r="C146" s="65"/>
      <c r="D146" s="173"/>
      <c r="E146" s="177"/>
      <c r="F146" s="221"/>
      <c r="G146" s="214"/>
      <c r="H146" s="220"/>
    </row>
    <row r="147" spans="1:8" x14ac:dyDescent="0.2">
      <c r="A147" s="164"/>
      <c r="C147" s="65"/>
      <c r="D147" s="71"/>
      <c r="E147" s="170"/>
      <c r="F147" s="220"/>
      <c r="G147" s="214"/>
      <c r="H147" s="220"/>
    </row>
    <row r="148" spans="1:8" x14ac:dyDescent="0.2">
      <c r="A148" s="164"/>
      <c r="C148" s="65"/>
      <c r="D148" s="66"/>
      <c r="F148" s="220"/>
      <c r="G148" s="214"/>
      <c r="H148" s="220"/>
    </row>
    <row r="149" spans="1:8" x14ac:dyDescent="0.2">
      <c r="A149" s="164"/>
    </row>
    <row r="150" spans="1:8" x14ac:dyDescent="0.2">
      <c r="A150" s="164"/>
    </row>
    <row r="151" spans="1:8" x14ac:dyDescent="0.2">
      <c r="A151" s="164"/>
    </row>
    <row r="152" spans="1:8" x14ac:dyDescent="0.2">
      <c r="A152" s="164"/>
      <c r="B152" s="159"/>
    </row>
    <row r="153" spans="1:8" x14ac:dyDescent="0.2">
      <c r="A153" s="164"/>
      <c r="B153" s="169"/>
    </row>
    <row r="154" spans="1:8" x14ac:dyDescent="0.2">
      <c r="A154" s="164"/>
      <c r="B154" s="169"/>
    </row>
    <row r="155" spans="1:8" x14ac:dyDescent="0.2">
      <c r="A155" s="164"/>
      <c r="B155" s="169"/>
    </row>
    <row r="156" spans="1:8" x14ac:dyDescent="0.2">
      <c r="A156" s="164"/>
    </row>
    <row r="157" spans="1:8" x14ac:dyDescent="0.2">
      <c r="A157" s="164"/>
      <c r="B157" s="159"/>
    </row>
    <row r="158" spans="1:8" x14ac:dyDescent="0.2">
      <c r="A158" s="164"/>
    </row>
    <row r="159" spans="1:8" x14ac:dyDescent="0.2">
      <c r="A159" s="165"/>
      <c r="C159" s="67"/>
      <c r="D159" s="166"/>
    </row>
    <row r="160" spans="1:8" x14ac:dyDescent="0.2">
      <c r="A160" s="164"/>
      <c r="C160" s="65"/>
      <c r="D160" s="222"/>
      <c r="F160" s="179"/>
    </row>
    <row r="161" spans="1:6" x14ac:dyDescent="0.2">
      <c r="A161" s="164"/>
      <c r="C161" s="65"/>
      <c r="D161" s="222"/>
      <c r="F161" s="179"/>
    </row>
    <row r="162" spans="1:6" x14ac:dyDescent="0.2">
      <c r="A162" s="164"/>
      <c r="C162" s="65"/>
      <c r="D162" s="222"/>
      <c r="F162" s="179"/>
    </row>
    <row r="163" spans="1:6" x14ac:dyDescent="0.2">
      <c r="A163" s="164"/>
      <c r="C163" s="65"/>
      <c r="D163" s="222"/>
      <c r="F163" s="179"/>
    </row>
    <row r="164" spans="1:6" x14ac:dyDescent="0.2">
      <c r="A164" s="164"/>
      <c r="C164" s="65"/>
      <c r="D164" s="222"/>
      <c r="F164" s="179"/>
    </row>
    <row r="165" spans="1:6" x14ac:dyDescent="0.2">
      <c r="A165" s="164"/>
      <c r="C165" s="65"/>
      <c r="D165" s="222"/>
      <c r="F165" s="179"/>
    </row>
    <row r="166" spans="1:6" x14ac:dyDescent="0.2">
      <c r="A166" s="164"/>
      <c r="C166" s="65"/>
      <c r="D166" s="222"/>
      <c r="F166" s="179"/>
    </row>
    <row r="167" spans="1:6" x14ac:dyDescent="0.2">
      <c r="A167" s="164"/>
      <c r="C167" s="65"/>
      <c r="D167" s="222"/>
      <c r="F167" s="179"/>
    </row>
    <row r="168" spans="1:6" x14ac:dyDescent="0.2">
      <c r="A168" s="164"/>
      <c r="C168" s="65"/>
      <c r="D168" s="222"/>
      <c r="F168" s="179"/>
    </row>
    <row r="169" spans="1:6" x14ac:dyDescent="0.2">
      <c r="A169" s="164"/>
      <c r="C169" s="65"/>
      <c r="D169" s="222"/>
      <c r="F169" s="179"/>
    </row>
    <row r="170" spans="1:6" x14ac:dyDescent="0.2">
      <c r="A170" s="164"/>
      <c r="C170" s="65"/>
      <c r="D170" s="222"/>
      <c r="F170" s="179"/>
    </row>
    <row r="171" spans="1:6" x14ac:dyDescent="0.2">
      <c r="A171" s="164"/>
      <c r="C171" s="65"/>
      <c r="D171" s="223"/>
      <c r="F171" s="178"/>
    </row>
    <row r="172" spans="1:6" x14ac:dyDescent="0.2">
      <c r="A172" s="164"/>
      <c r="C172" s="68"/>
      <c r="D172" s="222"/>
    </row>
  </sheetData>
  <mergeCells count="2">
    <mergeCell ref="K71:L71"/>
    <mergeCell ref="L75:M75"/>
  </mergeCells>
  <pageMargins left="0.75" right="0.75" top="1" bottom="1" header="0.5" footer="0.5"/>
  <pageSetup scale="67" orientation="landscape" cellComments="asDisplayed" r:id="rId1"/>
  <headerFooter alignWithMargins="0">
    <oddHeader>&amp;CSchedule 4
True Up TRR
(Revised 2018 
TO2020 True Up TRR)&amp;RTO2024 Annual Update
Attachment 4
WP-Schedule 3-One Time Adj Prior Period
Page &amp;P of &amp;N</oddHeader>
    <oddFooter>&amp;R&amp;A</oddFooter>
  </headerFooter>
  <rowBreaks count="4" manualBreakCount="4">
    <brk id="45" max="11" man="1"/>
    <brk id="73" max="16383" man="1"/>
    <brk id="119" max="9" man="1"/>
    <brk id="151"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80D1F-91C6-4714-9F8E-2522CB8884CA}">
  <sheetPr>
    <tabColor rgb="FFCC99FF"/>
  </sheetPr>
  <dimension ref="A1:X104"/>
  <sheetViews>
    <sheetView zoomScaleNormal="100" workbookViewId="0"/>
  </sheetViews>
  <sheetFormatPr defaultRowHeight="12.75" x14ac:dyDescent="0.2"/>
  <cols>
    <col min="1" max="1" width="4.7109375" customWidth="1"/>
    <col min="2" max="2" width="2.7109375" customWidth="1"/>
    <col min="3" max="3" width="8.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159" t="s">
        <v>170</v>
      </c>
      <c r="F1" s="160" t="s">
        <v>171</v>
      </c>
      <c r="G1" s="161"/>
      <c r="H1" s="162"/>
      <c r="I1" s="162"/>
    </row>
    <row r="2" spans="1:24" x14ac:dyDescent="0.2">
      <c r="E2" s="163" t="s">
        <v>172</v>
      </c>
      <c r="F2" s="163" t="s">
        <v>173</v>
      </c>
      <c r="G2" s="163" t="s">
        <v>174</v>
      </c>
      <c r="H2" s="163" t="s">
        <v>175</v>
      </c>
      <c r="I2" s="162"/>
    </row>
    <row r="3" spans="1:24" x14ac:dyDescent="0.2">
      <c r="G3" s="162" t="s">
        <v>176</v>
      </c>
    </row>
    <row r="4" spans="1:24" x14ac:dyDescent="0.2">
      <c r="E4" s="164" t="s">
        <v>177</v>
      </c>
      <c r="F4" s="110" t="s">
        <v>178</v>
      </c>
      <c r="G4" s="164" t="s">
        <v>179</v>
      </c>
      <c r="I4" s="164"/>
    </row>
    <row r="5" spans="1:24" x14ac:dyDescent="0.2">
      <c r="A5" s="165" t="s">
        <v>39</v>
      </c>
      <c r="B5" s="166"/>
      <c r="C5" s="166" t="s">
        <v>180</v>
      </c>
      <c r="D5" s="166" t="s">
        <v>31</v>
      </c>
      <c r="E5" s="166" t="s">
        <v>32</v>
      </c>
      <c r="F5" s="67" t="s">
        <v>33</v>
      </c>
      <c r="G5" s="166" t="s">
        <v>181</v>
      </c>
      <c r="H5" s="166" t="s">
        <v>82</v>
      </c>
      <c r="I5" s="166" t="s">
        <v>42</v>
      </c>
      <c r="K5" s="166"/>
      <c r="L5" s="166"/>
      <c r="M5" s="166"/>
      <c r="N5" s="166"/>
      <c r="O5" s="166"/>
      <c r="P5" s="166"/>
      <c r="Q5" s="166"/>
      <c r="R5" s="166"/>
      <c r="S5" s="166"/>
      <c r="T5" s="166"/>
      <c r="U5" s="166"/>
      <c r="V5" s="166"/>
      <c r="W5" s="166"/>
      <c r="X5" s="166"/>
    </row>
    <row r="6" spans="1:24" x14ac:dyDescent="0.2">
      <c r="A6" s="164">
        <v>1</v>
      </c>
      <c r="C6" s="162">
        <v>920</v>
      </c>
      <c r="D6" t="s">
        <v>182</v>
      </c>
      <c r="E6" s="167">
        <v>380019593</v>
      </c>
      <c r="F6" s="162" t="s">
        <v>183</v>
      </c>
      <c r="G6" s="170">
        <f>D37</f>
        <v>97483049.662320316</v>
      </c>
      <c r="H6" s="170">
        <f t="shared" ref="H6:H19" si="0">E6-G6</f>
        <v>282536543.33767968</v>
      </c>
      <c r="J6" s="169"/>
    </row>
    <row r="7" spans="1:24" x14ac:dyDescent="0.2">
      <c r="A7" s="164">
        <f>A6+1</f>
        <v>2</v>
      </c>
      <c r="C7" s="162">
        <v>921</v>
      </c>
      <c r="D7" t="s">
        <v>184</v>
      </c>
      <c r="E7" s="167">
        <v>243397352</v>
      </c>
      <c r="F7" s="162" t="s">
        <v>185</v>
      </c>
      <c r="G7" s="170">
        <f t="shared" ref="G7:G19" si="1">D38</f>
        <v>8604255.4699999988</v>
      </c>
      <c r="H7" s="170">
        <f t="shared" si="0"/>
        <v>234793096.53</v>
      </c>
      <c r="J7" s="169"/>
    </row>
    <row r="8" spans="1:24" x14ac:dyDescent="0.2">
      <c r="A8" s="164">
        <f>A7+1</f>
        <v>3</v>
      </c>
      <c r="C8" s="162">
        <v>922</v>
      </c>
      <c r="D8" t="s">
        <v>186</v>
      </c>
      <c r="E8" s="167">
        <v>-153376384</v>
      </c>
      <c r="F8" s="162" t="s">
        <v>187</v>
      </c>
      <c r="G8" s="170">
        <f t="shared" si="1"/>
        <v>-62480935.075400002</v>
      </c>
      <c r="H8" s="170">
        <f t="shared" si="0"/>
        <v>-90895448.924600005</v>
      </c>
      <c r="I8" s="180" t="s">
        <v>188</v>
      </c>
      <c r="J8" s="169"/>
    </row>
    <row r="9" spans="1:24" x14ac:dyDescent="0.2">
      <c r="A9" s="164">
        <f t="shared" ref="A9:A20" si="2">A8+1</f>
        <v>4</v>
      </c>
      <c r="B9" s="164"/>
      <c r="C9" s="162">
        <v>923</v>
      </c>
      <c r="D9" t="s">
        <v>189</v>
      </c>
      <c r="E9" s="167">
        <v>54239013</v>
      </c>
      <c r="F9" s="162" t="s">
        <v>190</v>
      </c>
      <c r="G9" s="168">
        <f t="shared" si="1"/>
        <v>9099603.9179565907</v>
      </c>
      <c r="H9" s="168">
        <f t="shared" si="0"/>
        <v>45139409.082043409</v>
      </c>
      <c r="J9" s="169"/>
    </row>
    <row r="10" spans="1:24" x14ac:dyDescent="0.2">
      <c r="A10" s="164">
        <f t="shared" si="2"/>
        <v>5</v>
      </c>
      <c r="B10" s="164"/>
      <c r="C10" s="162">
        <v>924</v>
      </c>
      <c r="D10" t="s">
        <v>191</v>
      </c>
      <c r="E10" s="167">
        <v>16155127</v>
      </c>
      <c r="F10" s="162" t="s">
        <v>192</v>
      </c>
      <c r="G10" s="170">
        <f t="shared" si="1"/>
        <v>0</v>
      </c>
      <c r="H10" s="170">
        <f t="shared" si="0"/>
        <v>16155127</v>
      </c>
      <c r="J10" s="169"/>
    </row>
    <row r="11" spans="1:24" x14ac:dyDescent="0.2">
      <c r="A11" s="164">
        <f t="shared" si="2"/>
        <v>6</v>
      </c>
      <c r="B11" s="164"/>
      <c r="C11" s="162">
        <v>925</v>
      </c>
      <c r="D11" t="s">
        <v>193</v>
      </c>
      <c r="E11" s="167">
        <v>2996146771</v>
      </c>
      <c r="F11" s="162" t="s">
        <v>194</v>
      </c>
      <c r="G11" s="170">
        <f t="shared" si="1"/>
        <v>4252252.1400000006</v>
      </c>
      <c r="H11" s="170">
        <f t="shared" si="0"/>
        <v>2991894518.8600001</v>
      </c>
      <c r="J11" s="169"/>
    </row>
    <row r="12" spans="1:24" x14ac:dyDescent="0.2">
      <c r="A12" s="164">
        <f t="shared" si="2"/>
        <v>7</v>
      </c>
      <c r="B12" s="164"/>
      <c r="C12" s="162">
        <v>926</v>
      </c>
      <c r="D12" t="s">
        <v>195</v>
      </c>
      <c r="E12" s="167">
        <v>115626278</v>
      </c>
      <c r="F12" s="162" t="s">
        <v>196</v>
      </c>
      <c r="G12" s="170">
        <f t="shared" si="1"/>
        <v>-12067035</v>
      </c>
      <c r="H12" s="170">
        <f t="shared" si="0"/>
        <v>127693313</v>
      </c>
      <c r="J12" s="169"/>
    </row>
    <row r="13" spans="1:24" x14ac:dyDescent="0.2">
      <c r="A13" s="164">
        <f t="shared" si="2"/>
        <v>8</v>
      </c>
      <c r="B13" s="164"/>
      <c r="C13" s="162">
        <v>927</v>
      </c>
      <c r="D13" t="s">
        <v>197</v>
      </c>
      <c r="E13" s="167">
        <v>113911175</v>
      </c>
      <c r="F13" s="162" t="s">
        <v>198</v>
      </c>
      <c r="G13" s="170">
        <f t="shared" si="1"/>
        <v>113911175</v>
      </c>
      <c r="H13" s="170">
        <f t="shared" si="0"/>
        <v>0</v>
      </c>
      <c r="J13" s="169"/>
    </row>
    <row r="14" spans="1:24" x14ac:dyDescent="0.2">
      <c r="A14" s="164">
        <f t="shared" si="2"/>
        <v>9</v>
      </c>
      <c r="B14" s="164"/>
      <c r="C14" s="162">
        <v>928</v>
      </c>
      <c r="D14" s="169" t="s">
        <v>199</v>
      </c>
      <c r="E14" s="167">
        <v>11239506</v>
      </c>
      <c r="F14" s="162" t="s">
        <v>200</v>
      </c>
      <c r="G14" s="170">
        <f t="shared" si="1"/>
        <v>11197494.479999999</v>
      </c>
      <c r="H14" s="170">
        <f t="shared" si="0"/>
        <v>42011.520000001416</v>
      </c>
      <c r="J14" s="169"/>
    </row>
    <row r="15" spans="1:24" x14ac:dyDescent="0.2">
      <c r="A15" s="164">
        <f t="shared" si="2"/>
        <v>10</v>
      </c>
      <c r="B15" s="164"/>
      <c r="C15" s="162">
        <v>929</v>
      </c>
      <c r="D15" t="s">
        <v>201</v>
      </c>
      <c r="E15" s="167">
        <v>0</v>
      </c>
      <c r="F15" s="162" t="s">
        <v>202</v>
      </c>
      <c r="G15" s="170">
        <f t="shared" si="1"/>
        <v>0</v>
      </c>
      <c r="H15" s="170">
        <f t="shared" si="0"/>
        <v>0</v>
      </c>
      <c r="J15" s="169"/>
    </row>
    <row r="16" spans="1:24" x14ac:dyDescent="0.2">
      <c r="A16" s="164">
        <f t="shared" si="2"/>
        <v>11</v>
      </c>
      <c r="B16" s="164"/>
      <c r="C16" s="162">
        <v>930.1</v>
      </c>
      <c r="D16" t="s">
        <v>203</v>
      </c>
      <c r="E16" s="167">
        <v>6438097</v>
      </c>
      <c r="F16" s="162" t="s">
        <v>204</v>
      </c>
      <c r="G16" s="170">
        <f t="shared" si="1"/>
        <v>0</v>
      </c>
      <c r="H16" s="170">
        <f t="shared" si="0"/>
        <v>6438097</v>
      </c>
      <c r="J16" s="169"/>
    </row>
    <row r="17" spans="1:10" x14ac:dyDescent="0.2">
      <c r="A17" s="164">
        <f t="shared" si="2"/>
        <v>12</v>
      </c>
      <c r="B17" s="164"/>
      <c r="C17" s="162">
        <v>930.2</v>
      </c>
      <c r="D17" t="s">
        <v>205</v>
      </c>
      <c r="E17" s="167">
        <v>23890761</v>
      </c>
      <c r="F17" s="162" t="s">
        <v>206</v>
      </c>
      <c r="G17" s="170">
        <f t="shared" si="1"/>
        <v>14064692.309999999</v>
      </c>
      <c r="H17" s="170">
        <f t="shared" si="0"/>
        <v>9826068.6900000013</v>
      </c>
      <c r="J17" s="169"/>
    </row>
    <row r="18" spans="1:10" x14ac:dyDescent="0.2">
      <c r="A18" s="164">
        <f t="shared" si="2"/>
        <v>13</v>
      </c>
      <c r="B18" s="164"/>
      <c r="C18" s="162">
        <v>931</v>
      </c>
      <c r="D18" t="s">
        <v>207</v>
      </c>
      <c r="E18" s="167">
        <v>8428057</v>
      </c>
      <c r="F18" s="162" t="s">
        <v>208</v>
      </c>
      <c r="G18" s="170">
        <f t="shared" si="1"/>
        <v>11993181.66</v>
      </c>
      <c r="H18" s="170">
        <f t="shared" si="0"/>
        <v>-3565124.66</v>
      </c>
      <c r="J18" s="169"/>
    </row>
    <row r="19" spans="1:10" x14ac:dyDescent="0.2">
      <c r="A19" s="164">
        <f t="shared" si="2"/>
        <v>14</v>
      </c>
      <c r="B19" s="164"/>
      <c r="C19" s="162">
        <v>935</v>
      </c>
      <c r="D19" t="s">
        <v>209</v>
      </c>
      <c r="E19" s="171">
        <v>18830965</v>
      </c>
      <c r="F19" s="162" t="s">
        <v>210</v>
      </c>
      <c r="G19" s="170">
        <f t="shared" si="1"/>
        <v>699127.86</v>
      </c>
      <c r="H19" s="177">
        <f t="shared" si="0"/>
        <v>18131837.140000001</v>
      </c>
      <c r="J19" s="169"/>
    </row>
    <row r="20" spans="1:10" x14ac:dyDescent="0.2">
      <c r="A20" s="164">
        <f t="shared" si="2"/>
        <v>15</v>
      </c>
      <c r="E20" s="170">
        <f>SUM(E6:E19)</f>
        <v>3834946311</v>
      </c>
      <c r="G20" s="173" t="s">
        <v>211</v>
      </c>
      <c r="H20" s="174">
        <f>SUM(H6:H19)</f>
        <v>3638189448.5751233</v>
      </c>
    </row>
    <row r="22" spans="1:10" x14ac:dyDescent="0.2">
      <c r="F22" s="166" t="s">
        <v>32</v>
      </c>
      <c r="G22" s="166" t="s">
        <v>33</v>
      </c>
    </row>
    <row r="23" spans="1:10" x14ac:dyDescent="0.2">
      <c r="A23" s="164">
        <f>A20+1</f>
        <v>16</v>
      </c>
      <c r="E23" s="175" t="s">
        <v>212</v>
      </c>
      <c r="F23" s="168">
        <f>H20</f>
        <v>3638189448.5751233</v>
      </c>
      <c r="G23" s="176" t="str">
        <f>"Line "&amp;A20&amp;""</f>
        <v>Line 15</v>
      </c>
    </row>
    <row r="24" spans="1:10" x14ac:dyDescent="0.2">
      <c r="A24" s="164">
        <f t="shared" ref="A24:A30" si="3">A23+1</f>
        <v>17</v>
      </c>
      <c r="E24" s="175" t="s">
        <v>213</v>
      </c>
      <c r="F24" s="177">
        <f>E10</f>
        <v>16155127</v>
      </c>
      <c r="G24" s="176" t="str">
        <f>"Line "&amp;A10&amp;""</f>
        <v>Line 5</v>
      </c>
    </row>
    <row r="25" spans="1:10" x14ac:dyDescent="0.2">
      <c r="A25" s="164">
        <f t="shared" si="3"/>
        <v>18</v>
      </c>
      <c r="E25" s="175" t="s">
        <v>214</v>
      </c>
      <c r="F25" s="168">
        <f>F23-F24</f>
        <v>3622034321.5751233</v>
      </c>
      <c r="G25" s="176" t="str">
        <f>"Line "&amp;A23&amp;" - Line "&amp;A24&amp;""</f>
        <v>Line 16 - Line 17</v>
      </c>
    </row>
    <row r="26" spans="1:10" x14ac:dyDescent="0.2">
      <c r="A26" s="164">
        <f t="shared" si="3"/>
        <v>19</v>
      </c>
      <c r="E26" s="173" t="s">
        <v>215</v>
      </c>
      <c r="F26" s="178">
        <v>5.742655010962041E-2</v>
      </c>
      <c r="G26" s="176" t="s">
        <v>216</v>
      </c>
    </row>
    <row r="27" spans="1:10" x14ac:dyDescent="0.2">
      <c r="A27" s="164">
        <f t="shared" si="3"/>
        <v>20</v>
      </c>
      <c r="E27" s="175" t="s">
        <v>217</v>
      </c>
      <c r="F27" s="168">
        <f>F25*F26</f>
        <v>208000935.4666988</v>
      </c>
      <c r="G27" s="176" t="str">
        <f>"Line "&amp;A25&amp;" * Line "&amp;A26&amp;""</f>
        <v>Line 18 * Line 19</v>
      </c>
    </row>
    <row r="28" spans="1:10" x14ac:dyDescent="0.2">
      <c r="A28" s="164">
        <f t="shared" si="3"/>
        <v>21</v>
      </c>
      <c r="E28" s="175" t="s">
        <v>218</v>
      </c>
      <c r="F28" s="179">
        <v>0.18742153560119321</v>
      </c>
      <c r="G28" s="176" t="s">
        <v>219</v>
      </c>
    </row>
    <row r="29" spans="1:10" x14ac:dyDescent="0.2">
      <c r="A29" s="164">
        <f t="shared" si="3"/>
        <v>22</v>
      </c>
      <c r="E29" s="175" t="s">
        <v>220</v>
      </c>
      <c r="F29" s="177">
        <f>H10*F28</f>
        <v>3027818.7101722974</v>
      </c>
      <c r="G29" s="176" t="str">
        <f>"Line "&amp;A10&amp;" Col 4 * Line "&amp;A28&amp;""</f>
        <v>Line 5 Col 4 * Line 21</v>
      </c>
    </row>
    <row r="30" spans="1:10" x14ac:dyDescent="0.2">
      <c r="A30" s="164">
        <f t="shared" si="3"/>
        <v>23</v>
      </c>
      <c r="E30" s="175" t="s">
        <v>221</v>
      </c>
      <c r="F30" s="174">
        <f>F27+F29</f>
        <v>211028754.17687109</v>
      </c>
      <c r="G30" s="176" t="str">
        <f>"Line "&amp;A27&amp;" + Line "&amp;A29&amp;""</f>
        <v>Line 20 + Line 22</v>
      </c>
    </row>
    <row r="32" spans="1:10" x14ac:dyDescent="0.2">
      <c r="B32" s="159" t="s">
        <v>222</v>
      </c>
      <c r="E32" s="163" t="s">
        <v>172</v>
      </c>
      <c r="F32" s="163" t="s">
        <v>173</v>
      </c>
      <c r="G32" s="163" t="s">
        <v>174</v>
      </c>
      <c r="H32" s="163" t="s">
        <v>175</v>
      </c>
    </row>
    <row r="33" spans="1:11" x14ac:dyDescent="0.2">
      <c r="B33" s="159"/>
      <c r="E33" s="164" t="s">
        <v>223</v>
      </c>
      <c r="F33" s="163"/>
      <c r="G33" s="163"/>
      <c r="H33" s="163"/>
    </row>
    <row r="34" spans="1:11" x14ac:dyDescent="0.2">
      <c r="E34" s="164" t="s">
        <v>224</v>
      </c>
    </row>
    <row r="35" spans="1:11" x14ac:dyDescent="0.2">
      <c r="D35" s="164" t="s">
        <v>225</v>
      </c>
      <c r="E35" s="164" t="s">
        <v>226</v>
      </c>
      <c r="F35" s="164" t="s">
        <v>227</v>
      </c>
      <c r="G35" s="164"/>
      <c r="H35" s="164"/>
    </row>
    <row r="36" spans="1:11" x14ac:dyDescent="0.2">
      <c r="C36" s="166" t="s">
        <v>180</v>
      </c>
      <c r="D36" s="163" t="s">
        <v>228</v>
      </c>
      <c r="E36" s="166" t="s">
        <v>229</v>
      </c>
      <c r="F36" s="166" t="s">
        <v>230</v>
      </c>
      <c r="G36" s="166" t="s">
        <v>231</v>
      </c>
      <c r="H36" s="166" t="s">
        <v>232</v>
      </c>
      <c r="I36" s="166" t="s">
        <v>42</v>
      </c>
    </row>
    <row r="37" spans="1:11" x14ac:dyDescent="0.2">
      <c r="A37" s="164">
        <f>A30+1</f>
        <v>24</v>
      </c>
      <c r="C37" s="162">
        <v>920</v>
      </c>
      <c r="D37" s="185">
        <f>SUM(E37:H37)</f>
        <v>97483049.662320316</v>
      </c>
      <c r="E37" s="186">
        <v>-21943252.750439342</v>
      </c>
      <c r="F37" s="184"/>
      <c r="G37" s="170">
        <f>G58</f>
        <v>119426302.41275966</v>
      </c>
      <c r="H37" s="184"/>
      <c r="I37" s="176" t="s">
        <v>233</v>
      </c>
    </row>
    <row r="38" spans="1:11" x14ac:dyDescent="0.2">
      <c r="A38" s="164">
        <f>A37+1</f>
        <v>25</v>
      </c>
      <c r="C38" s="162">
        <v>921</v>
      </c>
      <c r="D38" s="185">
        <f t="shared" ref="D38:D50" si="4">SUM(E38:H38)</f>
        <v>8604255.4699999988</v>
      </c>
      <c r="E38" s="186">
        <v>8604255.4699999988</v>
      </c>
      <c r="F38" s="184"/>
      <c r="G38" s="184">
        <v>0</v>
      </c>
      <c r="H38" s="184"/>
      <c r="I38" s="180"/>
    </row>
    <row r="39" spans="1:11" ht="13.5" thickBot="1" x14ac:dyDescent="0.25">
      <c r="A39" s="164">
        <f t="shared" ref="A39:A50" si="5">A38+1</f>
        <v>26</v>
      </c>
      <c r="C39" s="162">
        <v>922</v>
      </c>
      <c r="D39" s="185">
        <f t="shared" si="4"/>
        <v>-62480935.075400002</v>
      </c>
      <c r="E39" s="186">
        <v>-7944352.0754000004</v>
      </c>
      <c r="F39" s="184"/>
      <c r="G39" s="111">
        <v>-54536583</v>
      </c>
      <c r="H39" s="184"/>
      <c r="I39" s="180"/>
    </row>
    <row r="40" spans="1:11" ht="13.5" thickBot="1" x14ac:dyDescent="0.25">
      <c r="A40" s="164">
        <f t="shared" si="5"/>
        <v>27</v>
      </c>
      <c r="C40" s="162">
        <v>923</v>
      </c>
      <c r="D40" s="182">
        <f t="shared" si="4"/>
        <v>9099603.9179565907</v>
      </c>
      <c r="E40" s="183">
        <v>9099603.9179565907</v>
      </c>
      <c r="F40" s="184"/>
      <c r="G40" s="184">
        <v>0</v>
      </c>
      <c r="H40" s="184"/>
      <c r="I40" s="180"/>
      <c r="J40" s="166"/>
      <c r="K40" s="166"/>
    </row>
    <row r="41" spans="1:11" x14ac:dyDescent="0.2">
      <c r="A41" s="164">
        <f t="shared" si="5"/>
        <v>28</v>
      </c>
      <c r="C41" s="162">
        <v>924</v>
      </c>
      <c r="D41" s="185">
        <f t="shared" si="4"/>
        <v>0</v>
      </c>
      <c r="E41" s="186">
        <v>0</v>
      </c>
      <c r="F41" s="184"/>
      <c r="G41" s="184">
        <v>0</v>
      </c>
      <c r="H41" s="184"/>
      <c r="I41" s="180"/>
      <c r="K41" s="170"/>
    </row>
    <row r="42" spans="1:11" x14ac:dyDescent="0.2">
      <c r="A42" s="164">
        <f t="shared" si="5"/>
        <v>29</v>
      </c>
      <c r="C42" s="162">
        <v>925</v>
      </c>
      <c r="D42" s="185">
        <f t="shared" si="4"/>
        <v>4252252.1400000006</v>
      </c>
      <c r="E42" s="186">
        <v>4252252.1400000006</v>
      </c>
      <c r="F42" s="184"/>
      <c r="G42" s="184">
        <v>0</v>
      </c>
      <c r="H42" s="184"/>
      <c r="I42" s="176"/>
      <c r="K42" s="170"/>
    </row>
    <row r="43" spans="1:11" x14ac:dyDescent="0.2">
      <c r="A43" s="164">
        <f t="shared" si="5"/>
        <v>30</v>
      </c>
      <c r="C43" s="162">
        <v>926</v>
      </c>
      <c r="D43" s="185">
        <f t="shared" si="4"/>
        <v>-12067035</v>
      </c>
      <c r="E43" s="186">
        <v>9885298</v>
      </c>
      <c r="F43" s="184"/>
      <c r="G43" s="184">
        <v>0</v>
      </c>
      <c r="H43" s="170">
        <f>E71</f>
        <v>-21952333</v>
      </c>
      <c r="I43" s="176" t="s">
        <v>234</v>
      </c>
      <c r="K43" s="170"/>
    </row>
    <row r="44" spans="1:11" x14ac:dyDescent="0.2">
      <c r="A44" s="164">
        <f t="shared" si="5"/>
        <v>31</v>
      </c>
      <c r="C44" s="162">
        <v>927</v>
      </c>
      <c r="D44" s="185">
        <f t="shared" si="4"/>
        <v>113911175</v>
      </c>
      <c r="E44" s="170">
        <v>0</v>
      </c>
      <c r="F44" s="170">
        <f>E13</f>
        <v>113911175</v>
      </c>
      <c r="G44" s="170">
        <v>0</v>
      </c>
      <c r="H44" s="170">
        <v>0</v>
      </c>
      <c r="I44" s="180" t="s">
        <v>235</v>
      </c>
      <c r="K44" s="170"/>
    </row>
    <row r="45" spans="1:11" x14ac:dyDescent="0.2">
      <c r="A45" s="164">
        <f t="shared" si="5"/>
        <v>32</v>
      </c>
      <c r="C45" s="162">
        <v>928</v>
      </c>
      <c r="D45" s="185">
        <f t="shared" si="4"/>
        <v>11197494.479999999</v>
      </c>
      <c r="E45" s="186">
        <v>11197494.479999999</v>
      </c>
      <c r="F45" s="184"/>
      <c r="G45" s="184">
        <v>0</v>
      </c>
      <c r="H45" s="184"/>
      <c r="I45" s="180"/>
      <c r="K45" s="170"/>
    </row>
    <row r="46" spans="1:11" x14ac:dyDescent="0.2">
      <c r="A46" s="164">
        <f t="shared" si="5"/>
        <v>33</v>
      </c>
      <c r="C46" s="162">
        <v>929</v>
      </c>
      <c r="D46" s="185">
        <f t="shared" si="4"/>
        <v>0</v>
      </c>
      <c r="E46" s="186">
        <v>0</v>
      </c>
      <c r="F46" s="184"/>
      <c r="G46" s="184">
        <v>0</v>
      </c>
      <c r="H46" s="184"/>
      <c r="I46" s="180"/>
      <c r="K46" s="170"/>
    </row>
    <row r="47" spans="1:11" x14ac:dyDescent="0.2">
      <c r="A47" s="164">
        <f t="shared" si="5"/>
        <v>34</v>
      </c>
      <c r="C47" s="162">
        <v>930.1</v>
      </c>
      <c r="D47" s="185">
        <f t="shared" si="4"/>
        <v>0</v>
      </c>
      <c r="E47" s="186">
        <v>0</v>
      </c>
      <c r="F47" s="184"/>
      <c r="G47" s="184">
        <v>0</v>
      </c>
      <c r="H47" s="184"/>
      <c r="I47" s="180"/>
      <c r="K47" s="170"/>
    </row>
    <row r="48" spans="1:11" x14ac:dyDescent="0.2">
      <c r="A48" s="164">
        <f t="shared" si="5"/>
        <v>35</v>
      </c>
      <c r="C48" s="162">
        <v>930.2</v>
      </c>
      <c r="D48" s="185">
        <f t="shared" si="4"/>
        <v>14064692.309999999</v>
      </c>
      <c r="E48" s="186">
        <v>14064692.309999999</v>
      </c>
      <c r="F48" s="184"/>
      <c r="G48" s="184">
        <v>0</v>
      </c>
      <c r="H48" s="184"/>
      <c r="I48" s="180"/>
      <c r="J48" s="187"/>
    </row>
    <row r="49" spans="1:10" x14ac:dyDescent="0.2">
      <c r="A49" s="164">
        <f t="shared" si="5"/>
        <v>36</v>
      </c>
      <c r="C49" s="162">
        <v>931</v>
      </c>
      <c r="D49" s="185">
        <f t="shared" si="4"/>
        <v>11993181.66</v>
      </c>
      <c r="E49" s="186">
        <v>11993181.66</v>
      </c>
      <c r="F49" s="184"/>
      <c r="G49" s="184">
        <v>0</v>
      </c>
      <c r="H49" s="184"/>
      <c r="I49" s="180"/>
      <c r="J49" s="170"/>
    </row>
    <row r="50" spans="1:10" x14ac:dyDescent="0.2">
      <c r="A50" s="164">
        <f t="shared" si="5"/>
        <v>37</v>
      </c>
      <c r="C50" s="162">
        <v>935</v>
      </c>
      <c r="D50" s="185">
        <f t="shared" si="4"/>
        <v>699127.86</v>
      </c>
      <c r="E50" s="186">
        <v>699127.86</v>
      </c>
      <c r="F50" s="184"/>
      <c r="G50" s="184">
        <v>0</v>
      </c>
      <c r="H50" s="184"/>
      <c r="I50" s="180"/>
    </row>
    <row r="51" spans="1:10" x14ac:dyDescent="0.2">
      <c r="A51" s="164"/>
      <c r="C51" s="162"/>
      <c r="D51" s="185"/>
      <c r="E51" s="187"/>
      <c r="F51" s="170"/>
      <c r="G51" s="170"/>
      <c r="H51" s="170"/>
      <c r="I51" s="180"/>
    </row>
    <row r="52" spans="1:10" x14ac:dyDescent="0.2">
      <c r="B52" s="159" t="s">
        <v>236</v>
      </c>
    </row>
    <row r="53" spans="1:10" x14ac:dyDescent="0.2">
      <c r="B53" s="159"/>
      <c r="C53" s="169" t="s">
        <v>237</v>
      </c>
      <c r="G53" s="164"/>
      <c r="H53" s="164"/>
    </row>
    <row r="54" spans="1:10" x14ac:dyDescent="0.2">
      <c r="B54" s="159"/>
      <c r="C54" s="56" t="s">
        <v>238</v>
      </c>
      <c r="D54" s="56"/>
      <c r="E54" s="56"/>
      <c r="G54" s="164"/>
      <c r="H54" s="164"/>
    </row>
    <row r="55" spans="1:10" x14ac:dyDescent="0.2">
      <c r="B55" s="159"/>
      <c r="G55" s="166" t="s">
        <v>32</v>
      </c>
      <c r="H55" s="166" t="s">
        <v>33</v>
      </c>
    </row>
    <row r="56" spans="1:10" x14ac:dyDescent="0.2">
      <c r="A56" s="164"/>
      <c r="B56" s="164" t="s">
        <v>114</v>
      </c>
      <c r="F56" s="175" t="s">
        <v>239</v>
      </c>
      <c r="G56" s="186">
        <v>137026591.07999963</v>
      </c>
      <c r="H56" s="176" t="s">
        <v>240</v>
      </c>
    </row>
    <row r="57" spans="1:10" x14ac:dyDescent="0.2">
      <c r="A57" s="164"/>
      <c r="B57" s="164" t="s">
        <v>116</v>
      </c>
      <c r="C57" s="169"/>
      <c r="F57" s="175" t="s">
        <v>241</v>
      </c>
      <c r="G57" s="177">
        <f>E61</f>
        <v>17600288.667239957</v>
      </c>
      <c r="H57" s="176" t="str">
        <f>"Note 2, "&amp;B61&amp;""</f>
        <v>Note 2, d</v>
      </c>
    </row>
    <row r="58" spans="1:10" x14ac:dyDescent="0.2">
      <c r="A58" s="164"/>
      <c r="B58" s="164" t="s">
        <v>119</v>
      </c>
      <c r="F58" s="175" t="s">
        <v>242</v>
      </c>
      <c r="G58" s="170">
        <f>G56-G57</f>
        <v>119426302.41275966</v>
      </c>
    </row>
    <row r="59" spans="1:10" x14ac:dyDescent="0.2">
      <c r="A59" s="164"/>
      <c r="C59" s="56" t="s">
        <v>243</v>
      </c>
      <c r="D59" s="56"/>
      <c r="E59" s="56"/>
      <c r="G59" s="170"/>
    </row>
    <row r="60" spans="1:10" x14ac:dyDescent="0.2">
      <c r="A60" s="164"/>
      <c r="D60" s="188" t="s">
        <v>244</v>
      </c>
      <c r="E60" s="166" t="s">
        <v>32</v>
      </c>
      <c r="F60" s="166" t="s">
        <v>33</v>
      </c>
      <c r="G60" s="170"/>
    </row>
    <row r="61" spans="1:10" x14ac:dyDescent="0.2">
      <c r="A61" s="164"/>
      <c r="B61" s="164" t="s">
        <v>121</v>
      </c>
      <c r="D61" t="s">
        <v>245</v>
      </c>
      <c r="E61" s="111">
        <v>17600288.667239957</v>
      </c>
      <c r="F61" s="176" t="s">
        <v>246</v>
      </c>
      <c r="G61" s="170"/>
    </row>
    <row r="62" spans="1:10" x14ac:dyDescent="0.2">
      <c r="A62" s="164"/>
      <c r="B62" s="164" t="s">
        <v>125</v>
      </c>
      <c r="D62" s="169" t="s">
        <v>247</v>
      </c>
      <c r="E62" s="111">
        <v>8544924.9171872791</v>
      </c>
      <c r="F62" s="176" t="s">
        <v>246</v>
      </c>
      <c r="G62" s="170"/>
      <c r="I62" s="112"/>
    </row>
    <row r="63" spans="1:10" x14ac:dyDescent="0.2">
      <c r="A63" s="164"/>
      <c r="B63" s="164" t="s">
        <v>127</v>
      </c>
      <c r="D63" s="169" t="s">
        <v>248</v>
      </c>
      <c r="E63" s="113">
        <v>26767831.415572762</v>
      </c>
      <c r="F63" s="176" t="s">
        <v>246</v>
      </c>
      <c r="G63" s="170"/>
      <c r="I63" s="170"/>
    </row>
    <row r="64" spans="1:10" x14ac:dyDescent="0.2">
      <c r="A64" s="164"/>
      <c r="B64" s="164" t="s">
        <v>129</v>
      </c>
      <c r="D64" s="175" t="s">
        <v>249</v>
      </c>
      <c r="E64" s="170">
        <f>SUM(E61:E63)</f>
        <v>52913045</v>
      </c>
      <c r="F64" s="176" t="str">
        <f>"Sum of "&amp;B61&amp;" to "&amp;B63&amp;""</f>
        <v>Sum of d to f</v>
      </c>
      <c r="G64" s="170"/>
    </row>
    <row r="66" spans="1:7" x14ac:dyDescent="0.2">
      <c r="B66" s="159" t="s">
        <v>250</v>
      </c>
    </row>
    <row r="67" spans="1:7" x14ac:dyDescent="0.2">
      <c r="E67" s="166" t="s">
        <v>32</v>
      </c>
      <c r="F67" s="188" t="s">
        <v>251</v>
      </c>
    </row>
    <row r="68" spans="1:7" x14ac:dyDescent="0.2">
      <c r="A68" s="164"/>
      <c r="B68" s="164" t="s">
        <v>114</v>
      </c>
      <c r="D68" s="175" t="s">
        <v>252</v>
      </c>
      <c r="E68" s="187">
        <v>18219000</v>
      </c>
      <c r="F68" s="176" t="s">
        <v>253</v>
      </c>
      <c r="G68" s="224"/>
    </row>
    <row r="69" spans="1:7" x14ac:dyDescent="0.2">
      <c r="A69" s="164"/>
      <c r="B69" s="164" t="s">
        <v>116</v>
      </c>
      <c r="D69" s="175" t="s">
        <v>254</v>
      </c>
      <c r="E69" s="190">
        <v>40171333</v>
      </c>
      <c r="F69" s="176" t="s">
        <v>255</v>
      </c>
    </row>
    <row r="70" spans="1:7" x14ac:dyDescent="0.2">
      <c r="A70" s="164"/>
      <c r="B70" s="164" t="s">
        <v>119</v>
      </c>
      <c r="D70" s="175" t="s">
        <v>256</v>
      </c>
      <c r="E70" s="191">
        <v>18219000</v>
      </c>
      <c r="F70" s="176" t="s">
        <v>240</v>
      </c>
    </row>
    <row r="71" spans="1:7" x14ac:dyDescent="0.2">
      <c r="A71" s="164"/>
      <c r="B71" s="164" t="s">
        <v>121</v>
      </c>
      <c r="D71" s="175" t="s">
        <v>257</v>
      </c>
      <c r="E71" s="170">
        <f>E70-E69</f>
        <v>-21952333</v>
      </c>
      <c r="F71" s="176" t="str">
        <f>""&amp;B70&amp;" - "&amp;B69&amp;""</f>
        <v>c - b</v>
      </c>
    </row>
    <row r="72" spans="1:7" x14ac:dyDescent="0.2">
      <c r="A72" s="164"/>
      <c r="B72" s="159" t="s">
        <v>258</v>
      </c>
      <c r="D72" s="175"/>
      <c r="E72" s="170"/>
      <c r="F72" s="176"/>
    </row>
    <row r="73" spans="1:7" x14ac:dyDescent="0.2">
      <c r="A73" s="164"/>
      <c r="B73" s="159"/>
      <c r="C73" t="str">
        <f>"Amount in Line "&amp;A44&amp;", column 2 equals amount in Line "&amp;A13&amp;", column 1 because all Franchise Requirements Expenses are excluded"</f>
        <v>Amount in Line 31, column 2 equals amount in Line 8, column 1 because all Franchise Requirements Expenses are excluded</v>
      </c>
      <c r="D73" s="175"/>
      <c r="E73" s="170"/>
      <c r="F73" s="176"/>
    </row>
    <row r="74" spans="1:7" x14ac:dyDescent="0.2">
      <c r="A74" s="164"/>
      <c r="B74" s="159"/>
      <c r="C74" s="169" t="s">
        <v>259</v>
      </c>
      <c r="D74" s="175"/>
      <c r="E74" s="170"/>
      <c r="F74" s="176"/>
    </row>
    <row r="76" spans="1:7" x14ac:dyDescent="0.2">
      <c r="B76" s="159" t="s">
        <v>104</v>
      </c>
    </row>
    <row r="77" spans="1:7" x14ac:dyDescent="0.2">
      <c r="C77" s="169" t="str">
        <f>"1) Enter amounts of A&amp;G expenses from FERC Form 1 in Lines "&amp;A6&amp;" to "&amp;A19&amp;"."</f>
        <v>1) Enter amounts of A&amp;G expenses from FERC Form 1 in Lines 1 to 14.</v>
      </c>
    </row>
    <row r="78" spans="1:7" x14ac:dyDescent="0.2">
      <c r="C78" s="169" t="s">
        <v>260</v>
      </c>
      <c r="G78" t="str">
        <f>"Column 3, Line "&amp;A37&amp;""</f>
        <v>Column 3, Line 24</v>
      </c>
    </row>
    <row r="79" spans="1:7" x14ac:dyDescent="0.2">
      <c r="C79" s="176" t="str">
        <f>"is calculated in Note 2.  The PBOPs exclusion in Column 4, Line "&amp;A43&amp;" is calculated in Note 3."</f>
        <v>is calculated in Note 2.  The PBOPs exclusion in Column 4, Line 30 is calculated in Note 3.</v>
      </c>
      <c r="G79" s="169"/>
    </row>
    <row r="80" spans="1:7" x14ac:dyDescent="0.2">
      <c r="C80" s="176" t="s">
        <v>261</v>
      </c>
    </row>
    <row r="81" spans="3:7" x14ac:dyDescent="0.2">
      <c r="C81" s="176" t="s">
        <v>262</v>
      </c>
      <c r="D81" s="175"/>
      <c r="E81" s="170"/>
      <c r="F81" s="176"/>
    </row>
    <row r="82" spans="3:7" x14ac:dyDescent="0.2">
      <c r="C82" s="176" t="s">
        <v>263</v>
      </c>
      <c r="D82" s="175"/>
      <c r="E82" s="170"/>
      <c r="F82" s="176"/>
    </row>
    <row r="83" spans="3:7" x14ac:dyDescent="0.2">
      <c r="C83" s="176" t="s">
        <v>264</v>
      </c>
    </row>
    <row r="84" spans="3:7" x14ac:dyDescent="0.2">
      <c r="C84" s="176" t="s">
        <v>265</v>
      </c>
    </row>
    <row r="85" spans="3:7" x14ac:dyDescent="0.2">
      <c r="C85" s="176" t="s">
        <v>266</v>
      </c>
    </row>
    <row r="86" spans="3:7" x14ac:dyDescent="0.2">
      <c r="C86" s="176" t="s">
        <v>267</v>
      </c>
    </row>
    <row r="87" spans="3:7" x14ac:dyDescent="0.2">
      <c r="C87" s="176" t="s">
        <v>268</v>
      </c>
    </row>
    <row r="88" spans="3:7" x14ac:dyDescent="0.2">
      <c r="C88" s="176" t="s">
        <v>269</v>
      </c>
      <c r="D88" s="169"/>
      <c r="E88" s="192"/>
      <c r="F88" s="192"/>
      <c r="G88" s="192"/>
    </row>
    <row r="89" spans="3:7" x14ac:dyDescent="0.2">
      <c r="C89" s="193" t="s">
        <v>270</v>
      </c>
      <c r="D89" s="169"/>
      <c r="E89" s="192"/>
      <c r="F89" s="192"/>
      <c r="G89" s="192"/>
    </row>
    <row r="90" spans="3:7" x14ac:dyDescent="0.2">
      <c r="C90" s="193" t="s">
        <v>271</v>
      </c>
      <c r="D90" s="169"/>
      <c r="E90" s="192"/>
      <c r="F90" s="192"/>
      <c r="G90" s="192"/>
    </row>
    <row r="91" spans="3:7" x14ac:dyDescent="0.2">
      <c r="C91" s="193" t="s">
        <v>272</v>
      </c>
      <c r="D91" s="169"/>
      <c r="E91" s="192"/>
      <c r="F91" s="192"/>
      <c r="G91" s="192"/>
    </row>
    <row r="92" spans="3:7" x14ac:dyDescent="0.2">
      <c r="C92" s="176" t="s">
        <v>273</v>
      </c>
      <c r="D92" s="169"/>
      <c r="E92" s="192"/>
      <c r="F92" s="192"/>
      <c r="G92" s="192"/>
    </row>
    <row r="93" spans="3:7" x14ac:dyDescent="0.2">
      <c r="C93" s="193" t="s">
        <v>274</v>
      </c>
      <c r="D93" s="169"/>
      <c r="E93" s="192"/>
      <c r="F93" s="192"/>
      <c r="G93" s="192"/>
    </row>
    <row r="94" spans="3:7" x14ac:dyDescent="0.2">
      <c r="C94" s="193" t="s">
        <v>275</v>
      </c>
      <c r="D94" s="169"/>
      <c r="E94" s="192"/>
      <c r="F94" s="192"/>
      <c r="G94" s="192"/>
    </row>
    <row r="95" spans="3:7" x14ac:dyDescent="0.2">
      <c r="C95" s="193" t="s">
        <v>276</v>
      </c>
      <c r="D95" s="169"/>
      <c r="E95" s="192"/>
      <c r="F95" s="192"/>
      <c r="G95" s="192"/>
    </row>
    <row r="96" spans="3:7" x14ac:dyDescent="0.2">
      <c r="C96" s="193" t="s">
        <v>277</v>
      </c>
      <c r="D96" s="169"/>
      <c r="E96" s="192"/>
      <c r="F96" s="192"/>
      <c r="G96" s="192"/>
    </row>
    <row r="97" spans="3:10" x14ac:dyDescent="0.2">
      <c r="C97" s="65" t="s">
        <v>278</v>
      </c>
      <c r="D97" s="56"/>
      <c r="E97" s="56"/>
      <c r="F97" s="56"/>
      <c r="G97" s="56"/>
      <c r="H97" s="56"/>
      <c r="I97" s="56"/>
      <c r="J97" s="56"/>
    </row>
    <row r="98" spans="3:10" x14ac:dyDescent="0.2">
      <c r="C98" s="169" t="s">
        <v>279</v>
      </c>
    </row>
    <row r="99" spans="3:10" x14ac:dyDescent="0.2">
      <c r="C99" s="65" t="s">
        <v>280</v>
      </c>
      <c r="D99" s="56"/>
      <c r="E99" s="56"/>
      <c r="F99" s="56"/>
      <c r="G99" s="56"/>
      <c r="H99" s="56"/>
      <c r="I99" s="56"/>
    </row>
    <row r="100" spans="3:10" x14ac:dyDescent="0.2">
      <c r="C100" s="169" t="str">
        <f>"4) Determine the PBOPs exclusion.  The authorized amount of PBOPs expense (line "&amp;B68&amp;") may only be revised"</f>
        <v>4) Determine the PBOPs exclusion.  The authorized amount of PBOPs expense (line a) may only be revised</v>
      </c>
    </row>
    <row r="101" spans="3:10" x14ac:dyDescent="0.2">
      <c r="C101" s="169" t="s">
        <v>281</v>
      </c>
    </row>
    <row r="102" spans="3:10" x14ac:dyDescent="0.2">
      <c r="C102" s="169" t="s">
        <v>282</v>
      </c>
    </row>
    <row r="103" spans="3:10" x14ac:dyDescent="0.2">
      <c r="C103" s="169" t="s">
        <v>283</v>
      </c>
      <c r="I103" s="181" t="s">
        <v>394</v>
      </c>
      <c r="J103" s="181"/>
    </row>
    <row r="104" spans="3:10" x14ac:dyDescent="0.2">
      <c r="C104" s="169" t="s">
        <v>284</v>
      </c>
    </row>
  </sheetData>
  <pageMargins left="0.75" right="0.75" top="1" bottom="1" header="0.5" footer="0.5"/>
  <pageSetup scale="71" orientation="landscape" cellComments="asDisplayed" r:id="rId1"/>
  <headerFooter alignWithMargins="0">
    <oddHeader>&amp;CSchedule 20
Administrative and General Expenses
(Revised 2018 
TO2020 True Up TRR)&amp;RTO2024 Annual Update
Attachment 4
WP-Schedule 3-One Time Adj Prior Period
Page &amp;P of &amp;N</oddHeader>
    <oddFooter>&amp;R&amp;A</oddFooter>
  </headerFooter>
  <rowBreaks count="2" manualBreakCount="2">
    <brk id="51" max="9" man="1"/>
    <brk id="75"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1CE7B-EE7C-4211-94E6-6682C34A73A3}">
  <sheetPr>
    <tabColor rgb="FF99CCFF"/>
  </sheetPr>
  <dimension ref="B2:J16"/>
  <sheetViews>
    <sheetView zoomScaleNormal="100" workbookViewId="0">
      <selection activeCell="B1" sqref="B1"/>
    </sheetView>
  </sheetViews>
  <sheetFormatPr defaultColWidth="9.140625" defaultRowHeight="15" x14ac:dyDescent="0.25"/>
  <cols>
    <col min="1" max="1" width="2.42578125" style="78" customWidth="1"/>
    <col min="2" max="3" width="9.140625" style="78"/>
    <col min="4" max="4" width="17.85546875" style="78" customWidth="1"/>
    <col min="5" max="5" width="14.28515625" style="78" bestFit="1" customWidth="1"/>
    <col min="6" max="6" width="10.28515625" style="78" customWidth="1"/>
    <col min="7" max="7" width="12.7109375" style="78" customWidth="1"/>
    <col min="8" max="8" width="13.85546875" style="78" customWidth="1"/>
    <col min="9" max="16384" width="9.140625" style="78"/>
  </cols>
  <sheetData>
    <row r="2" spans="2:10" ht="21" customHeight="1" x14ac:dyDescent="0.25"/>
    <row r="3" spans="2:10" x14ac:dyDescent="0.25">
      <c r="B3" s="346" t="s">
        <v>161</v>
      </c>
      <c r="C3" s="346"/>
      <c r="D3" s="346"/>
      <c r="E3" s="346"/>
      <c r="F3" s="346"/>
      <c r="G3" s="346"/>
      <c r="H3" s="346"/>
      <c r="I3" s="346"/>
      <c r="J3" s="346"/>
    </row>
    <row r="4" spans="2:10" x14ac:dyDescent="0.25">
      <c r="B4" s="346"/>
      <c r="C4" s="346"/>
      <c r="D4" s="346"/>
      <c r="E4" s="346"/>
      <c r="F4" s="346"/>
      <c r="G4" s="346"/>
      <c r="H4" s="346"/>
      <c r="I4" s="346"/>
      <c r="J4" s="346"/>
    </row>
    <row r="5" spans="2:10" ht="30" x14ac:dyDescent="0.25">
      <c r="B5" s="347" t="s">
        <v>31</v>
      </c>
      <c r="C5" s="347"/>
      <c r="D5" s="347"/>
      <c r="E5" s="82" t="s">
        <v>32</v>
      </c>
      <c r="F5" s="83" t="s">
        <v>159</v>
      </c>
      <c r="G5" s="83" t="s">
        <v>160</v>
      </c>
      <c r="H5" s="354" t="s">
        <v>33</v>
      </c>
      <c r="I5" s="354"/>
      <c r="J5" s="354"/>
    </row>
    <row r="6" spans="2:10" ht="47.45" customHeight="1" x14ac:dyDescent="0.25">
      <c r="B6" s="348" t="s">
        <v>397</v>
      </c>
      <c r="C6" s="349"/>
      <c r="D6" s="350"/>
      <c r="E6" s="132">
        <f>'WP-2019 TO2018 Sch4-TUTRR'!E73</f>
        <v>1036963825.8120178</v>
      </c>
      <c r="F6" s="81">
        <f>315/365</f>
        <v>0.86301369863013699</v>
      </c>
      <c r="G6" s="79">
        <f>E6*F6</f>
        <v>894913986.65968657</v>
      </c>
      <c r="H6" s="340" t="s">
        <v>437</v>
      </c>
      <c r="I6" s="340"/>
      <c r="J6" s="340"/>
    </row>
    <row r="7" spans="2:10" ht="56.45" customHeight="1" x14ac:dyDescent="0.25">
      <c r="B7" s="351" t="s">
        <v>398</v>
      </c>
      <c r="C7" s="349"/>
      <c r="D7" s="350"/>
      <c r="E7" s="133">
        <f>'WP-2019 TO2018 Sch4-TUTRR'!J71</f>
        <v>1036990439.4089098</v>
      </c>
      <c r="F7" s="81">
        <f>315/365</f>
        <v>0.86301369863013699</v>
      </c>
      <c r="G7" s="79">
        <f>E7*F7</f>
        <v>894936954.55837417</v>
      </c>
      <c r="H7" s="340" t="s">
        <v>399</v>
      </c>
      <c r="I7" s="340"/>
      <c r="J7" s="340"/>
    </row>
    <row r="8" spans="2:10" x14ac:dyDescent="0.25">
      <c r="B8" s="355" t="s">
        <v>164</v>
      </c>
      <c r="C8" s="356"/>
      <c r="D8" s="356"/>
      <c r="E8" s="356"/>
      <c r="F8" s="357"/>
      <c r="G8" s="84">
        <f>G6-G7</f>
        <v>-22967.898687601089</v>
      </c>
      <c r="H8" s="358"/>
      <c r="I8" s="359"/>
      <c r="J8" s="360"/>
    </row>
    <row r="9" spans="2:10" ht="44.45" customHeight="1" x14ac:dyDescent="0.25">
      <c r="B9" s="361" t="s">
        <v>400</v>
      </c>
      <c r="C9" s="361"/>
      <c r="D9" s="361"/>
      <c r="E9" s="130">
        <f>'WP-2019 TO2021 Sch4-TUTRR'!E73</f>
        <v>1050996934.1582353</v>
      </c>
      <c r="F9" s="81">
        <f>50/365</f>
        <v>0.13698630136986301</v>
      </c>
      <c r="G9" s="79">
        <f>E9*F9</f>
        <v>143972182.7614021</v>
      </c>
      <c r="H9" s="340" t="s">
        <v>438</v>
      </c>
      <c r="I9" s="340"/>
      <c r="J9" s="340"/>
    </row>
    <row r="10" spans="2:10" ht="48.6" customHeight="1" x14ac:dyDescent="0.25">
      <c r="B10" s="361" t="s">
        <v>401</v>
      </c>
      <c r="C10" s="361"/>
      <c r="D10" s="361"/>
      <c r="E10" s="131">
        <f>'WP-2019 TO2021 Sch4-TUTRR'!J71</f>
        <v>1051023551.6159867</v>
      </c>
      <c r="F10" s="81">
        <f>50/365</f>
        <v>0.13698630136986301</v>
      </c>
      <c r="G10" s="79">
        <f>E10*F10</f>
        <v>143975828.98849133</v>
      </c>
      <c r="H10" s="340" t="s">
        <v>402</v>
      </c>
      <c r="I10" s="340"/>
      <c r="J10" s="340"/>
    </row>
    <row r="11" spans="2:10" ht="21.6" customHeight="1" x14ac:dyDescent="0.25">
      <c r="B11" s="362" t="s">
        <v>162</v>
      </c>
      <c r="C11" s="362"/>
      <c r="D11" s="362"/>
      <c r="E11" s="362"/>
      <c r="F11" s="362"/>
      <c r="G11" s="129">
        <f>G9-G10</f>
        <v>-3646.2270892262459</v>
      </c>
      <c r="H11" s="363"/>
      <c r="I11" s="364"/>
      <c r="J11" s="365"/>
    </row>
    <row r="12" spans="2:10" x14ac:dyDescent="0.25">
      <c r="B12" s="355" t="s">
        <v>163</v>
      </c>
      <c r="C12" s="356"/>
      <c r="D12" s="356"/>
      <c r="E12" s="356"/>
      <c r="F12" s="357"/>
      <c r="G12" s="85">
        <f>G8+G11</f>
        <v>-26614.125776827335</v>
      </c>
      <c r="H12" s="366"/>
      <c r="I12" s="366"/>
      <c r="J12" s="366"/>
    </row>
    <row r="13" spans="2:10" x14ac:dyDescent="0.25">
      <c r="B13" s="80"/>
      <c r="C13" s="80"/>
      <c r="D13" s="80"/>
      <c r="E13" s="80"/>
      <c r="F13" s="80"/>
      <c r="G13" s="80"/>
      <c r="H13" s="80"/>
      <c r="I13" s="80"/>
      <c r="J13" s="80"/>
    </row>
    <row r="14" spans="2:10" x14ac:dyDescent="0.25">
      <c r="B14" s="80"/>
      <c r="C14" s="80"/>
      <c r="D14" s="80"/>
      <c r="E14" s="80"/>
      <c r="F14" s="80"/>
      <c r="G14" s="80"/>
      <c r="H14" s="80"/>
      <c r="I14" s="80"/>
      <c r="J14" s="80"/>
    </row>
    <row r="15" spans="2:10" x14ac:dyDescent="0.25">
      <c r="B15" s="134" t="s">
        <v>141</v>
      </c>
      <c r="C15" s="80"/>
      <c r="D15" s="80"/>
      <c r="E15" s="80"/>
      <c r="F15" s="80"/>
      <c r="G15" s="80"/>
      <c r="H15" s="80"/>
      <c r="I15" s="80"/>
      <c r="J15" s="80"/>
    </row>
    <row r="16" spans="2:10" ht="28.5" customHeight="1" x14ac:dyDescent="0.25">
      <c r="B16" s="352" t="s">
        <v>439</v>
      </c>
      <c r="C16" s="353"/>
      <c r="D16" s="353"/>
      <c r="E16" s="353"/>
      <c r="F16" s="353"/>
      <c r="G16" s="353"/>
      <c r="H16" s="353"/>
      <c r="I16" s="353"/>
      <c r="J16" s="353"/>
    </row>
  </sheetData>
  <mergeCells count="18">
    <mergeCell ref="B16:J16"/>
    <mergeCell ref="H5:J5"/>
    <mergeCell ref="H6:J6"/>
    <mergeCell ref="B8:F8"/>
    <mergeCell ref="H8:J8"/>
    <mergeCell ref="B9:D9"/>
    <mergeCell ref="H9:J9"/>
    <mergeCell ref="B10:D10"/>
    <mergeCell ref="H10:J10"/>
    <mergeCell ref="B11:F11"/>
    <mergeCell ref="H11:J11"/>
    <mergeCell ref="B12:F12"/>
    <mergeCell ref="H12:J12"/>
    <mergeCell ref="B3:J4"/>
    <mergeCell ref="B5:D5"/>
    <mergeCell ref="B6:D6"/>
    <mergeCell ref="B7:D7"/>
    <mergeCell ref="H7:J7"/>
  </mergeCells>
  <phoneticPr fontId="62" type="noConversion"/>
  <printOptions horizontalCentered="1"/>
  <pageMargins left="0.7" right="0.7" top="0.75" bottom="0.75" header="0.3" footer="0.3"/>
  <pageSetup scale="85" orientation="portrait" r:id="rId1"/>
  <headerFooter>
    <oddHeader>&amp;RTO2024 Annual Update
Attachment 4
WP-Schedule 3-One Time Adj Prior Period
Page &amp;P of &amp;N</oddHeader>
    <oddFooter>&amp;R&amp;A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20</vt:i4>
      </vt:variant>
    </vt:vector>
  </HeadingPairs>
  <TitlesOfParts>
    <vt:vector size="42" baseType="lpstr">
      <vt:lpstr>One Time Adj Explanation</vt:lpstr>
      <vt:lpstr>WP-Total Adj with Int</vt:lpstr>
      <vt:lpstr>WP-2017 True Up TRR Adj</vt:lpstr>
      <vt:lpstr>WP-2017 TO13 Sch4-TUTRR</vt:lpstr>
      <vt:lpstr>WP-2017 TO13 Sch20-AandG</vt:lpstr>
      <vt:lpstr>WP-2018 True Up TRR Adj</vt:lpstr>
      <vt:lpstr>WP-2018 TO2020 Sch4-TUTRR</vt:lpstr>
      <vt:lpstr>WP-2018 TO2020 Sch20-AandG</vt:lpstr>
      <vt:lpstr>WP-2019 True Up TRR Adj</vt:lpstr>
      <vt:lpstr>WP-2019 TO2018 Sch4-TUTRR</vt:lpstr>
      <vt:lpstr>WP-2019 TO2018 Sch20-AandG</vt:lpstr>
      <vt:lpstr>WP-2019 TO2021 Sch4-TUTRR</vt:lpstr>
      <vt:lpstr>WP-2019 TO2021 Sch20-AandG</vt:lpstr>
      <vt:lpstr>WP-2020 True Up TRR Adj</vt:lpstr>
      <vt:lpstr>WP-2020 TO2022 Sch4-TUTRR</vt:lpstr>
      <vt:lpstr>WP-2020 TO2022 Sch5-ROR-2</vt:lpstr>
      <vt:lpstr>WP-2020 TO2022 Sch20-AandG</vt:lpstr>
      <vt:lpstr>WP-2020 TO2022 Sch28-FFU</vt:lpstr>
      <vt:lpstr>WP-2021 True Up TRR Adj</vt:lpstr>
      <vt:lpstr>WP-2021 TO2023 Sch4-TUTRR</vt:lpstr>
      <vt:lpstr>WP-2021 TO2023 Sch20-AandG</vt:lpstr>
      <vt:lpstr>WP-2021 TO2023 Sch28-FFU</vt:lpstr>
      <vt:lpstr>'One Time Adj Explanation'!Print_Area</vt:lpstr>
      <vt:lpstr>'WP-2017 TO13 Sch20-AandG'!Print_Area</vt:lpstr>
      <vt:lpstr>'WP-2017 TO13 Sch4-TUTRR'!Print_Area</vt:lpstr>
      <vt:lpstr>'WP-2018 TO2020 Sch20-AandG'!Print_Area</vt:lpstr>
      <vt:lpstr>'WP-2018 TO2020 Sch4-TUTRR'!Print_Area</vt:lpstr>
      <vt:lpstr>'WP-2019 TO2018 Sch20-AandG'!Print_Area</vt:lpstr>
      <vt:lpstr>'WP-2019 TO2018 Sch4-TUTRR'!Print_Area</vt:lpstr>
      <vt:lpstr>'WP-2019 TO2021 Sch20-AandG'!Print_Area</vt:lpstr>
      <vt:lpstr>'WP-2019 TO2021 Sch4-TUTRR'!Print_Area</vt:lpstr>
      <vt:lpstr>'WP-2019 True Up TRR Adj'!Print_Area</vt:lpstr>
      <vt:lpstr>'WP-2020 TO2022 Sch20-AandG'!Print_Area</vt:lpstr>
      <vt:lpstr>'WP-2020 TO2022 Sch28-FFU'!Print_Area</vt:lpstr>
      <vt:lpstr>'WP-2020 TO2022 Sch4-TUTRR'!Print_Area</vt:lpstr>
      <vt:lpstr>'WP-2020 TO2022 Sch5-ROR-2'!Print_Area</vt:lpstr>
      <vt:lpstr>'WP-2020 True Up TRR Adj'!Print_Area</vt:lpstr>
      <vt:lpstr>'WP-2021 TO2023 Sch20-AandG'!Print_Area</vt:lpstr>
      <vt:lpstr>'WP-2021 TO2023 Sch28-FFU'!Print_Area</vt:lpstr>
      <vt:lpstr>'WP-2021 TO2023 Sch4-TUTRR'!Print_Area</vt:lpstr>
      <vt:lpstr>'WP-2021 True Up TRR Adj'!Print_Area</vt:lpstr>
      <vt:lpstr>'WP-Total Adj with Int'!Print_Area</vt:lpstr>
    </vt:vector>
  </TitlesOfParts>
  <Company>Edison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Jee Kim</cp:lastModifiedBy>
  <cp:lastPrinted>2023-11-13T21:37:11Z</cp:lastPrinted>
  <dcterms:created xsi:type="dcterms:W3CDTF">2009-02-27T16:01:11Z</dcterms:created>
  <dcterms:modified xsi:type="dcterms:W3CDTF">2023-11-14T23:25:28Z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2023-10-09T17:48:44Z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c5198060-5925-421e-94a7-f4e6d1c0b615</vt:lpwstr>
  </property>
  <property fmtid="{D5CDD505-2E9C-101B-9397-08002B2CF9AE}" pid="8" name="MSIP_Label_bc3dd1c7-2c40-4a31-84b2-bec599b321a0_ContentBits">
    <vt:lpwstr>0</vt:lpwstr>
  </property>
</Properties>
</file>