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drawings/drawing3.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7 FERC Rate Case (Formula 5th True Up) TO11\6-June 15-Draft Informational Filing\Workpapers\Workpapers 2\"/>
    </mc:Choice>
  </mc:AlternateContent>
  <bookViews>
    <workbookView xWindow="10065" yWindow="-15" windowWidth="10110" windowHeight="9345" tabRatio="834" firstSheet="6" activeTab="6"/>
  </bookViews>
  <sheets>
    <sheet name="2013 Quarterly" sheetId="33" state="hidden" r:id="rId1"/>
    <sheet name="2012 Quarterly" sheetId="32" state="hidden" r:id="rId2"/>
    <sheet name="2011 Quarterly " sheetId="29" state="hidden" r:id="rId3"/>
    <sheet name="2010 Quarterly" sheetId="27" state="hidden" r:id="rId4"/>
    <sheet name="2009 Quarterly" sheetId="22" state="hidden" r:id="rId5"/>
    <sheet name="2008 Quarterly" sheetId="1" state="hidden" r:id="rId6"/>
    <sheet name="2015 Summary" sheetId="145" r:id="rId7"/>
    <sheet name="2014 Summary" sheetId="134" r:id="rId8"/>
    <sheet name="TOT032" sheetId="125" r:id="rId9"/>
    <sheet name="TOT041" sheetId="124" r:id="rId10"/>
    <sheet name="TOT094" sheetId="114" r:id="rId11"/>
    <sheet name="TOT135" sheetId="120" r:id="rId12"/>
    <sheet name="TOT175" sheetId="122" r:id="rId13"/>
    <sheet name="TOT278" sheetId="119" r:id="rId14"/>
    <sheet name="TOT455" sheetId="115" r:id="rId15"/>
    <sheet name="TOT508" sheetId="126" r:id="rId16"/>
    <sheet name="TOT522" sheetId="112" r:id="rId17"/>
    <sheet name="WDT1007" sheetId="129" r:id="rId18"/>
    <sheet name="FERC Interest Rate" sheetId="116" r:id="rId19"/>
    <sheet name="TOT037" sheetId="137" r:id="rId20"/>
  </sheets>
  <externalReferences>
    <externalReference r:id="rId21"/>
  </externalReferences>
  <definedNames>
    <definedName name="_xlnm.Print_Area" localSheetId="5">'2008 Quarterly'!$A$1:$F$106</definedName>
    <definedName name="_xlnm.Print_Area" localSheetId="4">'2009 Quarterly'!$A$1:$F$80</definedName>
    <definedName name="_xlnm.Print_Area" localSheetId="3">'2010 Quarterly'!$A$1:$I$77</definedName>
    <definedName name="_xlnm.Print_Area" localSheetId="2">'2011 Quarterly '!$A$1:$F$44</definedName>
    <definedName name="_xlnm.Print_Area" localSheetId="1">'2012 Quarterly'!$A$1:$F$33</definedName>
    <definedName name="_xlnm.Print_Area" localSheetId="0">'2013 Quarterly'!$A$1:$I$67</definedName>
    <definedName name="_xlnm.Print_Area" localSheetId="7">'2014 Summary'!$A$1:$I$65</definedName>
    <definedName name="_xlnm.Print_Area" localSheetId="6">'2015 Summary'!$A$1:$I$70</definedName>
    <definedName name="_xlnm.Print_Area" localSheetId="18">'FERC Interest Rate'!$A$1:$K$65</definedName>
    <definedName name="_xlnm.Print_Area" localSheetId="8">'TOT032'!$A$1:$K$93</definedName>
    <definedName name="_xlnm.Print_Titles" localSheetId="5">'2008 Quarterly'!$1:$2</definedName>
    <definedName name="_xlnm.Print_Titles" localSheetId="4">'2009 Quarterly'!$1:$1</definedName>
    <definedName name="_xlnm.Print_Titles" localSheetId="3">'2010 Quarterly'!$1:$1</definedName>
    <definedName name="_xlnm.Print_Titles" localSheetId="2">'2011 Quarterly '!$1:$1</definedName>
    <definedName name="_xlnm.Print_Titles" localSheetId="1">'2012 Quarterly'!$1:$1</definedName>
    <definedName name="_xlnm.Print_Titles" localSheetId="0">'2013 Quarterly'!$1:$1</definedName>
    <definedName name="_xlnm.Print_Titles" localSheetId="7">'2014 Summary'!$1:$1</definedName>
    <definedName name="_xlnm.Print_Titles" localSheetId="6">'2015 Summary'!$1:$1</definedName>
    <definedName name="Z_6086CA2F_D319_4FB4_8773_987A9787386E_.wvu.PrintArea" localSheetId="5" hidden="1">'2008 Quarterly'!$A$1:$I$116</definedName>
    <definedName name="Z_6086CA2F_D319_4FB4_8773_987A9787386E_.wvu.PrintArea" localSheetId="4" hidden="1">'2009 Quarterly'!$A$1:$I$89</definedName>
    <definedName name="Z_6086CA2F_D319_4FB4_8773_987A9787386E_.wvu.PrintArea" localSheetId="3" hidden="1">'2010 Quarterly'!$A$1:$I$72</definedName>
    <definedName name="Z_6086CA2F_D319_4FB4_8773_987A9787386E_.wvu.PrintArea" localSheetId="2" hidden="1">'2011 Quarterly '!$A$1:$I$53</definedName>
    <definedName name="Z_6086CA2F_D319_4FB4_8773_987A9787386E_.wvu.PrintArea" localSheetId="1" hidden="1">'2012 Quarterly'!$A$1:$I$42</definedName>
    <definedName name="Z_6086CA2F_D319_4FB4_8773_987A9787386E_.wvu.PrintArea" localSheetId="0" hidden="1">'2013 Quarterly'!$A$1:$I$66</definedName>
    <definedName name="Z_6086CA2F_D319_4FB4_8773_987A9787386E_.wvu.PrintArea" localSheetId="7" hidden="1">'2014 Summary'!$A$1:$I$65</definedName>
    <definedName name="Z_6086CA2F_D319_4FB4_8773_987A9787386E_.wvu.PrintArea" localSheetId="6" hidden="1">'2015 Summary'!$A$1:$I$70</definedName>
    <definedName name="Z_6086CA2F_D319_4FB4_8773_987A9787386E_.wvu.PrintTitles" localSheetId="5" hidden="1">'2008 Quarterly'!$1:$2</definedName>
    <definedName name="Z_6086CA2F_D319_4FB4_8773_987A9787386E_.wvu.PrintTitles" localSheetId="4" hidden="1">'2009 Quarterly'!$1:$1</definedName>
    <definedName name="Z_6086CA2F_D319_4FB4_8773_987A9787386E_.wvu.PrintTitles" localSheetId="3" hidden="1">'2010 Quarterly'!$1:$1</definedName>
    <definedName name="Z_6086CA2F_D319_4FB4_8773_987A9787386E_.wvu.PrintTitles" localSheetId="2" hidden="1">'2011 Quarterly '!$1:$1</definedName>
    <definedName name="Z_6086CA2F_D319_4FB4_8773_987A9787386E_.wvu.PrintTitles" localSheetId="1" hidden="1">'2012 Quarterly'!$1:$1</definedName>
    <definedName name="Z_6086CA2F_D319_4FB4_8773_987A9787386E_.wvu.PrintTitles" localSheetId="0" hidden="1">'2013 Quarterly'!$1:$1</definedName>
    <definedName name="Z_6086CA2F_D319_4FB4_8773_987A9787386E_.wvu.PrintTitles" localSheetId="7" hidden="1">'2014 Summary'!$1:$1</definedName>
    <definedName name="Z_6086CA2F_D319_4FB4_8773_987A9787386E_.wvu.PrintTitles" localSheetId="6" hidden="1">'2015 Summary'!$1:$1</definedName>
  </definedNames>
  <calcPr calcId="152511"/>
  <customWorkbookViews>
    <customWorkbookView name="Standard Configuration - Personal View" guid="{6086CA2F-D319-4FB4-8773-987A9787386E}" mergeInterval="0" personalView="1" maximized="1" windowWidth="1020" windowHeight="578" tabRatio="1000" activeSheetId="1"/>
  </customWorkbookViews>
</workbook>
</file>

<file path=xl/calcChain.xml><?xml version="1.0" encoding="utf-8"?>
<calcChain xmlns="http://schemas.openxmlformats.org/spreadsheetml/2006/main">
  <c r="E26" i="124" l="1"/>
  <c r="D26" i="124"/>
  <c r="F25" i="124"/>
  <c r="F24" i="124"/>
  <c r="F23" i="124"/>
  <c r="F22" i="124"/>
  <c r="F21" i="124"/>
  <c r="F20" i="124"/>
  <c r="F19" i="124"/>
  <c r="F18" i="124"/>
  <c r="F17" i="124"/>
  <c r="F16" i="124"/>
  <c r="F15" i="124"/>
  <c r="F14" i="124"/>
  <c r="F13" i="124"/>
  <c r="F12" i="124"/>
  <c r="F11" i="124"/>
  <c r="F10" i="124"/>
  <c r="F9" i="124"/>
  <c r="F8" i="124"/>
  <c r="F7" i="124"/>
  <c r="F6" i="124"/>
  <c r="F5" i="124"/>
  <c r="F4" i="124"/>
  <c r="F3" i="124"/>
  <c r="A57" i="145"/>
  <c r="F55" i="145"/>
  <c r="F50" i="145"/>
  <c r="H48" i="145"/>
  <c r="G48" i="145"/>
  <c r="E48" i="145"/>
  <c r="D48" i="145"/>
  <c r="C48" i="145"/>
  <c r="B48" i="145"/>
  <c r="F45" i="145"/>
  <c r="H43" i="145"/>
  <c r="G43" i="145"/>
  <c r="E43" i="145"/>
  <c r="D43" i="145"/>
  <c r="C43" i="145"/>
  <c r="F40" i="145"/>
  <c r="H38" i="145"/>
  <c r="G38" i="145"/>
  <c r="E38" i="145"/>
  <c r="D38" i="145"/>
  <c r="C38" i="145"/>
  <c r="B38" i="145"/>
  <c r="F35" i="145"/>
  <c r="H33" i="145"/>
  <c r="G33" i="145"/>
  <c r="E33" i="145"/>
  <c r="D33" i="145"/>
  <c r="C33" i="145"/>
  <c r="B33" i="145"/>
  <c r="F30" i="145"/>
  <c r="H28" i="145"/>
  <c r="G28" i="145"/>
  <c r="E28" i="145"/>
  <c r="D28" i="145"/>
  <c r="C28" i="145"/>
  <c r="B28" i="145"/>
  <c r="H18" i="145"/>
  <c r="G18" i="145"/>
  <c r="B18" i="145"/>
  <c r="F18" i="145" s="1"/>
  <c r="F15" i="145"/>
  <c r="F10" i="145"/>
  <c r="H8" i="145"/>
  <c r="G8" i="145"/>
  <c r="E8" i="145"/>
  <c r="D8" i="145"/>
  <c r="C8" i="145"/>
  <c r="B8" i="145"/>
  <c r="I38" i="145" l="1"/>
  <c r="I8" i="145"/>
  <c r="F38" i="145"/>
  <c r="I43" i="145"/>
  <c r="I33" i="145"/>
  <c r="I28" i="145"/>
  <c r="F8" i="145"/>
  <c r="F43" i="145"/>
  <c r="I18" i="145"/>
  <c r="F28" i="145"/>
  <c r="F33" i="145"/>
  <c r="F48" i="145"/>
  <c r="I48" i="145"/>
  <c r="F30" i="125" l="1"/>
  <c r="E30" i="125"/>
  <c r="D30" i="125"/>
  <c r="C30" i="125"/>
  <c r="F33" i="114"/>
  <c r="E33" i="114"/>
  <c r="D33" i="114"/>
  <c r="C33" i="114"/>
  <c r="C69" i="120" l="1"/>
  <c r="C47" i="115" l="1"/>
  <c r="B47" i="115"/>
  <c r="B46" i="115"/>
  <c r="D46" i="115" s="1"/>
  <c r="E46" i="115" l="1"/>
  <c r="C2" i="124" l="1"/>
  <c r="C26" i="124" s="1"/>
  <c r="H39" i="124" l="1"/>
  <c r="H40" i="124"/>
  <c r="H41" i="124"/>
  <c r="F15" i="134"/>
  <c r="H71" i="137"/>
  <c r="F63" i="137"/>
  <c r="H85" i="137" s="1"/>
  <c r="B63" i="137"/>
  <c r="C63" i="137" s="1"/>
  <c r="H52" i="137"/>
  <c r="B37" i="137"/>
  <c r="C37" i="137" s="1"/>
  <c r="E37" i="137" s="1"/>
  <c r="F29" i="137"/>
  <c r="F28" i="137"/>
  <c r="E26" i="137"/>
  <c r="D26" i="137"/>
  <c r="C26" i="137"/>
  <c r="F25" i="137"/>
  <c r="F24" i="137"/>
  <c r="F23" i="137"/>
  <c r="F22" i="137"/>
  <c r="F21" i="137"/>
  <c r="F20" i="137"/>
  <c r="F19" i="137"/>
  <c r="F18" i="137"/>
  <c r="F17" i="137"/>
  <c r="F16" i="137"/>
  <c r="F15" i="137"/>
  <c r="F14" i="137"/>
  <c r="F13" i="137"/>
  <c r="F12" i="137"/>
  <c r="F11" i="137"/>
  <c r="F10" i="137"/>
  <c r="F9" i="137"/>
  <c r="F8" i="137"/>
  <c r="F7" i="137"/>
  <c r="F6" i="137"/>
  <c r="F5" i="137"/>
  <c r="F4" i="137"/>
  <c r="F3" i="137"/>
  <c r="F2" i="137"/>
  <c r="A52" i="134"/>
  <c r="F50" i="134"/>
  <c r="F45" i="134"/>
  <c r="F40" i="134"/>
  <c r="F35" i="134"/>
  <c r="F20" i="134"/>
  <c r="F10" i="134"/>
  <c r="H87" i="137" l="1"/>
  <c r="F26" i="137"/>
  <c r="H56" i="137"/>
  <c r="B13" i="134" s="1"/>
  <c r="H78" i="137"/>
  <c r="G13" i="134"/>
  <c r="H55" i="137"/>
  <c r="H47" i="137"/>
  <c r="H39" i="137"/>
  <c r="H53" i="137"/>
  <c r="H45" i="137"/>
  <c r="F37" i="137"/>
  <c r="D37" i="137"/>
  <c r="H38" i="137"/>
  <c r="H51" i="137"/>
  <c r="H44" i="137"/>
  <c r="H50" i="137"/>
  <c r="H43" i="137"/>
  <c r="H49" i="137"/>
  <c r="H84" i="137"/>
  <c r="H76" i="137"/>
  <c r="H83" i="137"/>
  <c r="H75" i="137"/>
  <c r="H90" i="137"/>
  <c r="H82" i="137"/>
  <c r="H74" i="137"/>
  <c r="H89" i="137"/>
  <c r="H81" i="137"/>
  <c r="H73" i="137"/>
  <c r="H80" i="137"/>
  <c r="B38" i="137"/>
  <c r="H42" i="137"/>
  <c r="H48" i="137"/>
  <c r="H77" i="137"/>
  <c r="C38" i="137"/>
  <c r="H41" i="137"/>
  <c r="H54" i="137"/>
  <c r="H86" i="137"/>
  <c r="E63" i="137"/>
  <c r="I63" i="137" s="1"/>
  <c r="K63" i="137" s="1"/>
  <c r="F64" i="137" s="1"/>
  <c r="C64" i="137"/>
  <c r="D63" i="137"/>
  <c r="H40" i="137"/>
  <c r="H57" i="137"/>
  <c r="C13" i="134" s="1"/>
  <c r="B64" i="137"/>
  <c r="H72" i="137"/>
  <c r="H79" i="137"/>
  <c r="H46" i="137"/>
  <c r="H88" i="137"/>
  <c r="H13" i="134" l="1"/>
  <c r="I13" i="134" s="1"/>
  <c r="F13" i="134"/>
  <c r="E38" i="137"/>
  <c r="D38" i="137"/>
  <c r="C39" i="137"/>
  <c r="B39" i="137"/>
  <c r="I37" i="137"/>
  <c r="D64" i="137"/>
  <c r="E64" i="137"/>
  <c r="C65" i="137"/>
  <c r="B65" i="137"/>
  <c r="I64" i="137" l="1"/>
  <c r="K64" i="137" s="1"/>
  <c r="F65" i="137" s="1"/>
  <c r="J54" i="137"/>
  <c r="J46" i="137"/>
  <c r="J38" i="137"/>
  <c r="J52" i="137"/>
  <c r="J44" i="137"/>
  <c r="J57" i="137"/>
  <c r="J53" i="137"/>
  <c r="J40" i="137"/>
  <c r="J47" i="137"/>
  <c r="J41" i="137"/>
  <c r="J51" i="137"/>
  <c r="J48" i="137"/>
  <c r="J42" i="137"/>
  <c r="J49" i="137"/>
  <c r="J43" i="137"/>
  <c r="J55" i="137"/>
  <c r="J50" i="137"/>
  <c r="J56" i="137"/>
  <c r="J45" i="137"/>
  <c r="J39" i="137"/>
  <c r="K37" i="137"/>
  <c r="F38" i="137" s="1"/>
  <c r="E39" i="137"/>
  <c r="B40" i="137"/>
  <c r="D39" i="137"/>
  <c r="C40" i="137"/>
  <c r="E65" i="137"/>
  <c r="D65" i="137"/>
  <c r="C66" i="137"/>
  <c r="B66" i="137"/>
  <c r="E66" i="137" l="1"/>
  <c r="B67" i="137"/>
  <c r="C67" i="137"/>
  <c r="D66" i="137"/>
  <c r="I65" i="137"/>
  <c r="K65" i="137" s="1"/>
  <c r="F66" i="137" s="1"/>
  <c r="E40" i="137"/>
  <c r="D40" i="137"/>
  <c r="C41" i="137"/>
  <c r="B41" i="137"/>
  <c r="G38" i="137"/>
  <c r="K38" i="137"/>
  <c r="F39" i="137" s="1"/>
  <c r="C42" i="137" l="1"/>
  <c r="D41" i="137"/>
  <c r="E41" i="137"/>
  <c r="B42" i="137"/>
  <c r="I66" i="137"/>
  <c r="G39" i="137"/>
  <c r="K39" i="137"/>
  <c r="F40" i="137" s="1"/>
  <c r="B68" i="137"/>
  <c r="C68" i="137"/>
  <c r="E67" i="137"/>
  <c r="D67" i="137"/>
  <c r="C64" i="120"/>
  <c r="C65" i="120"/>
  <c r="C66" i="120"/>
  <c r="D64" i="120"/>
  <c r="D65" i="120"/>
  <c r="D66" i="120"/>
  <c r="E64" i="120"/>
  <c r="E65" i="120"/>
  <c r="F64" i="120" l="1"/>
  <c r="F65" i="120"/>
  <c r="K66" i="137"/>
  <c r="F67" i="137" s="1"/>
  <c r="E42" i="137"/>
  <c r="B43" i="137"/>
  <c r="C43" i="137"/>
  <c r="D42" i="137"/>
  <c r="C69" i="137"/>
  <c r="B69" i="137"/>
  <c r="E68" i="137"/>
  <c r="D68" i="137"/>
  <c r="G40" i="137"/>
  <c r="K40" i="137"/>
  <c r="F41" i="137" s="1"/>
  <c r="B70" i="137" l="1"/>
  <c r="E69" i="137"/>
  <c r="D69" i="137"/>
  <c r="C70" i="137"/>
  <c r="C44" i="137"/>
  <c r="D43" i="137"/>
  <c r="E43" i="137"/>
  <c r="B44" i="137"/>
  <c r="K41" i="137"/>
  <c r="F42" i="137" s="1"/>
  <c r="G41" i="137"/>
  <c r="I67" i="137"/>
  <c r="K67" i="137" s="1"/>
  <c r="F68" i="137" s="1"/>
  <c r="D70" i="137" l="1"/>
  <c r="C71" i="137"/>
  <c r="B71" i="137"/>
  <c r="E70" i="137"/>
  <c r="B45" i="137"/>
  <c r="E44" i="137"/>
  <c r="D44" i="137"/>
  <c r="C45" i="137"/>
  <c r="I68" i="137"/>
  <c r="K68" i="137" s="1"/>
  <c r="F69" i="137" s="1"/>
  <c r="K42" i="137"/>
  <c r="F43" i="137" s="1"/>
  <c r="G42" i="137"/>
  <c r="K43" i="137" l="1"/>
  <c r="F44" i="137" s="1"/>
  <c r="G43" i="137"/>
  <c r="E45" i="137"/>
  <c r="D45" i="137"/>
  <c r="C46" i="137"/>
  <c r="B46" i="137"/>
  <c r="E71" i="137"/>
  <c r="B72" i="137"/>
  <c r="D71" i="137"/>
  <c r="C72" i="137"/>
  <c r="I69" i="137"/>
  <c r="C73" i="137" l="1"/>
  <c r="D72" i="137"/>
  <c r="B73" i="137"/>
  <c r="E72" i="137"/>
  <c r="K44" i="137"/>
  <c r="F45" i="137" s="1"/>
  <c r="G44" i="137"/>
  <c r="K69" i="137"/>
  <c r="F70" i="137" s="1"/>
  <c r="C47" i="137"/>
  <c r="E46" i="137"/>
  <c r="D46" i="137"/>
  <c r="B47" i="137"/>
  <c r="C48" i="137" l="1"/>
  <c r="E47" i="137"/>
  <c r="D47" i="137"/>
  <c r="B48" i="137"/>
  <c r="I70" i="137"/>
  <c r="K45" i="137"/>
  <c r="F46" i="137" s="1"/>
  <c r="G45" i="137"/>
  <c r="B74" i="137"/>
  <c r="C74" i="137"/>
  <c r="E73" i="137"/>
  <c r="D73" i="137"/>
  <c r="J85" i="137" l="1"/>
  <c r="J79" i="137"/>
  <c r="J81" i="137"/>
  <c r="J80" i="137"/>
  <c r="J71" i="137"/>
  <c r="J88" i="137"/>
  <c r="J87" i="137"/>
  <c r="J77" i="137"/>
  <c r="J74" i="137"/>
  <c r="J90" i="137"/>
  <c r="J72" i="137"/>
  <c r="J78" i="137"/>
  <c r="J89" i="137"/>
  <c r="J76" i="137"/>
  <c r="J82" i="137"/>
  <c r="J75" i="137"/>
  <c r="J86" i="137"/>
  <c r="J83" i="137"/>
  <c r="J73" i="137"/>
  <c r="J84" i="137"/>
  <c r="K70" i="137"/>
  <c r="F71" i="137" s="1"/>
  <c r="E74" i="137"/>
  <c r="B75" i="137"/>
  <c r="D74" i="137"/>
  <c r="C75" i="137"/>
  <c r="G46" i="137"/>
  <c r="K46" i="137"/>
  <c r="F47" i="137" s="1"/>
  <c r="E48" i="137"/>
  <c r="B49" i="137"/>
  <c r="C49" i="137"/>
  <c r="D48" i="137"/>
  <c r="K71" i="137" l="1"/>
  <c r="F72" i="137" s="1"/>
  <c r="G71" i="137"/>
  <c r="K47" i="137"/>
  <c r="F48" i="137" s="1"/>
  <c r="G47" i="137"/>
  <c r="C50" i="137"/>
  <c r="D49" i="137"/>
  <c r="B50" i="137"/>
  <c r="E49" i="137"/>
  <c r="C76" i="137"/>
  <c r="B76" i="137"/>
  <c r="E75" i="137"/>
  <c r="D75" i="137"/>
  <c r="E50" i="137" l="1"/>
  <c r="B51" i="137"/>
  <c r="D50" i="137"/>
  <c r="C51" i="137"/>
  <c r="G48" i="137"/>
  <c r="K48" i="137"/>
  <c r="F49" i="137" s="1"/>
  <c r="E76" i="137"/>
  <c r="D76" i="137"/>
  <c r="C77" i="137"/>
  <c r="B77" i="137"/>
  <c r="K72" i="137"/>
  <c r="F73" i="137" s="1"/>
  <c r="G72" i="137"/>
  <c r="C52" i="137" l="1"/>
  <c r="D51" i="137"/>
  <c r="E51" i="137"/>
  <c r="B52" i="137"/>
  <c r="K73" i="137"/>
  <c r="F74" i="137" s="1"/>
  <c r="G73" i="137"/>
  <c r="G49" i="137"/>
  <c r="K49" i="137"/>
  <c r="F50" i="137" s="1"/>
  <c r="E77" i="137"/>
  <c r="C78" i="137"/>
  <c r="D77" i="137"/>
  <c r="B78" i="137"/>
  <c r="G50" i="137" l="1"/>
  <c r="K50" i="137"/>
  <c r="F51" i="137" s="1"/>
  <c r="K74" i="137"/>
  <c r="F75" i="137" s="1"/>
  <c r="G74" i="137"/>
  <c r="E78" i="137"/>
  <c r="C79" i="137"/>
  <c r="D78" i="137"/>
  <c r="B79" i="137"/>
  <c r="B53" i="137"/>
  <c r="E52" i="137"/>
  <c r="D52" i="137"/>
  <c r="C53" i="137"/>
  <c r="E79" i="137" l="1"/>
  <c r="C80" i="137"/>
  <c r="D79" i="137"/>
  <c r="B80" i="137"/>
  <c r="K51" i="137"/>
  <c r="F52" i="137" s="1"/>
  <c r="G51" i="137"/>
  <c r="E53" i="137"/>
  <c r="D53" i="137"/>
  <c r="C54" i="137"/>
  <c r="B54" i="137"/>
  <c r="G75" i="137"/>
  <c r="K75" i="137"/>
  <c r="F76" i="137" s="1"/>
  <c r="G52" i="137" l="1"/>
  <c r="K52" i="137"/>
  <c r="F53" i="137" s="1"/>
  <c r="C81" i="137"/>
  <c r="D80" i="137"/>
  <c r="B81" i="137"/>
  <c r="E80" i="137"/>
  <c r="G76" i="137"/>
  <c r="K76" i="137"/>
  <c r="F77" i="137" s="1"/>
  <c r="B55" i="137"/>
  <c r="D54" i="137"/>
  <c r="C55" i="137"/>
  <c r="E54" i="137"/>
  <c r="B82" i="137" l="1"/>
  <c r="E81" i="137"/>
  <c r="D81" i="137"/>
  <c r="C82" i="137"/>
  <c r="K53" i="137"/>
  <c r="F54" i="137" s="1"/>
  <c r="G53" i="137"/>
  <c r="G77" i="137"/>
  <c r="K77" i="137"/>
  <c r="F78" i="137" s="1"/>
  <c r="E55" i="137"/>
  <c r="C56" i="137"/>
  <c r="B56" i="137"/>
  <c r="D55" i="137"/>
  <c r="G54" i="137" l="1"/>
  <c r="K54" i="137"/>
  <c r="F55" i="137" s="1"/>
  <c r="K78" i="137"/>
  <c r="F79" i="137" s="1"/>
  <c r="G78" i="137"/>
  <c r="C83" i="137"/>
  <c r="B83" i="137"/>
  <c r="E82" i="137"/>
  <c r="D82" i="137"/>
  <c r="E56" i="137"/>
  <c r="C57" i="137"/>
  <c r="D56" i="137"/>
  <c r="B57" i="137"/>
  <c r="E83" i="137" l="1"/>
  <c r="D83" i="137"/>
  <c r="C84" i="137"/>
  <c r="B84" i="137"/>
  <c r="D57" i="137"/>
  <c r="E57" i="137"/>
  <c r="K55" i="137"/>
  <c r="F56" i="137" s="1"/>
  <c r="G55" i="137"/>
  <c r="K79" i="137"/>
  <c r="F80" i="137" s="1"/>
  <c r="G79" i="137"/>
  <c r="G56" i="137" l="1"/>
  <c r="B14" i="134" s="1"/>
  <c r="K56" i="137"/>
  <c r="F57" i="137" s="1"/>
  <c r="E84" i="137"/>
  <c r="C85" i="137"/>
  <c r="B85" i="137"/>
  <c r="D84" i="137"/>
  <c r="K80" i="137"/>
  <c r="F81" i="137" s="1"/>
  <c r="G80" i="137"/>
  <c r="K81" i="137" l="1"/>
  <c r="F82" i="137" s="1"/>
  <c r="G81" i="137"/>
  <c r="G57" i="137"/>
  <c r="C14" i="134" s="1"/>
  <c r="F14" i="134" s="1"/>
  <c r="K57" i="137"/>
  <c r="E85" i="137"/>
  <c r="C86" i="137"/>
  <c r="D85" i="137"/>
  <c r="B86" i="137"/>
  <c r="E86" i="137" l="1"/>
  <c r="C87" i="137"/>
  <c r="D86" i="137"/>
  <c r="B87" i="137"/>
  <c r="K82" i="137"/>
  <c r="F83" i="137" s="1"/>
  <c r="G82" i="137"/>
  <c r="G83" i="137" l="1"/>
  <c r="K83" i="137"/>
  <c r="F84" i="137" s="1"/>
  <c r="E87" i="137"/>
  <c r="C88" i="137"/>
  <c r="D87" i="137"/>
  <c r="B88" i="137"/>
  <c r="G84" i="137" l="1"/>
  <c r="K84" i="137"/>
  <c r="F85" i="137" s="1"/>
  <c r="C89" i="137"/>
  <c r="D88" i="137"/>
  <c r="B89" i="137"/>
  <c r="E88" i="137"/>
  <c r="B90" i="137" l="1"/>
  <c r="E89" i="137"/>
  <c r="C90" i="137"/>
  <c r="D89" i="137"/>
  <c r="G85" i="137"/>
  <c r="K85" i="137"/>
  <c r="F86" i="137" s="1"/>
  <c r="K86" i="137" l="1"/>
  <c r="F87" i="137" s="1"/>
  <c r="G86" i="137"/>
  <c r="E90" i="137"/>
  <c r="D90" i="137"/>
  <c r="K87" i="137" l="1"/>
  <c r="F88" i="137" s="1"/>
  <c r="G87" i="137"/>
  <c r="K88" i="137" l="1"/>
  <c r="F89" i="137" s="1"/>
  <c r="G88" i="137"/>
  <c r="K89" i="137" l="1"/>
  <c r="F90" i="137" s="1"/>
  <c r="G89" i="137"/>
  <c r="K90" i="137" l="1"/>
  <c r="G90" i="137"/>
  <c r="C39" i="119" l="1"/>
  <c r="E38" i="129" l="1"/>
  <c r="D32" i="129" l="1"/>
  <c r="B37" i="129" s="1"/>
  <c r="C37" i="129" s="1"/>
  <c r="C40" i="119"/>
  <c r="C41" i="119" s="1"/>
  <c r="C42" i="119" s="1"/>
  <c r="C43" i="119" s="1"/>
  <c r="C44" i="119" s="1"/>
  <c r="C45" i="119" s="1"/>
  <c r="C46" i="119" s="1"/>
  <c r="C47" i="119" s="1"/>
  <c r="E38" i="119"/>
  <c r="B39" i="119"/>
  <c r="D39" i="119" s="1"/>
  <c r="D37" i="129" l="1"/>
  <c r="E37" i="129"/>
  <c r="B38" i="129"/>
  <c r="D38" i="129" s="1"/>
  <c r="E39" i="119"/>
  <c r="F62" i="129"/>
  <c r="H83" i="129" s="1"/>
  <c r="B62" i="129"/>
  <c r="C62" i="129" s="1"/>
  <c r="C63" i="129" s="1"/>
  <c r="F29" i="129"/>
  <c r="F28" i="129"/>
  <c r="E26" i="129"/>
  <c r="D26" i="129"/>
  <c r="C26" i="129"/>
  <c r="G53" i="145" s="1"/>
  <c r="F25" i="129"/>
  <c r="F24" i="129"/>
  <c r="F23" i="129"/>
  <c r="F22" i="129"/>
  <c r="F21" i="129"/>
  <c r="F20" i="129"/>
  <c r="F19" i="129"/>
  <c r="F18" i="129"/>
  <c r="F17" i="129"/>
  <c r="F16" i="129"/>
  <c r="F15" i="129"/>
  <c r="F14" i="129"/>
  <c r="F13" i="129"/>
  <c r="F12" i="129"/>
  <c r="F11" i="129"/>
  <c r="F10" i="129"/>
  <c r="F9" i="129"/>
  <c r="F8" i="129"/>
  <c r="F7" i="129"/>
  <c r="F6" i="129"/>
  <c r="F5" i="129"/>
  <c r="F4" i="129"/>
  <c r="F3" i="129"/>
  <c r="F2" i="129"/>
  <c r="H40" i="126"/>
  <c r="F62" i="126"/>
  <c r="H85" i="126" s="1"/>
  <c r="B62" i="126"/>
  <c r="C62" i="126" s="1"/>
  <c r="B63" i="126" s="1"/>
  <c r="F37" i="126"/>
  <c r="B37" i="126"/>
  <c r="C37" i="126" s="1"/>
  <c r="F29" i="126"/>
  <c r="F28" i="126"/>
  <c r="E26" i="126"/>
  <c r="D26" i="126"/>
  <c r="C26" i="126"/>
  <c r="H48" i="126" s="1"/>
  <c r="F25" i="126"/>
  <c r="F24" i="126"/>
  <c r="F23" i="126"/>
  <c r="F22" i="126"/>
  <c r="F21" i="126"/>
  <c r="F20" i="126"/>
  <c r="F19" i="126"/>
  <c r="F18" i="126"/>
  <c r="F17" i="126"/>
  <c r="F16" i="126"/>
  <c r="F15" i="126"/>
  <c r="F14" i="126"/>
  <c r="F13" i="126"/>
  <c r="F12" i="126"/>
  <c r="F11" i="126"/>
  <c r="F10" i="126"/>
  <c r="F9" i="126"/>
  <c r="F8" i="126"/>
  <c r="F7" i="126"/>
  <c r="F6" i="126"/>
  <c r="F5" i="126"/>
  <c r="F4" i="126"/>
  <c r="F3" i="126"/>
  <c r="F2" i="126"/>
  <c r="F65" i="125"/>
  <c r="H86" i="125" s="1"/>
  <c r="B65" i="125"/>
  <c r="C65" i="125" s="1"/>
  <c r="B38" i="125"/>
  <c r="C38" i="125" s="1"/>
  <c r="F29" i="125"/>
  <c r="F28" i="125"/>
  <c r="E26" i="125"/>
  <c r="D26" i="125"/>
  <c r="C26" i="125"/>
  <c r="F25" i="125"/>
  <c r="F24" i="125"/>
  <c r="F23" i="125"/>
  <c r="F22" i="125"/>
  <c r="F21" i="125"/>
  <c r="F20" i="125"/>
  <c r="F19" i="125"/>
  <c r="F18" i="125"/>
  <c r="F17" i="125"/>
  <c r="F16" i="125"/>
  <c r="F15" i="125"/>
  <c r="F14" i="125"/>
  <c r="F13" i="125"/>
  <c r="F12" i="125"/>
  <c r="F11" i="125"/>
  <c r="F10" i="125"/>
  <c r="F9" i="125"/>
  <c r="F8" i="125"/>
  <c r="F7" i="125"/>
  <c r="F6" i="125"/>
  <c r="F5" i="125"/>
  <c r="F4" i="125"/>
  <c r="F3" i="125"/>
  <c r="F2" i="125"/>
  <c r="F64" i="124"/>
  <c r="H85" i="124" s="1"/>
  <c r="B64" i="124"/>
  <c r="C64" i="124" s="1"/>
  <c r="B65" i="124" s="1"/>
  <c r="B37" i="124"/>
  <c r="C37" i="124" s="1"/>
  <c r="F28" i="124"/>
  <c r="F2" i="124"/>
  <c r="F26" i="124" s="1"/>
  <c r="F66" i="122"/>
  <c r="H87" i="122" s="1"/>
  <c r="B66" i="122"/>
  <c r="C66" i="122" s="1"/>
  <c r="B67" i="122" s="1"/>
  <c r="B37" i="122"/>
  <c r="C37" i="122" s="1"/>
  <c r="C38" i="122" s="1"/>
  <c r="F29" i="122"/>
  <c r="F28" i="122"/>
  <c r="E26" i="122"/>
  <c r="D26" i="122"/>
  <c r="C26" i="122"/>
  <c r="G33" i="134" s="1"/>
  <c r="F25" i="122"/>
  <c r="F24" i="122"/>
  <c r="F23" i="122"/>
  <c r="F22" i="122"/>
  <c r="F21" i="122"/>
  <c r="F20" i="122"/>
  <c r="F19" i="122"/>
  <c r="F18" i="122"/>
  <c r="F17" i="122"/>
  <c r="F16" i="122"/>
  <c r="F15" i="122"/>
  <c r="F14" i="122"/>
  <c r="F13" i="122"/>
  <c r="F12" i="122"/>
  <c r="F11" i="122"/>
  <c r="F10" i="122"/>
  <c r="F9" i="122"/>
  <c r="F8" i="122"/>
  <c r="F7" i="122"/>
  <c r="F6" i="122"/>
  <c r="F5" i="122"/>
  <c r="F4" i="122"/>
  <c r="F3" i="122"/>
  <c r="F2" i="122"/>
  <c r="H71" i="129" l="1"/>
  <c r="H72" i="129"/>
  <c r="G8" i="134"/>
  <c r="H41" i="126"/>
  <c r="B63" i="129"/>
  <c r="D63" i="129" s="1"/>
  <c r="H86" i="129"/>
  <c r="H56" i="129"/>
  <c r="F37" i="129"/>
  <c r="H38" i="129"/>
  <c r="H57" i="129"/>
  <c r="H85" i="129"/>
  <c r="C29" i="124"/>
  <c r="G13" i="145" s="1"/>
  <c r="H86" i="126"/>
  <c r="H70" i="126"/>
  <c r="H71" i="126"/>
  <c r="H77" i="126"/>
  <c r="B38" i="126"/>
  <c r="C38" i="126"/>
  <c r="H56" i="126"/>
  <c r="H39" i="126"/>
  <c r="H49" i="126"/>
  <c r="H79" i="126"/>
  <c r="C63" i="126"/>
  <c r="C64" i="126" s="1"/>
  <c r="H51" i="126"/>
  <c r="H87" i="124"/>
  <c r="H76" i="124"/>
  <c r="H81" i="124"/>
  <c r="B18" i="134"/>
  <c r="H53" i="122"/>
  <c r="H60" i="122"/>
  <c r="H57" i="122"/>
  <c r="H58" i="122"/>
  <c r="H59" i="122"/>
  <c r="H42" i="122"/>
  <c r="H43" i="122"/>
  <c r="H82" i="124"/>
  <c r="H89" i="124"/>
  <c r="H72" i="124"/>
  <c r="H74" i="124"/>
  <c r="H75" i="124"/>
  <c r="H40" i="125"/>
  <c r="H82" i="125"/>
  <c r="H89" i="125"/>
  <c r="H90" i="125"/>
  <c r="H80" i="125"/>
  <c r="H91" i="125"/>
  <c r="H43" i="125"/>
  <c r="B8" i="134" s="1"/>
  <c r="H47" i="125"/>
  <c r="H44" i="125"/>
  <c r="C8" i="134" s="1"/>
  <c r="H41" i="125"/>
  <c r="H45" i="125"/>
  <c r="D8" i="134" s="1"/>
  <c r="H42" i="125"/>
  <c r="H46" i="125"/>
  <c r="E8" i="134" s="1"/>
  <c r="H75" i="125"/>
  <c r="H92" i="125"/>
  <c r="H76" i="125"/>
  <c r="H81" i="125"/>
  <c r="B39" i="129"/>
  <c r="E38" i="122"/>
  <c r="B39" i="122"/>
  <c r="C39" i="122"/>
  <c r="H83" i="125"/>
  <c r="H54" i="125"/>
  <c r="H73" i="125"/>
  <c r="H84" i="125"/>
  <c r="H74" i="125"/>
  <c r="H88" i="125"/>
  <c r="H53" i="129"/>
  <c r="H43" i="129"/>
  <c r="H54" i="129"/>
  <c r="H73" i="129"/>
  <c r="H87" i="129"/>
  <c r="H42" i="129"/>
  <c r="E53" i="145" s="1"/>
  <c r="F26" i="129"/>
  <c r="H77" i="129"/>
  <c r="H88" i="129"/>
  <c r="H41" i="129"/>
  <c r="D53" i="145" s="1"/>
  <c r="H78" i="129"/>
  <c r="H89" i="129"/>
  <c r="H40" i="129"/>
  <c r="C53" i="145" s="1"/>
  <c r="H39" i="129"/>
  <c r="H50" i="129"/>
  <c r="H80" i="129"/>
  <c r="H52" i="129"/>
  <c r="H79" i="129"/>
  <c r="H51" i="129"/>
  <c r="H70" i="129"/>
  <c r="H81" i="129"/>
  <c r="H45" i="129"/>
  <c r="H44" i="129"/>
  <c r="H46" i="129"/>
  <c r="E63" i="129"/>
  <c r="B64" i="129"/>
  <c r="C64" i="129"/>
  <c r="E62" i="129"/>
  <c r="D62" i="129"/>
  <c r="H49" i="129"/>
  <c r="H76" i="129"/>
  <c r="H84" i="129"/>
  <c r="H47" i="129"/>
  <c r="H55" i="129"/>
  <c r="H74" i="129"/>
  <c r="H82" i="129"/>
  <c r="H48" i="129"/>
  <c r="H75" i="129"/>
  <c r="H42" i="126"/>
  <c r="H52" i="126"/>
  <c r="H43" i="126"/>
  <c r="F26" i="126"/>
  <c r="H45" i="126"/>
  <c r="H53" i="126"/>
  <c r="H44" i="126"/>
  <c r="H54" i="126"/>
  <c r="H46" i="126"/>
  <c r="H50" i="126"/>
  <c r="E37" i="126"/>
  <c r="D37" i="126"/>
  <c r="D63" i="126"/>
  <c r="E62" i="126"/>
  <c r="D62" i="126"/>
  <c r="B64" i="126"/>
  <c r="H83" i="126"/>
  <c r="H75" i="126"/>
  <c r="H82" i="126"/>
  <c r="H74" i="126"/>
  <c r="H89" i="126"/>
  <c r="H81" i="126"/>
  <c r="H73" i="126"/>
  <c r="H88" i="126"/>
  <c r="H80" i="126"/>
  <c r="H78" i="126"/>
  <c r="H84" i="126"/>
  <c r="H76" i="126"/>
  <c r="H72" i="126"/>
  <c r="H87" i="126"/>
  <c r="H47" i="126"/>
  <c r="H55" i="126"/>
  <c r="H52" i="125"/>
  <c r="H53" i="125"/>
  <c r="E38" i="125"/>
  <c r="C39" i="125"/>
  <c r="B39" i="125"/>
  <c r="D38" i="125"/>
  <c r="E65" i="125"/>
  <c r="D65" i="125"/>
  <c r="F26" i="125"/>
  <c r="H57" i="125"/>
  <c r="H49" i="125"/>
  <c r="F38" i="125"/>
  <c r="H56" i="125"/>
  <c r="H48" i="125"/>
  <c r="H58" i="125"/>
  <c r="H50" i="125"/>
  <c r="H55" i="125"/>
  <c r="H51" i="125"/>
  <c r="B66" i="125"/>
  <c r="H59" i="125"/>
  <c r="C66" i="125"/>
  <c r="H79" i="125"/>
  <c r="H87" i="125"/>
  <c r="H77" i="125"/>
  <c r="H85" i="125"/>
  <c r="H78" i="125"/>
  <c r="H83" i="124"/>
  <c r="H73" i="124"/>
  <c r="H88" i="124"/>
  <c r="C65" i="124"/>
  <c r="B66" i="124" s="1"/>
  <c r="F37" i="124"/>
  <c r="F29" i="124"/>
  <c r="H79" i="124"/>
  <c r="H90" i="124"/>
  <c r="H80" i="124"/>
  <c r="H91" i="124"/>
  <c r="C38" i="124"/>
  <c r="B38" i="124"/>
  <c r="D37" i="124"/>
  <c r="E37" i="124"/>
  <c r="E64" i="124"/>
  <c r="D64" i="124"/>
  <c r="H78" i="124"/>
  <c r="H86" i="124"/>
  <c r="H84" i="124"/>
  <c r="H77" i="124"/>
  <c r="B38" i="122"/>
  <c r="D38" i="122" s="1"/>
  <c r="H81" i="122"/>
  <c r="H41" i="122"/>
  <c r="H82" i="122"/>
  <c r="H83" i="122"/>
  <c r="H92" i="122"/>
  <c r="F26" i="122"/>
  <c r="H54" i="122"/>
  <c r="H84" i="122"/>
  <c r="H74" i="122"/>
  <c r="H86" i="122"/>
  <c r="H75" i="122"/>
  <c r="H89" i="122"/>
  <c r="H47" i="122"/>
  <c r="H76" i="122"/>
  <c r="H90" i="122"/>
  <c r="H78" i="122"/>
  <c r="H91" i="122"/>
  <c r="H50" i="122"/>
  <c r="H56" i="122"/>
  <c r="H48" i="122"/>
  <c r="H44" i="122"/>
  <c r="H49" i="122"/>
  <c r="H55" i="122"/>
  <c r="E66" i="122"/>
  <c r="D66" i="122"/>
  <c r="C67" i="122"/>
  <c r="E37" i="122"/>
  <c r="H52" i="122"/>
  <c r="F37" i="122"/>
  <c r="H45" i="122"/>
  <c r="H51" i="122"/>
  <c r="D37" i="122"/>
  <c r="H46" i="122"/>
  <c r="H80" i="122"/>
  <c r="H88" i="122"/>
  <c r="H77" i="122"/>
  <c r="H85" i="122"/>
  <c r="H93" i="122"/>
  <c r="H79" i="122"/>
  <c r="B53" i="145" l="1"/>
  <c r="F53" i="145" s="1"/>
  <c r="H53" i="145"/>
  <c r="I53" i="145" s="1"/>
  <c r="I37" i="122"/>
  <c r="H33" i="134"/>
  <c r="I33" i="134" s="1"/>
  <c r="E33" i="134"/>
  <c r="F33" i="134" s="1"/>
  <c r="I62" i="126"/>
  <c r="K62" i="126" s="1"/>
  <c r="F63" i="126" s="1"/>
  <c r="F8" i="134"/>
  <c r="I37" i="126"/>
  <c r="K37" i="126" s="1"/>
  <c r="H8" i="134"/>
  <c r="I8" i="134" s="1"/>
  <c r="H57" i="126"/>
  <c r="H46" i="124"/>
  <c r="C13" i="145" s="1"/>
  <c r="H50" i="124"/>
  <c r="H54" i="124"/>
  <c r="H58" i="124"/>
  <c r="H47" i="124"/>
  <c r="D13" i="145" s="1"/>
  <c r="H51" i="124"/>
  <c r="H55" i="124"/>
  <c r="H43" i="124"/>
  <c r="D18" i="134" s="1"/>
  <c r="H44" i="124"/>
  <c r="H56" i="124"/>
  <c r="G18" i="134"/>
  <c r="H45" i="124"/>
  <c r="B13" i="145" s="1"/>
  <c r="H49" i="124"/>
  <c r="H53" i="124"/>
  <c r="H57" i="124"/>
  <c r="H48" i="124"/>
  <c r="E13" i="145" s="1"/>
  <c r="H52" i="124"/>
  <c r="H42" i="124"/>
  <c r="I37" i="129"/>
  <c r="J45" i="126"/>
  <c r="E38" i="126"/>
  <c r="B39" i="126"/>
  <c r="C39" i="126"/>
  <c r="D38" i="126"/>
  <c r="E63" i="126"/>
  <c r="I37" i="124"/>
  <c r="I38" i="125"/>
  <c r="K38" i="125" s="1"/>
  <c r="F39" i="125" s="1"/>
  <c r="B40" i="125"/>
  <c r="C40" i="125"/>
  <c r="E39" i="129"/>
  <c r="B40" i="122"/>
  <c r="E39" i="122"/>
  <c r="C40" i="122"/>
  <c r="D39" i="122"/>
  <c r="E64" i="129"/>
  <c r="B65" i="129"/>
  <c r="D64" i="129"/>
  <c r="C65" i="129"/>
  <c r="I62" i="129"/>
  <c r="E64" i="126"/>
  <c r="D64" i="126"/>
  <c r="C65" i="126"/>
  <c r="B65" i="126"/>
  <c r="I65" i="125"/>
  <c r="D39" i="125"/>
  <c r="E39" i="125"/>
  <c r="E66" i="125"/>
  <c r="D66" i="125"/>
  <c r="C67" i="125"/>
  <c r="B67" i="125"/>
  <c r="B39" i="124"/>
  <c r="C39" i="124"/>
  <c r="C66" i="124"/>
  <c r="E66" i="124" s="1"/>
  <c r="D65" i="124"/>
  <c r="E65" i="124"/>
  <c r="D38" i="124"/>
  <c r="E38" i="124"/>
  <c r="I64" i="124"/>
  <c r="E67" i="122"/>
  <c r="D67" i="122"/>
  <c r="C68" i="122"/>
  <c r="B68" i="122"/>
  <c r="I66" i="122"/>
  <c r="F13" i="145" l="1"/>
  <c r="H13" i="145"/>
  <c r="E18" i="134"/>
  <c r="J49" i="126"/>
  <c r="J56" i="126"/>
  <c r="J52" i="126"/>
  <c r="J41" i="126"/>
  <c r="J47" i="126"/>
  <c r="J43" i="126"/>
  <c r="J54" i="126"/>
  <c r="I57" i="126"/>
  <c r="J42" i="129"/>
  <c r="J55" i="129"/>
  <c r="J39" i="129"/>
  <c r="J56" i="129"/>
  <c r="J44" i="129"/>
  <c r="J46" i="129"/>
  <c r="J57" i="129"/>
  <c r="J54" i="129"/>
  <c r="J52" i="129"/>
  <c r="J48" i="129"/>
  <c r="J45" i="129"/>
  <c r="J40" i="129"/>
  <c r="J43" i="129"/>
  <c r="J41" i="129"/>
  <c r="J38" i="129"/>
  <c r="J53" i="129"/>
  <c r="J51" i="129"/>
  <c r="J47" i="129"/>
  <c r="J49" i="129"/>
  <c r="J50" i="129"/>
  <c r="J40" i="126"/>
  <c r="J39" i="126"/>
  <c r="K37" i="124"/>
  <c r="F38" i="124" s="1"/>
  <c r="I38" i="124" s="1"/>
  <c r="J55" i="126"/>
  <c r="J53" i="126"/>
  <c r="J51" i="126"/>
  <c r="J42" i="126"/>
  <c r="K37" i="129"/>
  <c r="F38" i="129" s="1"/>
  <c r="H18" i="134"/>
  <c r="I18" i="134" s="1"/>
  <c r="J48" i="126"/>
  <c r="J46" i="126"/>
  <c r="J44" i="126"/>
  <c r="J50" i="126"/>
  <c r="C18" i="134"/>
  <c r="D39" i="126"/>
  <c r="E39" i="126"/>
  <c r="C67" i="124"/>
  <c r="B68" i="124" s="1"/>
  <c r="B67" i="124"/>
  <c r="B41" i="125"/>
  <c r="D40" i="125"/>
  <c r="C41" i="125"/>
  <c r="E40" i="125"/>
  <c r="D39" i="129"/>
  <c r="D40" i="122"/>
  <c r="E40" i="122"/>
  <c r="I39" i="125"/>
  <c r="K39" i="125" s="1"/>
  <c r="F40" i="125" s="1"/>
  <c r="K62" i="129"/>
  <c r="F63" i="129" s="1"/>
  <c r="B66" i="129"/>
  <c r="C66" i="129"/>
  <c r="E65" i="129"/>
  <c r="D65" i="129"/>
  <c r="C40" i="129"/>
  <c r="B40" i="129"/>
  <c r="B40" i="126"/>
  <c r="C40" i="126"/>
  <c r="F38" i="126"/>
  <c r="K38" i="126" s="1"/>
  <c r="I63" i="126"/>
  <c r="K63" i="126" s="1"/>
  <c r="F64" i="126" s="1"/>
  <c r="C66" i="126"/>
  <c r="B66" i="126"/>
  <c r="E65" i="126"/>
  <c r="D65" i="126"/>
  <c r="E67" i="125"/>
  <c r="C68" i="125"/>
  <c r="B68" i="125"/>
  <c r="D67" i="125"/>
  <c r="K65" i="125"/>
  <c r="F66" i="125" s="1"/>
  <c r="D39" i="124"/>
  <c r="D66" i="124"/>
  <c r="E39" i="124"/>
  <c r="B40" i="124"/>
  <c r="C40" i="124"/>
  <c r="K64" i="124"/>
  <c r="F65" i="124" s="1"/>
  <c r="B41" i="122"/>
  <c r="C41" i="122"/>
  <c r="K66" i="122"/>
  <c r="F67" i="122" s="1"/>
  <c r="E68" i="122"/>
  <c r="D68" i="122"/>
  <c r="C69" i="122"/>
  <c r="B69" i="122"/>
  <c r="K37" i="122"/>
  <c r="F38" i="122" s="1"/>
  <c r="I38" i="122" s="1"/>
  <c r="I13" i="145" l="1"/>
  <c r="F18" i="134"/>
  <c r="C68" i="124"/>
  <c r="D68" i="124" s="1"/>
  <c r="J57" i="126"/>
  <c r="K38" i="124"/>
  <c r="F39" i="124" s="1"/>
  <c r="I39" i="124" s="1"/>
  <c r="J51" i="124" s="1"/>
  <c r="G38" i="126"/>
  <c r="F39" i="126"/>
  <c r="K39" i="126" s="1"/>
  <c r="K38" i="129"/>
  <c r="F39" i="129" s="1"/>
  <c r="G38" i="129"/>
  <c r="E67" i="124"/>
  <c r="D67" i="124"/>
  <c r="I40" i="125"/>
  <c r="J41" i="125" s="1"/>
  <c r="B42" i="125"/>
  <c r="E41" i="125"/>
  <c r="C42" i="125"/>
  <c r="D41" i="125"/>
  <c r="I63" i="129"/>
  <c r="E40" i="129"/>
  <c r="D40" i="129"/>
  <c r="C41" i="129"/>
  <c r="B41" i="129"/>
  <c r="B67" i="129"/>
  <c r="C67" i="129"/>
  <c r="E66" i="129"/>
  <c r="D66" i="129"/>
  <c r="D40" i="126"/>
  <c r="C41" i="126"/>
  <c r="B41" i="126"/>
  <c r="E40" i="126"/>
  <c r="B67" i="126"/>
  <c r="D66" i="126"/>
  <c r="C67" i="126"/>
  <c r="E66" i="126"/>
  <c r="I64" i="126"/>
  <c r="B69" i="125"/>
  <c r="E68" i="125"/>
  <c r="D68" i="125"/>
  <c r="C69" i="125"/>
  <c r="I66" i="125"/>
  <c r="D40" i="124"/>
  <c r="B41" i="124"/>
  <c r="C41" i="124"/>
  <c r="E40" i="124"/>
  <c r="B69" i="124"/>
  <c r="E68" i="124"/>
  <c r="I65" i="124"/>
  <c r="K65" i="124" s="1"/>
  <c r="F66" i="124" s="1"/>
  <c r="E41" i="122"/>
  <c r="D41" i="122"/>
  <c r="E69" i="122"/>
  <c r="B70" i="122"/>
  <c r="C70" i="122"/>
  <c r="D69" i="122"/>
  <c r="I67" i="122"/>
  <c r="C69" i="124" l="1"/>
  <c r="J41" i="124"/>
  <c r="J44" i="124"/>
  <c r="J52" i="124"/>
  <c r="J53" i="124"/>
  <c r="J55" i="124"/>
  <c r="J54" i="124"/>
  <c r="J46" i="124"/>
  <c r="J56" i="124"/>
  <c r="J45" i="124"/>
  <c r="J57" i="124"/>
  <c r="J39" i="124"/>
  <c r="J49" i="124"/>
  <c r="J58" i="124"/>
  <c r="J50" i="124"/>
  <c r="J48" i="124"/>
  <c r="J47" i="124"/>
  <c r="J42" i="124"/>
  <c r="J40" i="124"/>
  <c r="J43" i="124"/>
  <c r="F40" i="126"/>
  <c r="K40" i="126" s="1"/>
  <c r="F41" i="126" s="1"/>
  <c r="K41" i="126" s="1"/>
  <c r="G39" i="126"/>
  <c r="C44" i="145" s="1"/>
  <c r="J58" i="125"/>
  <c r="J46" i="125"/>
  <c r="J40" i="125"/>
  <c r="J50" i="125"/>
  <c r="J43" i="125"/>
  <c r="J48" i="125"/>
  <c r="J54" i="125"/>
  <c r="J53" i="125"/>
  <c r="J42" i="125"/>
  <c r="J45" i="125"/>
  <c r="J57" i="125"/>
  <c r="J52" i="125"/>
  <c r="J56" i="125"/>
  <c r="J51" i="125"/>
  <c r="J55" i="125"/>
  <c r="J44" i="125"/>
  <c r="J49" i="125"/>
  <c r="J47" i="125"/>
  <c r="J59" i="125"/>
  <c r="D42" i="125"/>
  <c r="C43" i="125"/>
  <c r="B43" i="125"/>
  <c r="E42" i="125"/>
  <c r="K39" i="129"/>
  <c r="F40" i="129" s="1"/>
  <c r="G40" i="129" s="1"/>
  <c r="C54" i="145" s="1"/>
  <c r="G39" i="129"/>
  <c r="B54" i="145" s="1"/>
  <c r="C68" i="129"/>
  <c r="B68" i="129"/>
  <c r="D67" i="129"/>
  <c r="E67" i="129"/>
  <c r="E41" i="129"/>
  <c r="C42" i="129"/>
  <c r="B42" i="129"/>
  <c r="D41" i="129"/>
  <c r="K63" i="129"/>
  <c r="F64" i="129" s="1"/>
  <c r="E41" i="126"/>
  <c r="D41" i="126"/>
  <c r="C68" i="126"/>
  <c r="B68" i="126"/>
  <c r="E67" i="126"/>
  <c r="D67" i="126"/>
  <c r="K64" i="126"/>
  <c r="F65" i="126" s="1"/>
  <c r="B42" i="126"/>
  <c r="C42" i="126"/>
  <c r="K66" i="125"/>
  <c r="F67" i="125" s="1"/>
  <c r="B70" i="125"/>
  <c r="C70" i="125"/>
  <c r="D69" i="125"/>
  <c r="E69" i="125"/>
  <c r="D41" i="124"/>
  <c r="C42" i="124"/>
  <c r="E41" i="124"/>
  <c r="B42" i="124"/>
  <c r="I66" i="124"/>
  <c r="K66" i="124" s="1"/>
  <c r="F67" i="124" s="1"/>
  <c r="C70" i="124"/>
  <c r="B70" i="124"/>
  <c r="E69" i="124"/>
  <c r="D69" i="124"/>
  <c r="C42" i="122"/>
  <c r="B42" i="122"/>
  <c r="K67" i="122"/>
  <c r="F68" i="122" s="1"/>
  <c r="B71" i="122"/>
  <c r="C71" i="122"/>
  <c r="E70" i="122"/>
  <c r="D70" i="122"/>
  <c r="K40" i="125" l="1"/>
  <c r="F41" i="125" s="1"/>
  <c r="K41" i="125" s="1"/>
  <c r="F42" i="125" s="1"/>
  <c r="K42" i="125" s="1"/>
  <c r="G40" i="126"/>
  <c r="D44" i="145" s="1"/>
  <c r="D43" i="125"/>
  <c r="E43" i="125"/>
  <c r="B44" i="125"/>
  <c r="C44" i="125"/>
  <c r="K40" i="129"/>
  <c r="F41" i="129" s="1"/>
  <c r="G41" i="129" s="1"/>
  <c r="D54" i="145" s="1"/>
  <c r="I64" i="129"/>
  <c r="C69" i="129"/>
  <c r="D68" i="129"/>
  <c r="B69" i="129"/>
  <c r="E68" i="129"/>
  <c r="D42" i="129"/>
  <c r="E42" i="129"/>
  <c r="C43" i="129"/>
  <c r="B43" i="129"/>
  <c r="G41" i="126"/>
  <c r="E44" i="145" s="1"/>
  <c r="E42" i="126"/>
  <c r="B43" i="126"/>
  <c r="D42" i="126"/>
  <c r="C43" i="126"/>
  <c r="F42" i="126"/>
  <c r="I65" i="126"/>
  <c r="K65" i="126" s="1"/>
  <c r="F66" i="126" s="1"/>
  <c r="B69" i="126"/>
  <c r="C69" i="126"/>
  <c r="D68" i="126"/>
  <c r="E68" i="126"/>
  <c r="I67" i="125"/>
  <c r="K67" i="125" s="1"/>
  <c r="F68" i="125" s="1"/>
  <c r="C71" i="125"/>
  <c r="B71" i="125"/>
  <c r="E70" i="125"/>
  <c r="D70" i="125"/>
  <c r="D42" i="124"/>
  <c r="E42" i="124"/>
  <c r="C71" i="124"/>
  <c r="B71" i="124"/>
  <c r="D70" i="124"/>
  <c r="E70" i="124"/>
  <c r="C43" i="124"/>
  <c r="B43" i="124"/>
  <c r="I67" i="124"/>
  <c r="K67" i="124" s="1"/>
  <c r="F68" i="124" s="1"/>
  <c r="C72" i="122"/>
  <c r="B72" i="122"/>
  <c r="E71" i="122"/>
  <c r="D71" i="122"/>
  <c r="I68" i="122"/>
  <c r="K68" i="122" s="1"/>
  <c r="F69" i="122" s="1"/>
  <c r="C43" i="122"/>
  <c r="B43" i="122"/>
  <c r="E42" i="122"/>
  <c r="D42" i="122"/>
  <c r="F44" i="145" l="1"/>
  <c r="G41" i="125"/>
  <c r="F43" i="125"/>
  <c r="K43" i="125" s="1"/>
  <c r="G42" i="125"/>
  <c r="C45" i="125"/>
  <c r="E44" i="125"/>
  <c r="B45" i="125"/>
  <c r="D44" i="125"/>
  <c r="K41" i="129"/>
  <c r="F42" i="129" s="1"/>
  <c r="G42" i="129" s="1"/>
  <c r="E54" i="145" s="1"/>
  <c r="F54" i="145" s="1"/>
  <c r="D69" i="129"/>
  <c r="C70" i="129"/>
  <c r="E69" i="129"/>
  <c r="B70" i="129"/>
  <c r="K64" i="129"/>
  <c r="F65" i="129" s="1"/>
  <c r="E43" i="129"/>
  <c r="C44" i="129"/>
  <c r="D43" i="129"/>
  <c r="B44" i="129"/>
  <c r="I66" i="126"/>
  <c r="K42" i="126"/>
  <c r="F43" i="126" s="1"/>
  <c r="G42" i="126"/>
  <c r="E43" i="126"/>
  <c r="B44" i="126"/>
  <c r="C44" i="126"/>
  <c r="D43" i="126"/>
  <c r="D69" i="126"/>
  <c r="C70" i="126"/>
  <c r="E69" i="126"/>
  <c r="B70" i="126"/>
  <c r="I68" i="125"/>
  <c r="K68" i="125" s="1"/>
  <c r="F69" i="125" s="1"/>
  <c r="B72" i="125"/>
  <c r="C72" i="125"/>
  <c r="D71" i="125"/>
  <c r="E71" i="125"/>
  <c r="I68" i="124"/>
  <c r="D71" i="124"/>
  <c r="C72" i="124"/>
  <c r="E71" i="124"/>
  <c r="B72" i="124"/>
  <c r="E43" i="124"/>
  <c r="B44" i="124"/>
  <c r="D43" i="124"/>
  <c r="C44" i="124"/>
  <c r="E43" i="122"/>
  <c r="B44" i="122"/>
  <c r="D43" i="122"/>
  <c r="C44" i="122"/>
  <c r="I69" i="122"/>
  <c r="K69" i="122" s="1"/>
  <c r="F70" i="122" s="1"/>
  <c r="C73" i="122"/>
  <c r="B73" i="122"/>
  <c r="D72" i="122"/>
  <c r="E72" i="122"/>
  <c r="F44" i="125" l="1"/>
  <c r="K44" i="125" s="1"/>
  <c r="G43" i="125"/>
  <c r="B9" i="134" s="1"/>
  <c r="E45" i="125"/>
  <c r="C46" i="125"/>
  <c r="B46" i="125"/>
  <c r="D45" i="125"/>
  <c r="K42" i="129"/>
  <c r="F43" i="129" s="1"/>
  <c r="K43" i="129" s="1"/>
  <c r="F44" i="129" s="1"/>
  <c r="I65" i="129"/>
  <c r="C45" i="129"/>
  <c r="D44" i="129"/>
  <c r="B45" i="129"/>
  <c r="E44" i="129"/>
  <c r="E70" i="129"/>
  <c r="C71" i="129"/>
  <c r="D70" i="129"/>
  <c r="B71" i="129"/>
  <c r="E70" i="126"/>
  <c r="C71" i="126"/>
  <c r="D70" i="126"/>
  <c r="B71" i="126"/>
  <c r="K43" i="126"/>
  <c r="F44" i="126" s="1"/>
  <c r="G43" i="126"/>
  <c r="C45" i="126"/>
  <c r="D44" i="126"/>
  <c r="B45" i="126"/>
  <c r="E44" i="126"/>
  <c r="K66" i="126"/>
  <c r="F67" i="126" s="1"/>
  <c r="I69" i="125"/>
  <c r="K69" i="125" s="1"/>
  <c r="F70" i="125" s="1"/>
  <c r="D72" i="125"/>
  <c r="C73" i="125"/>
  <c r="E72" i="125"/>
  <c r="B73" i="125"/>
  <c r="E72" i="124"/>
  <c r="C73" i="124"/>
  <c r="D72" i="124"/>
  <c r="B73" i="124"/>
  <c r="E44" i="124"/>
  <c r="C45" i="124"/>
  <c r="D44" i="124"/>
  <c r="B45" i="124"/>
  <c r="K68" i="124"/>
  <c r="F69" i="124" s="1"/>
  <c r="I70" i="122"/>
  <c r="D73" i="122"/>
  <c r="C74" i="122"/>
  <c r="B74" i="122"/>
  <c r="E73" i="122"/>
  <c r="C45" i="122"/>
  <c r="D44" i="122"/>
  <c r="B45" i="122"/>
  <c r="E44" i="122"/>
  <c r="F45" i="125" l="1"/>
  <c r="K45" i="125" s="1"/>
  <c r="G44" i="125"/>
  <c r="C9" i="134" s="1"/>
  <c r="C47" i="125"/>
  <c r="E46" i="125"/>
  <c r="B47" i="125"/>
  <c r="D46" i="125"/>
  <c r="G43" i="129"/>
  <c r="K44" i="129"/>
  <c r="F45" i="129" s="1"/>
  <c r="G44" i="129"/>
  <c r="C72" i="129"/>
  <c r="D71" i="129"/>
  <c r="B72" i="129"/>
  <c r="E71" i="129"/>
  <c r="B46" i="129"/>
  <c r="C46" i="129"/>
  <c r="D45" i="129"/>
  <c r="E45" i="129"/>
  <c r="K65" i="129"/>
  <c r="F66" i="129" s="1"/>
  <c r="K44" i="126"/>
  <c r="F45" i="126" s="1"/>
  <c r="G44" i="126"/>
  <c r="C72" i="126"/>
  <c r="D71" i="126"/>
  <c r="B72" i="126"/>
  <c r="E71" i="126"/>
  <c r="I67" i="126"/>
  <c r="B46" i="126"/>
  <c r="E45" i="126"/>
  <c r="D45" i="126"/>
  <c r="C46" i="126"/>
  <c r="I70" i="125"/>
  <c r="E73" i="125"/>
  <c r="C74" i="125"/>
  <c r="D73" i="125"/>
  <c r="B74" i="125"/>
  <c r="I69" i="124"/>
  <c r="C74" i="124"/>
  <c r="D73" i="124"/>
  <c r="B74" i="124"/>
  <c r="E73" i="124"/>
  <c r="E45" i="124"/>
  <c r="C46" i="124"/>
  <c r="D45" i="124"/>
  <c r="B46" i="124"/>
  <c r="E74" i="122"/>
  <c r="C75" i="122"/>
  <c r="D74" i="122"/>
  <c r="B75" i="122"/>
  <c r="E45" i="122"/>
  <c r="B46" i="122"/>
  <c r="C46" i="122"/>
  <c r="D45" i="122"/>
  <c r="K70" i="122"/>
  <c r="F71" i="122" s="1"/>
  <c r="F46" i="125" l="1"/>
  <c r="K46" i="125" s="1"/>
  <c r="G45" i="125"/>
  <c r="D9" i="134" s="1"/>
  <c r="D47" i="125"/>
  <c r="E47" i="125"/>
  <c r="B47" i="129"/>
  <c r="D46" i="129"/>
  <c r="C47" i="129"/>
  <c r="E46" i="129"/>
  <c r="B73" i="129"/>
  <c r="C73" i="129"/>
  <c r="D72" i="129"/>
  <c r="E72" i="129"/>
  <c r="I66" i="129"/>
  <c r="K45" i="129"/>
  <c r="F46" i="129" s="1"/>
  <c r="G45" i="129"/>
  <c r="K67" i="126"/>
  <c r="F68" i="126" s="1"/>
  <c r="C47" i="126"/>
  <c r="E46" i="126"/>
  <c r="B47" i="126"/>
  <c r="D46" i="126"/>
  <c r="B73" i="126"/>
  <c r="E72" i="126"/>
  <c r="D72" i="126"/>
  <c r="C73" i="126"/>
  <c r="K45" i="126"/>
  <c r="F46" i="126" s="1"/>
  <c r="G45" i="126"/>
  <c r="C75" i="125"/>
  <c r="D74" i="125"/>
  <c r="B75" i="125"/>
  <c r="E74" i="125"/>
  <c r="B48" i="125"/>
  <c r="C48" i="125"/>
  <c r="K70" i="125"/>
  <c r="F71" i="125" s="1"/>
  <c r="C47" i="124"/>
  <c r="D46" i="124"/>
  <c r="B47" i="124"/>
  <c r="E46" i="124"/>
  <c r="B75" i="124"/>
  <c r="C75" i="124"/>
  <c r="D74" i="124"/>
  <c r="E74" i="124"/>
  <c r="K69" i="124"/>
  <c r="F70" i="124" s="1"/>
  <c r="C47" i="122"/>
  <c r="D46" i="122"/>
  <c r="E46" i="122"/>
  <c r="B47" i="122"/>
  <c r="I71" i="122"/>
  <c r="C76" i="122"/>
  <c r="D75" i="122"/>
  <c r="B76" i="122"/>
  <c r="E75" i="122"/>
  <c r="F47" i="125" l="1"/>
  <c r="K47" i="125" s="1"/>
  <c r="G46" i="125"/>
  <c r="E9" i="134" s="1"/>
  <c r="F9" i="134" s="1"/>
  <c r="B74" i="129"/>
  <c r="E73" i="129"/>
  <c r="C74" i="129"/>
  <c r="D73" i="129"/>
  <c r="K46" i="129"/>
  <c r="F47" i="129" s="1"/>
  <c r="G46" i="129"/>
  <c r="E47" i="129"/>
  <c r="D47" i="129"/>
  <c r="C48" i="129"/>
  <c r="B48" i="129"/>
  <c r="K66" i="129"/>
  <c r="F67" i="129" s="1"/>
  <c r="E73" i="126"/>
  <c r="C74" i="126"/>
  <c r="B74" i="126"/>
  <c r="D73" i="126"/>
  <c r="I68" i="126"/>
  <c r="K46" i="126"/>
  <c r="F47" i="126" s="1"/>
  <c r="G46" i="126"/>
  <c r="C48" i="126"/>
  <c r="B48" i="126"/>
  <c r="D47" i="126"/>
  <c r="E47" i="126"/>
  <c r="B49" i="125"/>
  <c r="E48" i="125"/>
  <c r="D48" i="125"/>
  <c r="C49" i="125"/>
  <c r="I71" i="125"/>
  <c r="B76" i="125"/>
  <c r="C76" i="125"/>
  <c r="D75" i="125"/>
  <c r="E75" i="125"/>
  <c r="B76" i="124"/>
  <c r="C76" i="124"/>
  <c r="E75" i="124"/>
  <c r="D75" i="124"/>
  <c r="I70" i="124"/>
  <c r="B48" i="124"/>
  <c r="C48" i="124"/>
  <c r="D47" i="124"/>
  <c r="E47" i="124"/>
  <c r="K71" i="122"/>
  <c r="F72" i="122" s="1"/>
  <c r="B77" i="122"/>
  <c r="C77" i="122"/>
  <c r="D76" i="122"/>
  <c r="E76" i="122"/>
  <c r="B48" i="122"/>
  <c r="C48" i="122"/>
  <c r="E47" i="122"/>
  <c r="D47" i="122"/>
  <c r="F48" i="125" l="1"/>
  <c r="K48" i="125" s="1"/>
  <c r="F49" i="125" s="1"/>
  <c r="K49" i="125" s="1"/>
  <c r="G47" i="125"/>
  <c r="B9" i="145" s="1"/>
  <c r="I67" i="129"/>
  <c r="K67" i="129" s="1"/>
  <c r="F68" i="129" s="1"/>
  <c r="D74" i="129"/>
  <c r="E74" i="129"/>
  <c r="C75" i="129"/>
  <c r="B75" i="129"/>
  <c r="C49" i="129"/>
  <c r="B49" i="129"/>
  <c r="E48" i="129"/>
  <c r="D48" i="129"/>
  <c r="G47" i="129"/>
  <c r="K47" i="129"/>
  <c r="F48" i="129" s="1"/>
  <c r="K68" i="126"/>
  <c r="F69" i="126" s="1"/>
  <c r="D74" i="126"/>
  <c r="C75" i="126"/>
  <c r="B75" i="126"/>
  <c r="E74" i="126"/>
  <c r="G47" i="126"/>
  <c r="K47" i="126"/>
  <c r="F48" i="126" s="1"/>
  <c r="E48" i="126"/>
  <c r="D48" i="126"/>
  <c r="C49" i="126"/>
  <c r="B49" i="126"/>
  <c r="D49" i="125"/>
  <c r="C50" i="125"/>
  <c r="B50" i="125"/>
  <c r="E49" i="125"/>
  <c r="B77" i="125"/>
  <c r="C77" i="125"/>
  <c r="E76" i="125"/>
  <c r="D76" i="125"/>
  <c r="K71" i="125"/>
  <c r="F72" i="125" s="1"/>
  <c r="K70" i="124"/>
  <c r="F71" i="124" s="1"/>
  <c r="E76" i="124"/>
  <c r="D76" i="124"/>
  <c r="B77" i="124"/>
  <c r="C77" i="124"/>
  <c r="B49" i="124"/>
  <c r="C49" i="124"/>
  <c r="E48" i="124"/>
  <c r="D48" i="124"/>
  <c r="E48" i="122"/>
  <c r="D48" i="122"/>
  <c r="C49" i="122"/>
  <c r="B49" i="122"/>
  <c r="B78" i="122"/>
  <c r="D77" i="122"/>
  <c r="E77" i="122"/>
  <c r="C78" i="122"/>
  <c r="I72" i="122"/>
  <c r="K72" i="122" s="1"/>
  <c r="F73" i="122" s="1"/>
  <c r="G48" i="125" l="1"/>
  <c r="C9" i="145" s="1"/>
  <c r="I68" i="129"/>
  <c r="K68" i="129" s="1"/>
  <c r="F69" i="129" s="1"/>
  <c r="E49" i="129"/>
  <c r="B50" i="129"/>
  <c r="D49" i="129"/>
  <c r="C50" i="129"/>
  <c r="E75" i="129"/>
  <c r="C76" i="129"/>
  <c r="B76" i="129"/>
  <c r="D75" i="129"/>
  <c r="G48" i="129"/>
  <c r="K48" i="129"/>
  <c r="F49" i="129" s="1"/>
  <c r="E75" i="126"/>
  <c r="D75" i="126"/>
  <c r="C76" i="126"/>
  <c r="B76" i="126"/>
  <c r="E49" i="126"/>
  <c r="D49" i="126"/>
  <c r="C50" i="126"/>
  <c r="B50" i="126"/>
  <c r="I69" i="126"/>
  <c r="K69" i="126" s="1"/>
  <c r="F70" i="126" s="1"/>
  <c r="G48" i="126"/>
  <c r="K48" i="126"/>
  <c r="F49" i="126" s="1"/>
  <c r="G49" i="125"/>
  <c r="D9" i="145" s="1"/>
  <c r="F50" i="125"/>
  <c r="K50" i="125" s="1"/>
  <c r="D77" i="125"/>
  <c r="E77" i="125"/>
  <c r="C78" i="125"/>
  <c r="B78" i="125"/>
  <c r="I72" i="125"/>
  <c r="K72" i="125" s="1"/>
  <c r="F73" i="125" s="1"/>
  <c r="E50" i="125"/>
  <c r="C51" i="125"/>
  <c r="D50" i="125"/>
  <c r="B51" i="125"/>
  <c r="I71" i="124"/>
  <c r="K71" i="124" s="1"/>
  <c r="F72" i="124" s="1"/>
  <c r="D49" i="124"/>
  <c r="C50" i="124"/>
  <c r="B50" i="124"/>
  <c r="E49" i="124"/>
  <c r="B78" i="124"/>
  <c r="E77" i="124"/>
  <c r="D77" i="124"/>
  <c r="C78" i="124"/>
  <c r="I73" i="122"/>
  <c r="K73" i="122" s="1"/>
  <c r="F74" i="122" s="1"/>
  <c r="D49" i="122"/>
  <c r="E49" i="122"/>
  <c r="C50" i="122"/>
  <c r="B50" i="122"/>
  <c r="D78" i="122"/>
  <c r="C79" i="122"/>
  <c r="E78" i="122"/>
  <c r="B79" i="122"/>
  <c r="I69" i="129" l="1"/>
  <c r="K69" i="129" s="1"/>
  <c r="F70" i="129" s="1"/>
  <c r="D76" i="129"/>
  <c r="E76" i="129"/>
  <c r="C77" i="129"/>
  <c r="B77" i="129"/>
  <c r="D50" i="129"/>
  <c r="E50" i="129"/>
  <c r="C51" i="129"/>
  <c r="B51" i="129"/>
  <c r="G49" i="129"/>
  <c r="K49" i="129"/>
  <c r="F50" i="129" s="1"/>
  <c r="D50" i="126"/>
  <c r="E50" i="126"/>
  <c r="C51" i="126"/>
  <c r="B51" i="126"/>
  <c r="G70" i="126"/>
  <c r="G49" i="126"/>
  <c r="K49" i="126"/>
  <c r="F50" i="126" s="1"/>
  <c r="E76" i="126"/>
  <c r="C77" i="126"/>
  <c r="B77" i="126"/>
  <c r="D76" i="126"/>
  <c r="J88" i="126"/>
  <c r="J71" i="126"/>
  <c r="J77" i="126"/>
  <c r="J83" i="126"/>
  <c r="J79" i="126"/>
  <c r="J73" i="126"/>
  <c r="J85" i="126"/>
  <c r="J80" i="126"/>
  <c r="J76" i="126"/>
  <c r="J72" i="126"/>
  <c r="J82" i="126"/>
  <c r="J74" i="126"/>
  <c r="J86" i="126"/>
  <c r="J78" i="126"/>
  <c r="J87" i="126"/>
  <c r="J81" i="126"/>
  <c r="J84" i="126"/>
  <c r="J70" i="126"/>
  <c r="K70" i="126" s="1"/>
  <c r="F71" i="126" s="1"/>
  <c r="J89" i="126"/>
  <c r="J75" i="126"/>
  <c r="E78" i="125"/>
  <c r="B79" i="125"/>
  <c r="C79" i="125"/>
  <c r="D78" i="125"/>
  <c r="J85" i="125"/>
  <c r="J88" i="125"/>
  <c r="J86" i="125"/>
  <c r="J92" i="125"/>
  <c r="J84" i="125"/>
  <c r="J87" i="125"/>
  <c r="J89" i="125"/>
  <c r="J73" i="125"/>
  <c r="K73" i="125" s="1"/>
  <c r="F74" i="125" s="1"/>
  <c r="J74" i="125"/>
  <c r="J75" i="125"/>
  <c r="J83" i="125"/>
  <c r="J82" i="125"/>
  <c r="J79" i="125"/>
  <c r="J90" i="125"/>
  <c r="J76" i="125"/>
  <c r="J78" i="125"/>
  <c r="J81" i="125"/>
  <c r="J80" i="125"/>
  <c r="J91" i="125"/>
  <c r="J77" i="125"/>
  <c r="C52" i="125"/>
  <c r="E51" i="125"/>
  <c r="D51" i="125"/>
  <c r="B52" i="125"/>
  <c r="G50" i="125"/>
  <c r="E9" i="145" s="1"/>
  <c r="F9" i="145" s="1"/>
  <c r="F51" i="125"/>
  <c r="K51" i="125" s="1"/>
  <c r="G73" i="125"/>
  <c r="B51" i="124"/>
  <c r="E50" i="124"/>
  <c r="D50" i="124"/>
  <c r="C51" i="124"/>
  <c r="E78" i="124"/>
  <c r="C79" i="124"/>
  <c r="B79" i="124"/>
  <c r="D78" i="124"/>
  <c r="J80" i="124"/>
  <c r="J86" i="124"/>
  <c r="J79" i="124"/>
  <c r="J75" i="124"/>
  <c r="J77" i="124"/>
  <c r="J73" i="124"/>
  <c r="J89" i="124"/>
  <c r="J72" i="124"/>
  <c r="K72" i="124" s="1"/>
  <c r="F73" i="124" s="1"/>
  <c r="J74" i="124"/>
  <c r="J85" i="124"/>
  <c r="J82" i="124"/>
  <c r="J84" i="124"/>
  <c r="J76" i="124"/>
  <c r="J88" i="124"/>
  <c r="J83" i="124"/>
  <c r="J81" i="124"/>
  <c r="J78" i="124"/>
  <c r="J87" i="124"/>
  <c r="J90" i="124"/>
  <c r="J91" i="124"/>
  <c r="G72" i="124"/>
  <c r="G74" i="122"/>
  <c r="C51" i="122"/>
  <c r="B51" i="122"/>
  <c r="E50" i="122"/>
  <c r="D50" i="122"/>
  <c r="E79" i="122"/>
  <c r="C80" i="122"/>
  <c r="B80" i="122"/>
  <c r="D79" i="122"/>
  <c r="J76" i="122"/>
  <c r="J90" i="122"/>
  <c r="J88" i="122"/>
  <c r="J91" i="122"/>
  <c r="J81" i="122"/>
  <c r="J75" i="122"/>
  <c r="J74" i="122"/>
  <c r="K74" i="122" s="1"/>
  <c r="F75" i="122" s="1"/>
  <c r="J86" i="122"/>
  <c r="J84" i="122"/>
  <c r="J87" i="122"/>
  <c r="J80" i="122"/>
  <c r="J92" i="122"/>
  <c r="J83" i="122"/>
  <c r="J89" i="122"/>
  <c r="J79" i="122"/>
  <c r="J82" i="122"/>
  <c r="J93" i="122"/>
  <c r="J77" i="122"/>
  <c r="J85" i="122"/>
  <c r="J78" i="122"/>
  <c r="C78" i="129" l="1"/>
  <c r="E77" i="129"/>
  <c r="D77" i="129"/>
  <c r="B78" i="129"/>
  <c r="G50" i="129"/>
  <c r="K50" i="129"/>
  <c r="F51" i="129" s="1"/>
  <c r="J74" i="129"/>
  <c r="J82" i="129"/>
  <c r="J75" i="129"/>
  <c r="J81" i="129"/>
  <c r="J78" i="129"/>
  <c r="J87" i="129"/>
  <c r="J76" i="129"/>
  <c r="J70" i="129"/>
  <c r="K70" i="129" s="1"/>
  <c r="F71" i="129" s="1"/>
  <c r="J72" i="129"/>
  <c r="J85" i="129"/>
  <c r="J83" i="129"/>
  <c r="J77" i="129"/>
  <c r="J89" i="129"/>
  <c r="J88" i="129"/>
  <c r="J71" i="129"/>
  <c r="J84" i="129"/>
  <c r="J86" i="129"/>
  <c r="J73" i="129"/>
  <c r="J79" i="129"/>
  <c r="J80" i="129"/>
  <c r="E51" i="129"/>
  <c r="C52" i="129"/>
  <c r="D51" i="129"/>
  <c r="B52" i="129"/>
  <c r="G70" i="129"/>
  <c r="K71" i="126"/>
  <c r="F72" i="126" s="1"/>
  <c r="G71" i="126"/>
  <c r="K50" i="126"/>
  <c r="F51" i="126" s="1"/>
  <c r="G50" i="126"/>
  <c r="E77" i="126"/>
  <c r="C78" i="126"/>
  <c r="D77" i="126"/>
  <c r="B78" i="126"/>
  <c r="E51" i="126"/>
  <c r="B52" i="126"/>
  <c r="C52" i="126"/>
  <c r="D51" i="126"/>
  <c r="K74" i="125"/>
  <c r="F75" i="125" s="1"/>
  <c r="G74" i="125"/>
  <c r="C80" i="125"/>
  <c r="E79" i="125"/>
  <c r="D79" i="125"/>
  <c r="B80" i="125"/>
  <c r="G51" i="125"/>
  <c r="F52" i="125"/>
  <c r="K52" i="125" s="1"/>
  <c r="E52" i="125"/>
  <c r="C53" i="125"/>
  <c r="D52" i="125"/>
  <c r="B53" i="125"/>
  <c r="K73" i="124"/>
  <c r="F74" i="124" s="1"/>
  <c r="G73" i="124"/>
  <c r="E51" i="124"/>
  <c r="C52" i="124"/>
  <c r="B52" i="124"/>
  <c r="D51" i="124"/>
  <c r="C80" i="124"/>
  <c r="E79" i="124"/>
  <c r="D79" i="124"/>
  <c r="B80" i="124"/>
  <c r="K75" i="122"/>
  <c r="F76" i="122" s="1"/>
  <c r="G75" i="122"/>
  <c r="E80" i="122"/>
  <c r="C81" i="122"/>
  <c r="D80" i="122"/>
  <c r="B81" i="122"/>
  <c r="E51" i="122"/>
  <c r="C52" i="122"/>
  <c r="D51" i="122"/>
  <c r="B52" i="122"/>
  <c r="K71" i="129" l="1"/>
  <c r="F72" i="129" s="1"/>
  <c r="G71" i="129"/>
  <c r="C53" i="129"/>
  <c r="D52" i="129"/>
  <c r="B53" i="129"/>
  <c r="E52" i="129"/>
  <c r="K51" i="129"/>
  <c r="F52" i="129" s="1"/>
  <c r="G51" i="129"/>
  <c r="E78" i="129"/>
  <c r="C79" i="129"/>
  <c r="D78" i="129"/>
  <c r="B79" i="129"/>
  <c r="E78" i="126"/>
  <c r="C79" i="126"/>
  <c r="D78" i="126"/>
  <c r="B79" i="126"/>
  <c r="K72" i="126"/>
  <c r="F73" i="126" s="1"/>
  <c r="G72" i="126"/>
  <c r="C53" i="126"/>
  <c r="D52" i="126"/>
  <c r="B53" i="126"/>
  <c r="E52" i="126"/>
  <c r="K51" i="126"/>
  <c r="F52" i="126" s="1"/>
  <c r="G51" i="126"/>
  <c r="C54" i="125"/>
  <c r="D53" i="125"/>
  <c r="B54" i="125"/>
  <c r="E53" i="125"/>
  <c r="G52" i="125"/>
  <c r="F53" i="125"/>
  <c r="K53" i="125" s="1"/>
  <c r="C81" i="125"/>
  <c r="E80" i="125"/>
  <c r="B81" i="125"/>
  <c r="D80" i="125"/>
  <c r="K75" i="125"/>
  <c r="F76" i="125" s="1"/>
  <c r="G75" i="125"/>
  <c r="E52" i="124"/>
  <c r="C53" i="124"/>
  <c r="D52" i="124"/>
  <c r="B53" i="124"/>
  <c r="E80" i="124"/>
  <c r="C81" i="124"/>
  <c r="D80" i="124"/>
  <c r="B81" i="124"/>
  <c r="K74" i="124"/>
  <c r="F75" i="124" s="1"/>
  <c r="G74" i="124"/>
  <c r="C53" i="122"/>
  <c r="D52" i="122"/>
  <c r="B53" i="122"/>
  <c r="E52" i="122"/>
  <c r="E81" i="122"/>
  <c r="C82" i="122"/>
  <c r="D81" i="122"/>
  <c r="B82" i="122"/>
  <c r="K76" i="122"/>
  <c r="F77" i="122" s="1"/>
  <c r="G76" i="122"/>
  <c r="B54" i="129" l="1"/>
  <c r="C54" i="129"/>
  <c r="D53" i="129"/>
  <c r="E53" i="129"/>
  <c r="C80" i="129"/>
  <c r="D79" i="129"/>
  <c r="B80" i="129"/>
  <c r="E79" i="129"/>
  <c r="K52" i="129"/>
  <c r="F53" i="129" s="1"/>
  <c r="G52" i="129"/>
  <c r="K72" i="129"/>
  <c r="F73" i="129" s="1"/>
  <c r="G72" i="129"/>
  <c r="K52" i="126"/>
  <c r="F53" i="126" s="1"/>
  <c r="G52" i="126"/>
  <c r="C80" i="126"/>
  <c r="D79" i="126"/>
  <c r="B80" i="126"/>
  <c r="E79" i="126"/>
  <c r="B54" i="126"/>
  <c r="C54" i="126"/>
  <c r="E53" i="126"/>
  <c r="D53" i="126"/>
  <c r="K73" i="126"/>
  <c r="F74" i="126" s="1"/>
  <c r="G73" i="126"/>
  <c r="E81" i="125"/>
  <c r="C82" i="125"/>
  <c r="D81" i="125"/>
  <c r="B82" i="125"/>
  <c r="F54" i="125"/>
  <c r="K54" i="125" s="1"/>
  <c r="G53" i="125"/>
  <c r="K76" i="125"/>
  <c r="F77" i="125" s="1"/>
  <c r="G76" i="125"/>
  <c r="B55" i="125"/>
  <c r="C55" i="125"/>
  <c r="D54" i="125"/>
  <c r="E54" i="125"/>
  <c r="E53" i="124"/>
  <c r="D53" i="124"/>
  <c r="B54" i="124"/>
  <c r="C54" i="124"/>
  <c r="C82" i="124"/>
  <c r="D81" i="124"/>
  <c r="B82" i="124"/>
  <c r="E81" i="124"/>
  <c r="K75" i="124"/>
  <c r="F76" i="124" s="1"/>
  <c r="G75" i="124"/>
  <c r="E82" i="122"/>
  <c r="C83" i="122"/>
  <c r="D82" i="122"/>
  <c r="B83" i="122"/>
  <c r="K77" i="122"/>
  <c r="F78" i="122" s="1"/>
  <c r="G77" i="122"/>
  <c r="E53" i="122"/>
  <c r="B54" i="122"/>
  <c r="D53" i="122"/>
  <c r="C54" i="122"/>
  <c r="K73" i="129" l="1"/>
  <c r="F74" i="129" s="1"/>
  <c r="G73" i="129"/>
  <c r="B55" i="129"/>
  <c r="E54" i="129"/>
  <c r="D54" i="129"/>
  <c r="C55" i="129"/>
  <c r="B81" i="129"/>
  <c r="C81" i="129"/>
  <c r="D80" i="129"/>
  <c r="E80" i="129"/>
  <c r="K53" i="129"/>
  <c r="F54" i="129" s="1"/>
  <c r="G53" i="129"/>
  <c r="C55" i="126"/>
  <c r="B55" i="126"/>
  <c r="D54" i="126"/>
  <c r="E54" i="126"/>
  <c r="B81" i="126"/>
  <c r="D80" i="126"/>
  <c r="C81" i="126"/>
  <c r="E80" i="126"/>
  <c r="G74" i="126"/>
  <c r="K74" i="126"/>
  <c r="F75" i="126" s="1"/>
  <c r="K53" i="126"/>
  <c r="F54" i="126" s="1"/>
  <c r="G53" i="126"/>
  <c r="F55" i="125"/>
  <c r="K55" i="125" s="1"/>
  <c r="G54" i="125"/>
  <c r="G77" i="125"/>
  <c r="K77" i="125"/>
  <c r="F78" i="125" s="1"/>
  <c r="B56" i="125"/>
  <c r="C56" i="125"/>
  <c r="E55" i="125"/>
  <c r="D55" i="125"/>
  <c r="C83" i="125"/>
  <c r="D82" i="125"/>
  <c r="B83" i="125"/>
  <c r="E82" i="125"/>
  <c r="B83" i="124"/>
  <c r="C83" i="124"/>
  <c r="D82" i="124"/>
  <c r="E82" i="124"/>
  <c r="G76" i="124"/>
  <c r="K76" i="124"/>
  <c r="F77" i="124" s="1"/>
  <c r="C55" i="124"/>
  <c r="D54" i="124"/>
  <c r="B55" i="124"/>
  <c r="E54" i="124"/>
  <c r="G78" i="122"/>
  <c r="K78" i="122"/>
  <c r="F79" i="122" s="1"/>
  <c r="C55" i="122"/>
  <c r="D54" i="122"/>
  <c r="E54" i="122"/>
  <c r="B55" i="122"/>
  <c r="C84" i="122"/>
  <c r="D83" i="122"/>
  <c r="B84" i="122"/>
  <c r="E83" i="122"/>
  <c r="C56" i="129" l="1"/>
  <c r="B56" i="129"/>
  <c r="E55" i="129"/>
  <c r="D55" i="129"/>
  <c r="K54" i="129"/>
  <c r="F55" i="129" s="1"/>
  <c r="G54" i="129"/>
  <c r="B82" i="129"/>
  <c r="D81" i="129"/>
  <c r="E81" i="129"/>
  <c r="C82" i="129"/>
  <c r="G74" i="129"/>
  <c r="K74" i="129"/>
  <c r="F75" i="129" s="1"/>
  <c r="B82" i="126"/>
  <c r="E81" i="126"/>
  <c r="C82" i="126"/>
  <c r="D81" i="126"/>
  <c r="K54" i="126"/>
  <c r="F55" i="126" s="1"/>
  <c r="G54" i="126"/>
  <c r="G75" i="126"/>
  <c r="K75" i="126"/>
  <c r="F76" i="126" s="1"/>
  <c r="D55" i="126"/>
  <c r="C56" i="126"/>
  <c r="B56" i="126"/>
  <c r="E55" i="126"/>
  <c r="C57" i="125"/>
  <c r="B57" i="125"/>
  <c r="E56" i="125"/>
  <c r="D56" i="125"/>
  <c r="G78" i="125"/>
  <c r="K78" i="125"/>
  <c r="F79" i="125" s="1"/>
  <c r="B84" i="125"/>
  <c r="C84" i="125"/>
  <c r="D83" i="125"/>
  <c r="E83" i="125"/>
  <c r="F56" i="125"/>
  <c r="K56" i="125" s="1"/>
  <c r="G55" i="125"/>
  <c r="G77" i="124"/>
  <c r="K77" i="124"/>
  <c r="F78" i="124" s="1"/>
  <c r="B84" i="124"/>
  <c r="E83" i="124"/>
  <c r="D83" i="124"/>
  <c r="C84" i="124"/>
  <c r="B56" i="124"/>
  <c r="C56" i="124"/>
  <c r="D55" i="124"/>
  <c r="E55" i="124"/>
  <c r="B85" i="122"/>
  <c r="C85" i="122"/>
  <c r="D84" i="122"/>
  <c r="E84" i="122"/>
  <c r="B56" i="122"/>
  <c r="C56" i="122"/>
  <c r="D55" i="122"/>
  <c r="E55" i="122"/>
  <c r="G79" i="122"/>
  <c r="K79" i="122"/>
  <c r="F80" i="122" s="1"/>
  <c r="B57" i="122" l="1"/>
  <c r="C57" i="122"/>
  <c r="B57" i="129"/>
  <c r="C57" i="129"/>
  <c r="G55" i="129"/>
  <c r="K55" i="129"/>
  <c r="F56" i="129" s="1"/>
  <c r="G75" i="129"/>
  <c r="K75" i="129"/>
  <c r="F76" i="129" s="1"/>
  <c r="C83" i="129"/>
  <c r="B83" i="129"/>
  <c r="E82" i="129"/>
  <c r="D82" i="129"/>
  <c r="D56" i="129"/>
  <c r="E56" i="129"/>
  <c r="G55" i="126"/>
  <c r="K55" i="126"/>
  <c r="F56" i="126" s="1"/>
  <c r="G76" i="126"/>
  <c r="K76" i="126"/>
  <c r="F77" i="126" s="1"/>
  <c r="D56" i="126"/>
  <c r="E56" i="126"/>
  <c r="E82" i="126"/>
  <c r="C83" i="126"/>
  <c r="D82" i="126"/>
  <c r="B83" i="126"/>
  <c r="B85" i="125"/>
  <c r="D84" i="125"/>
  <c r="C85" i="125"/>
  <c r="E84" i="125"/>
  <c r="G79" i="125"/>
  <c r="K79" i="125"/>
  <c r="F80" i="125" s="1"/>
  <c r="G56" i="125"/>
  <c r="F57" i="125"/>
  <c r="K57" i="125" s="1"/>
  <c r="D57" i="125"/>
  <c r="C58" i="125"/>
  <c r="B58" i="125"/>
  <c r="E57" i="125"/>
  <c r="B85" i="124"/>
  <c r="E84" i="124"/>
  <c r="D84" i="124"/>
  <c r="C85" i="124"/>
  <c r="B57" i="124"/>
  <c r="E56" i="124"/>
  <c r="D56" i="124"/>
  <c r="C57" i="124"/>
  <c r="G78" i="124"/>
  <c r="K78" i="124"/>
  <c r="F79" i="124" s="1"/>
  <c r="D56" i="122"/>
  <c r="E56" i="122"/>
  <c r="G80" i="122"/>
  <c r="K80" i="122"/>
  <c r="F81" i="122" s="1"/>
  <c r="B86" i="122"/>
  <c r="E85" i="122"/>
  <c r="D85" i="122"/>
  <c r="C86" i="122"/>
  <c r="D57" i="122" l="1"/>
  <c r="C58" i="122"/>
  <c r="B58" i="122"/>
  <c r="E57" i="122"/>
  <c r="D57" i="129"/>
  <c r="E57" i="129"/>
  <c r="G76" i="129"/>
  <c r="K76" i="129"/>
  <c r="F77" i="129" s="1"/>
  <c r="E83" i="129"/>
  <c r="C84" i="129"/>
  <c r="D83" i="129"/>
  <c r="B84" i="129"/>
  <c r="G56" i="129"/>
  <c r="K56" i="129"/>
  <c r="F57" i="129" s="1"/>
  <c r="K77" i="126"/>
  <c r="F78" i="126" s="1"/>
  <c r="G77" i="126"/>
  <c r="E83" i="126"/>
  <c r="C84" i="126"/>
  <c r="D83" i="126"/>
  <c r="B84" i="126"/>
  <c r="G56" i="126"/>
  <c r="K56" i="126"/>
  <c r="G80" i="125"/>
  <c r="K80" i="125"/>
  <c r="F81" i="125" s="1"/>
  <c r="G57" i="125"/>
  <c r="F58" i="125"/>
  <c r="K58" i="125" s="1"/>
  <c r="C86" i="125"/>
  <c r="B86" i="125"/>
  <c r="E85" i="125"/>
  <c r="D85" i="125"/>
  <c r="E58" i="125"/>
  <c r="D58" i="125"/>
  <c r="C59" i="125"/>
  <c r="B59" i="125"/>
  <c r="C86" i="124"/>
  <c r="B86" i="124"/>
  <c r="E85" i="124"/>
  <c r="D85" i="124"/>
  <c r="G79" i="124"/>
  <c r="K79" i="124"/>
  <c r="F80" i="124" s="1"/>
  <c r="B58" i="124"/>
  <c r="E57" i="124"/>
  <c r="D57" i="124"/>
  <c r="C58" i="124"/>
  <c r="G81" i="122"/>
  <c r="K81" i="122"/>
  <c r="F82" i="122" s="1"/>
  <c r="B87" i="122"/>
  <c r="E86" i="122"/>
  <c r="D86" i="122"/>
  <c r="C87" i="122"/>
  <c r="E58" i="122" l="1"/>
  <c r="C59" i="122"/>
  <c r="B59" i="122"/>
  <c r="D58" i="122"/>
  <c r="K57" i="129"/>
  <c r="G57" i="129"/>
  <c r="E84" i="129"/>
  <c r="C85" i="129"/>
  <c r="D84" i="129"/>
  <c r="B85" i="129"/>
  <c r="G77" i="129"/>
  <c r="K77" i="129"/>
  <c r="F78" i="129" s="1"/>
  <c r="K78" i="126"/>
  <c r="F79" i="126" s="1"/>
  <c r="G78" i="126"/>
  <c r="E84" i="126"/>
  <c r="C85" i="126"/>
  <c r="D84" i="126"/>
  <c r="B85" i="126"/>
  <c r="D59" i="125"/>
  <c r="E59" i="125"/>
  <c r="K81" i="125"/>
  <c r="F82" i="125" s="1"/>
  <c r="G81" i="125"/>
  <c r="E86" i="125"/>
  <c r="D86" i="125"/>
  <c r="C87" i="125"/>
  <c r="B87" i="125"/>
  <c r="G58" i="125"/>
  <c r="F59" i="125"/>
  <c r="K59" i="125" s="1"/>
  <c r="E58" i="124"/>
  <c r="D58" i="124"/>
  <c r="G80" i="124"/>
  <c r="K80" i="124"/>
  <c r="F81" i="124" s="1"/>
  <c r="E86" i="124"/>
  <c r="D86" i="124"/>
  <c r="C87" i="124"/>
  <c r="B87" i="124"/>
  <c r="E87" i="122"/>
  <c r="B88" i="122"/>
  <c r="D87" i="122"/>
  <c r="C88" i="122"/>
  <c r="K82" i="122"/>
  <c r="F83" i="122" s="1"/>
  <c r="G82" i="122"/>
  <c r="B60" i="122" l="1"/>
  <c r="D59" i="122"/>
  <c r="C60" i="122"/>
  <c r="E59" i="122"/>
  <c r="E85" i="129"/>
  <c r="C86" i="129"/>
  <c r="D85" i="129"/>
  <c r="B86" i="129"/>
  <c r="K78" i="129"/>
  <c r="F79" i="129" s="1"/>
  <c r="G78" i="129"/>
  <c r="E85" i="126"/>
  <c r="C86" i="126"/>
  <c r="D85" i="126"/>
  <c r="B86" i="126"/>
  <c r="K79" i="126"/>
  <c r="F80" i="126" s="1"/>
  <c r="G79" i="126"/>
  <c r="G59" i="125"/>
  <c r="K82" i="125"/>
  <c r="F83" i="125" s="1"/>
  <c r="G82" i="125"/>
  <c r="D87" i="125"/>
  <c r="E87" i="125"/>
  <c r="C88" i="125"/>
  <c r="B88" i="125"/>
  <c r="K81" i="124"/>
  <c r="F82" i="124" s="1"/>
  <c r="G81" i="124"/>
  <c r="C88" i="124"/>
  <c r="E87" i="124"/>
  <c r="D87" i="124"/>
  <c r="B88" i="124"/>
  <c r="E88" i="122"/>
  <c r="C89" i="122"/>
  <c r="D88" i="122"/>
  <c r="B89" i="122"/>
  <c r="K83" i="122"/>
  <c r="F84" i="122" s="1"/>
  <c r="G83" i="122"/>
  <c r="E60" i="122" l="1"/>
  <c r="D60" i="122"/>
  <c r="E86" i="129"/>
  <c r="C87" i="129"/>
  <c r="D86" i="129"/>
  <c r="B87" i="129"/>
  <c r="K79" i="129"/>
  <c r="F80" i="129" s="1"/>
  <c r="G79" i="129"/>
  <c r="K80" i="126"/>
  <c r="F81" i="126" s="1"/>
  <c r="G80" i="126"/>
  <c r="E86" i="126"/>
  <c r="C87" i="126"/>
  <c r="D86" i="126"/>
  <c r="B87" i="126"/>
  <c r="C89" i="125"/>
  <c r="E88" i="125"/>
  <c r="D88" i="125"/>
  <c r="B89" i="125"/>
  <c r="K83" i="125"/>
  <c r="F84" i="125" s="1"/>
  <c r="G83" i="125"/>
  <c r="E88" i="124"/>
  <c r="B89" i="124"/>
  <c r="C89" i="124"/>
  <c r="D88" i="124"/>
  <c r="K82" i="124"/>
  <c r="F83" i="124" s="1"/>
  <c r="G82" i="124"/>
  <c r="E89" i="122"/>
  <c r="C90" i="122"/>
  <c r="D89" i="122"/>
  <c r="B90" i="122"/>
  <c r="K84" i="122"/>
  <c r="F85" i="122" s="1"/>
  <c r="G84" i="122"/>
  <c r="K80" i="129" l="1"/>
  <c r="F81" i="129" s="1"/>
  <c r="G80" i="129"/>
  <c r="C88" i="129"/>
  <c r="D87" i="129"/>
  <c r="B88" i="129"/>
  <c r="E87" i="129"/>
  <c r="C88" i="126"/>
  <c r="D87" i="126"/>
  <c r="B88" i="126"/>
  <c r="E87" i="126"/>
  <c r="K81" i="126"/>
  <c r="F82" i="126" s="1"/>
  <c r="G81" i="126"/>
  <c r="K84" i="125"/>
  <c r="F85" i="125" s="1"/>
  <c r="G84" i="125"/>
  <c r="E89" i="125"/>
  <c r="C90" i="125"/>
  <c r="D89" i="125"/>
  <c r="B90" i="125"/>
  <c r="K83" i="124"/>
  <c r="F84" i="124" s="1"/>
  <c r="G83" i="124"/>
  <c r="C90" i="124"/>
  <c r="D89" i="124"/>
  <c r="B90" i="124"/>
  <c r="E89" i="124"/>
  <c r="K85" i="122"/>
  <c r="F86" i="122" s="1"/>
  <c r="G85" i="122"/>
  <c r="E90" i="122"/>
  <c r="C91" i="122"/>
  <c r="D90" i="122"/>
  <c r="B91" i="122"/>
  <c r="B89" i="129" l="1"/>
  <c r="C89" i="129"/>
  <c r="D88" i="129"/>
  <c r="E88" i="129"/>
  <c r="K81" i="129"/>
  <c r="F82" i="129" s="1"/>
  <c r="G81" i="129"/>
  <c r="G82" i="126"/>
  <c r="K82" i="126"/>
  <c r="F83" i="126" s="1"/>
  <c r="B89" i="126"/>
  <c r="C89" i="126"/>
  <c r="D88" i="126"/>
  <c r="E88" i="126"/>
  <c r="C91" i="125"/>
  <c r="D90" i="125"/>
  <c r="B91" i="125"/>
  <c r="E90" i="125"/>
  <c r="G85" i="125"/>
  <c r="K85" i="125"/>
  <c r="F86" i="125" s="1"/>
  <c r="B91" i="124"/>
  <c r="C91" i="124"/>
  <c r="D90" i="124"/>
  <c r="E90" i="124"/>
  <c r="G84" i="124"/>
  <c r="K84" i="124"/>
  <c r="F85" i="124" s="1"/>
  <c r="C92" i="122"/>
  <c r="D91" i="122"/>
  <c r="B92" i="122"/>
  <c r="E91" i="122"/>
  <c r="G86" i="122"/>
  <c r="K86" i="122"/>
  <c r="F87" i="122" s="1"/>
  <c r="G82" i="129" l="1"/>
  <c r="K82" i="129"/>
  <c r="F83" i="129" s="1"/>
  <c r="E89" i="129"/>
  <c r="D89" i="129"/>
  <c r="G83" i="126"/>
  <c r="K83" i="126"/>
  <c r="F84" i="126" s="1"/>
  <c r="E89" i="126"/>
  <c r="D89" i="126"/>
  <c r="G86" i="125"/>
  <c r="K86" i="125"/>
  <c r="F87" i="125" s="1"/>
  <c r="B92" i="125"/>
  <c r="C92" i="125"/>
  <c r="D91" i="125"/>
  <c r="E91" i="125"/>
  <c r="G85" i="124"/>
  <c r="K85" i="124"/>
  <c r="F86" i="124" s="1"/>
  <c r="E91" i="124"/>
  <c r="D91" i="124"/>
  <c r="G87" i="122"/>
  <c r="K87" i="122"/>
  <c r="F88" i="122" s="1"/>
  <c r="B93" i="122"/>
  <c r="C93" i="122"/>
  <c r="D92" i="122"/>
  <c r="E92" i="122"/>
  <c r="G83" i="129" l="1"/>
  <c r="K83" i="129"/>
  <c r="F84" i="129" s="1"/>
  <c r="G84" i="126"/>
  <c r="K84" i="126"/>
  <c r="F85" i="126" s="1"/>
  <c r="D92" i="125"/>
  <c r="E92" i="125"/>
  <c r="G87" i="125"/>
  <c r="K87" i="125"/>
  <c r="F88" i="125" s="1"/>
  <c r="G86" i="124"/>
  <c r="K86" i="124"/>
  <c r="F87" i="124" s="1"/>
  <c r="D93" i="122"/>
  <c r="E93" i="122"/>
  <c r="G88" i="122"/>
  <c r="K88" i="122"/>
  <c r="F89" i="122" s="1"/>
  <c r="G84" i="129" l="1"/>
  <c r="K84" i="129"/>
  <c r="F85" i="129" s="1"/>
  <c r="K85" i="126"/>
  <c r="F86" i="126" s="1"/>
  <c r="G85" i="126"/>
  <c r="G88" i="125"/>
  <c r="K88" i="125"/>
  <c r="F89" i="125" s="1"/>
  <c r="G87" i="124"/>
  <c r="K87" i="124"/>
  <c r="F88" i="124" s="1"/>
  <c r="G89" i="122"/>
  <c r="K89" i="122"/>
  <c r="F90" i="122" s="1"/>
  <c r="G85" i="129" l="1"/>
  <c r="K85" i="129"/>
  <c r="F86" i="129" s="1"/>
  <c r="K86" i="126"/>
  <c r="F87" i="126" s="1"/>
  <c r="G86" i="126"/>
  <c r="K89" i="125"/>
  <c r="F90" i="125" s="1"/>
  <c r="G89" i="125"/>
  <c r="G88" i="124"/>
  <c r="K88" i="124"/>
  <c r="F89" i="124" s="1"/>
  <c r="K90" i="122"/>
  <c r="F91" i="122" s="1"/>
  <c r="G90" i="122"/>
  <c r="K86" i="129" l="1"/>
  <c r="F87" i="129" s="1"/>
  <c r="G86" i="129"/>
  <c r="K87" i="126"/>
  <c r="F88" i="126" s="1"/>
  <c r="G87" i="126"/>
  <c r="K90" i="125"/>
  <c r="F91" i="125" s="1"/>
  <c r="G90" i="125"/>
  <c r="K89" i="124"/>
  <c r="F90" i="124" s="1"/>
  <c r="G89" i="124"/>
  <c r="K91" i="122"/>
  <c r="F92" i="122" s="1"/>
  <c r="G91" i="122"/>
  <c r="K87" i="129" l="1"/>
  <c r="F88" i="129" s="1"/>
  <c r="G87" i="129"/>
  <c r="K88" i="126"/>
  <c r="F89" i="126" s="1"/>
  <c r="G88" i="126"/>
  <c r="K91" i="125"/>
  <c r="F92" i="125" s="1"/>
  <c r="G91" i="125"/>
  <c r="K90" i="124"/>
  <c r="F91" i="124" s="1"/>
  <c r="G90" i="124"/>
  <c r="K92" i="122"/>
  <c r="F93" i="122" s="1"/>
  <c r="G92" i="122"/>
  <c r="F426" i="120"/>
  <c r="H433" i="120" s="1"/>
  <c r="B426" i="120"/>
  <c r="C426" i="120" s="1"/>
  <c r="F397" i="120"/>
  <c r="H404" i="120" s="1"/>
  <c r="B397" i="120"/>
  <c r="C397" i="120" s="1"/>
  <c r="F368" i="120"/>
  <c r="H375" i="120" s="1"/>
  <c r="B368" i="120"/>
  <c r="C368" i="120" s="1"/>
  <c r="F338" i="120"/>
  <c r="H346" i="120" s="1"/>
  <c r="B338" i="120"/>
  <c r="C338" i="120" s="1"/>
  <c r="F308" i="120"/>
  <c r="H316" i="120" s="1"/>
  <c r="B308" i="120"/>
  <c r="C308" i="120" s="1"/>
  <c r="F278" i="120"/>
  <c r="H286" i="120" s="1"/>
  <c r="B278" i="120"/>
  <c r="C278" i="120" s="1"/>
  <c r="F248" i="120"/>
  <c r="H256" i="120" s="1"/>
  <c r="B248" i="120"/>
  <c r="C248" i="120" s="1"/>
  <c r="E248" i="120" s="1"/>
  <c r="F217" i="120"/>
  <c r="H226" i="120" s="1"/>
  <c r="B217" i="120"/>
  <c r="C217" i="120" s="1"/>
  <c r="F186" i="120"/>
  <c r="H195" i="120" s="1"/>
  <c r="B186" i="120"/>
  <c r="C186" i="120" s="1"/>
  <c r="B155" i="120"/>
  <c r="C155" i="120" s="1"/>
  <c r="F155" i="120"/>
  <c r="H164" i="120" s="1"/>
  <c r="F123" i="120"/>
  <c r="H133" i="120" s="1"/>
  <c r="F91" i="120"/>
  <c r="H101" i="120" s="1"/>
  <c r="B123" i="120"/>
  <c r="C123" i="120" s="1"/>
  <c r="B91" i="120"/>
  <c r="C91" i="120" s="1"/>
  <c r="A64" i="120"/>
  <c r="B64" i="120" s="1"/>
  <c r="D30" i="120"/>
  <c r="E30" i="120"/>
  <c r="C30" i="120"/>
  <c r="G23" i="145" s="1"/>
  <c r="G58" i="145" s="1"/>
  <c r="F3" i="120"/>
  <c r="F4" i="120"/>
  <c r="F5" i="120"/>
  <c r="F6" i="120"/>
  <c r="F7" i="120"/>
  <c r="F8" i="120"/>
  <c r="F9" i="120"/>
  <c r="F10" i="120"/>
  <c r="F11" i="120"/>
  <c r="F12" i="120"/>
  <c r="F13" i="120"/>
  <c r="F14" i="120"/>
  <c r="F15" i="120"/>
  <c r="F16" i="120"/>
  <c r="F17" i="120"/>
  <c r="F18" i="120"/>
  <c r="F19" i="120"/>
  <c r="F20" i="120"/>
  <c r="F21" i="120"/>
  <c r="F22" i="120"/>
  <c r="F23" i="120"/>
  <c r="F24" i="120"/>
  <c r="F25" i="120"/>
  <c r="F26" i="120"/>
  <c r="F27" i="120"/>
  <c r="F28" i="120"/>
  <c r="F29" i="120"/>
  <c r="B38" i="120"/>
  <c r="C38" i="120" s="1"/>
  <c r="C39" i="120" s="1"/>
  <c r="F2" i="120"/>
  <c r="H355" i="120" l="1"/>
  <c r="D69" i="120"/>
  <c r="H43" i="120"/>
  <c r="G28" i="134"/>
  <c r="H105" i="120"/>
  <c r="H166" i="120"/>
  <c r="H168" i="120"/>
  <c r="H169" i="120"/>
  <c r="H165" i="120"/>
  <c r="H167" i="120"/>
  <c r="H377" i="120"/>
  <c r="H376" i="120"/>
  <c r="H317" i="120"/>
  <c r="H318" i="120"/>
  <c r="H58" i="120"/>
  <c r="H288" i="120"/>
  <c r="H287" i="120"/>
  <c r="H435" i="120"/>
  <c r="H434" i="120"/>
  <c r="H134" i="120"/>
  <c r="H135" i="120"/>
  <c r="H258" i="120"/>
  <c r="H257" i="120"/>
  <c r="H196" i="120"/>
  <c r="H197" i="120"/>
  <c r="H228" i="120"/>
  <c r="H348" i="120"/>
  <c r="H347" i="120"/>
  <c r="H437" i="120"/>
  <c r="C40" i="120"/>
  <c r="B40" i="120"/>
  <c r="K88" i="129"/>
  <c r="F89" i="129" s="1"/>
  <c r="G88" i="129"/>
  <c r="K89" i="126"/>
  <c r="G89" i="126"/>
  <c r="K92" i="125"/>
  <c r="G92" i="125"/>
  <c r="K91" i="124"/>
  <c r="G91" i="124"/>
  <c r="K93" i="122"/>
  <c r="G93" i="122"/>
  <c r="H139" i="120"/>
  <c r="H438" i="120"/>
  <c r="H409" i="120"/>
  <c r="H360" i="120"/>
  <c r="H381" i="120"/>
  <c r="H448" i="120"/>
  <c r="H447" i="120"/>
  <c r="H442" i="120"/>
  <c r="H417" i="120"/>
  <c r="H440" i="120"/>
  <c r="H229" i="120"/>
  <c r="H411" i="120"/>
  <c r="H227" i="120"/>
  <c r="H289" i="120"/>
  <c r="H410" i="120"/>
  <c r="H449" i="120"/>
  <c r="H439" i="120"/>
  <c r="H407" i="120"/>
  <c r="H208" i="120"/>
  <c r="H267" i="120"/>
  <c r="H328" i="120"/>
  <c r="H354" i="120"/>
  <c r="H419" i="120"/>
  <c r="H446" i="120"/>
  <c r="H264" i="120"/>
  <c r="H325" i="120"/>
  <c r="H418" i="120"/>
  <c r="H445" i="120"/>
  <c r="H231" i="120"/>
  <c r="H415" i="120"/>
  <c r="H441" i="120"/>
  <c r="H204" i="120"/>
  <c r="H203" i="120"/>
  <c r="H323" i="120"/>
  <c r="H353" i="120"/>
  <c r="H416" i="120"/>
  <c r="H408" i="120"/>
  <c r="H211" i="120"/>
  <c r="H321" i="120"/>
  <c r="H406" i="120"/>
  <c r="H390" i="120"/>
  <c r="H149" i="120"/>
  <c r="H299" i="120"/>
  <c r="H331" i="120"/>
  <c r="H389" i="120"/>
  <c r="H414" i="120"/>
  <c r="H142" i="120"/>
  <c r="H210" i="120"/>
  <c r="H198" i="120"/>
  <c r="H235" i="120"/>
  <c r="H297" i="120"/>
  <c r="H330" i="120"/>
  <c r="H320" i="120"/>
  <c r="H362" i="120"/>
  <c r="H384" i="120"/>
  <c r="H413" i="120"/>
  <c r="H405" i="120"/>
  <c r="H444" i="120"/>
  <c r="H436" i="120"/>
  <c r="H324" i="120"/>
  <c r="H202" i="120"/>
  <c r="H241" i="120"/>
  <c r="H201" i="120"/>
  <c r="H240" i="120"/>
  <c r="H332" i="120"/>
  <c r="H322" i="120"/>
  <c r="H352" i="120"/>
  <c r="H200" i="120"/>
  <c r="H239" i="120"/>
  <c r="H140" i="120"/>
  <c r="H209" i="120"/>
  <c r="H233" i="120"/>
  <c r="H272" i="120"/>
  <c r="H291" i="120"/>
  <c r="H329" i="120"/>
  <c r="H361" i="120"/>
  <c r="H382" i="120"/>
  <c r="H420" i="120"/>
  <c r="H412" i="120"/>
  <c r="H443" i="120"/>
  <c r="B427" i="120"/>
  <c r="D426" i="120"/>
  <c r="E426" i="120"/>
  <c r="C427" i="120"/>
  <c r="B398" i="120"/>
  <c r="E397" i="120"/>
  <c r="D397" i="120"/>
  <c r="C398" i="120"/>
  <c r="H242" i="120"/>
  <c r="H232" i="120"/>
  <c r="H298" i="120"/>
  <c r="H290" i="120"/>
  <c r="H391" i="120"/>
  <c r="H383" i="120"/>
  <c r="H296" i="120"/>
  <c r="H177" i="120"/>
  <c r="H295" i="120"/>
  <c r="H327" i="120"/>
  <c r="H319" i="120"/>
  <c r="H359" i="120"/>
  <c r="H351" i="120"/>
  <c r="H388" i="120"/>
  <c r="H380" i="120"/>
  <c r="H176" i="120"/>
  <c r="H206" i="120"/>
  <c r="H237" i="120"/>
  <c r="H265" i="120"/>
  <c r="H302" i="120"/>
  <c r="H294" i="120"/>
  <c r="H326" i="120"/>
  <c r="H358" i="120"/>
  <c r="H350" i="120"/>
  <c r="H387" i="120"/>
  <c r="H379" i="120"/>
  <c r="H301" i="120"/>
  <c r="H293" i="120"/>
  <c r="H357" i="120"/>
  <c r="H349" i="120"/>
  <c r="H386" i="120"/>
  <c r="H378" i="120"/>
  <c r="H234" i="120"/>
  <c r="H259" i="120"/>
  <c r="H300" i="120"/>
  <c r="H292" i="120"/>
  <c r="H356" i="120"/>
  <c r="H385" i="120"/>
  <c r="E368" i="120"/>
  <c r="B369" i="120"/>
  <c r="C369" i="120"/>
  <c r="D368" i="120"/>
  <c r="D338" i="120"/>
  <c r="C339" i="120"/>
  <c r="E338" i="120"/>
  <c r="B339" i="120"/>
  <c r="C309" i="120"/>
  <c r="B309" i="120"/>
  <c r="E308" i="120"/>
  <c r="D308" i="120"/>
  <c r="D278" i="120"/>
  <c r="C279" i="120"/>
  <c r="E278" i="120"/>
  <c r="B279" i="120"/>
  <c r="H148" i="120"/>
  <c r="H138" i="120"/>
  <c r="H263" i="120"/>
  <c r="H147" i="120"/>
  <c r="H137" i="120"/>
  <c r="H269" i="120"/>
  <c r="H261" i="120"/>
  <c r="H271" i="120"/>
  <c r="H270" i="120"/>
  <c r="H262" i="120"/>
  <c r="H114" i="120"/>
  <c r="H146" i="120"/>
  <c r="H113" i="120"/>
  <c r="H145" i="120"/>
  <c r="H207" i="120"/>
  <c r="H199" i="120"/>
  <c r="H238" i="120"/>
  <c r="H230" i="120"/>
  <c r="H268" i="120"/>
  <c r="H260" i="120"/>
  <c r="H106" i="120"/>
  <c r="H141" i="120"/>
  <c r="H205" i="120"/>
  <c r="H236" i="120"/>
  <c r="H266" i="120"/>
  <c r="D248" i="120"/>
  <c r="I248" i="120" s="1"/>
  <c r="B249" i="120"/>
  <c r="C249" i="120"/>
  <c r="E217" i="120"/>
  <c r="C218" i="120"/>
  <c r="B218" i="120"/>
  <c r="D217" i="120"/>
  <c r="C187" i="120"/>
  <c r="E186" i="120"/>
  <c r="B187" i="120"/>
  <c r="D186" i="120"/>
  <c r="H112" i="120"/>
  <c r="H103" i="120"/>
  <c r="H174" i="120"/>
  <c r="H109" i="120"/>
  <c r="H180" i="120"/>
  <c r="H172" i="120"/>
  <c r="H116" i="120"/>
  <c r="H108" i="120"/>
  <c r="H144" i="120"/>
  <c r="H136" i="120"/>
  <c r="H179" i="120"/>
  <c r="H171" i="120"/>
  <c r="H104" i="120"/>
  <c r="H175" i="120"/>
  <c r="H111" i="120"/>
  <c r="H110" i="120"/>
  <c r="H102" i="120"/>
  <c r="H173" i="120"/>
  <c r="H117" i="120"/>
  <c r="H115" i="120"/>
  <c r="H107" i="120"/>
  <c r="H143" i="120"/>
  <c r="H178" i="120"/>
  <c r="H170" i="120"/>
  <c r="E155" i="120"/>
  <c r="C156" i="120"/>
  <c r="B156" i="120"/>
  <c r="D155" i="120"/>
  <c r="D123" i="120"/>
  <c r="B124" i="120"/>
  <c r="E123" i="120"/>
  <c r="C124" i="120"/>
  <c r="B65" i="120"/>
  <c r="A65" i="120"/>
  <c r="H46" i="120"/>
  <c r="E28" i="134" s="1"/>
  <c r="H49" i="120"/>
  <c r="D23" i="145" s="1"/>
  <c r="H52" i="120"/>
  <c r="H53" i="120"/>
  <c r="H59" i="120"/>
  <c r="F38" i="120"/>
  <c r="H54" i="120"/>
  <c r="F30" i="120"/>
  <c r="H44" i="120"/>
  <c r="H55" i="120"/>
  <c r="H45" i="120"/>
  <c r="D28" i="134" s="1"/>
  <c r="H57" i="120"/>
  <c r="H47" i="120"/>
  <c r="B23" i="145" s="1"/>
  <c r="H48" i="120"/>
  <c r="C23" i="145" s="1"/>
  <c r="H56" i="120"/>
  <c r="H50" i="120"/>
  <c r="E23" i="145" s="1"/>
  <c r="H51" i="120"/>
  <c r="B39" i="120"/>
  <c r="E38" i="120"/>
  <c r="D38" i="120"/>
  <c r="B92" i="120"/>
  <c r="E91" i="120"/>
  <c r="C92" i="120"/>
  <c r="D91" i="120"/>
  <c r="B35" i="112"/>
  <c r="C35" i="112" s="1"/>
  <c r="J62" i="112"/>
  <c r="H62" i="112"/>
  <c r="J61" i="112"/>
  <c r="H61" i="112"/>
  <c r="J60" i="112"/>
  <c r="H60" i="112"/>
  <c r="J59" i="112"/>
  <c r="H59" i="112"/>
  <c r="J58" i="112"/>
  <c r="H58" i="112"/>
  <c r="J57" i="112"/>
  <c r="H57" i="112"/>
  <c r="J56" i="112"/>
  <c r="H56" i="112"/>
  <c r="J55" i="112"/>
  <c r="H55" i="112"/>
  <c r="J54" i="112"/>
  <c r="H54" i="112"/>
  <c r="J53" i="112"/>
  <c r="H53" i="112"/>
  <c r="J52" i="112"/>
  <c r="H52" i="112"/>
  <c r="J51" i="112"/>
  <c r="H51" i="112"/>
  <c r="J50" i="112"/>
  <c r="H50" i="112"/>
  <c r="J49" i="112"/>
  <c r="H49" i="112"/>
  <c r="J48" i="112"/>
  <c r="H48" i="112"/>
  <c r="J47" i="112"/>
  <c r="H47" i="112"/>
  <c r="J46" i="112"/>
  <c r="H46" i="112"/>
  <c r="J45" i="112"/>
  <c r="H45" i="112"/>
  <c r="J44" i="112"/>
  <c r="H44" i="112"/>
  <c r="J43" i="112"/>
  <c r="H43" i="112"/>
  <c r="F35" i="112"/>
  <c r="I155" i="120" l="1"/>
  <c r="I217" i="120"/>
  <c r="I426" i="120"/>
  <c r="H450" i="120"/>
  <c r="F23" i="145"/>
  <c r="C28" i="134"/>
  <c r="H23" i="145"/>
  <c r="I123" i="120"/>
  <c r="I278" i="120"/>
  <c r="I308" i="120"/>
  <c r="I338" i="120"/>
  <c r="K338" i="120" s="1"/>
  <c r="F339" i="120" s="1"/>
  <c r="H303" i="120"/>
  <c r="H421" i="120"/>
  <c r="H392" i="120"/>
  <c r="H363" i="120"/>
  <c r="H150" i="120"/>
  <c r="H181" i="120"/>
  <c r="H118" i="120"/>
  <c r="H243" i="120"/>
  <c r="H212" i="120"/>
  <c r="H273" i="120"/>
  <c r="I186" i="120"/>
  <c r="I38" i="120"/>
  <c r="I368" i="120"/>
  <c r="K368" i="120" s="1"/>
  <c r="F369" i="120" s="1"/>
  <c r="I397" i="120"/>
  <c r="I91" i="120"/>
  <c r="D78" i="120"/>
  <c r="H333" i="120"/>
  <c r="B28" i="134"/>
  <c r="H28" i="134"/>
  <c r="I28" i="134" s="1"/>
  <c r="D68" i="120"/>
  <c r="D71" i="120"/>
  <c r="D67" i="120"/>
  <c r="A66" i="120"/>
  <c r="B66" i="120"/>
  <c r="D73" i="120"/>
  <c r="D85" i="120"/>
  <c r="D79" i="120"/>
  <c r="D72" i="120"/>
  <c r="D82" i="120"/>
  <c r="D77" i="120"/>
  <c r="E40" i="120"/>
  <c r="D40" i="120"/>
  <c r="B41" i="120"/>
  <c r="C41" i="120"/>
  <c r="D75" i="120"/>
  <c r="D76" i="120"/>
  <c r="D80" i="120"/>
  <c r="D74" i="120"/>
  <c r="D81" i="120"/>
  <c r="D83" i="120"/>
  <c r="D84" i="120"/>
  <c r="D70" i="120"/>
  <c r="K308" i="120"/>
  <c r="F309" i="120" s="1"/>
  <c r="K89" i="129"/>
  <c r="G89" i="129"/>
  <c r="C428" i="120"/>
  <c r="B428" i="120"/>
  <c r="E427" i="120"/>
  <c r="D427" i="120"/>
  <c r="C399" i="120"/>
  <c r="B399" i="120"/>
  <c r="E398" i="120"/>
  <c r="D398" i="120"/>
  <c r="B370" i="120"/>
  <c r="D369" i="120"/>
  <c r="E369" i="120"/>
  <c r="C370" i="120"/>
  <c r="B340" i="120"/>
  <c r="D339" i="120"/>
  <c r="C340" i="120"/>
  <c r="E339" i="120"/>
  <c r="B310" i="120"/>
  <c r="C310" i="120"/>
  <c r="D309" i="120"/>
  <c r="E309" i="120"/>
  <c r="B280" i="120"/>
  <c r="C280" i="120"/>
  <c r="D279" i="120"/>
  <c r="E279" i="120"/>
  <c r="K248" i="120"/>
  <c r="F249" i="120" s="1"/>
  <c r="E249" i="120"/>
  <c r="D249" i="120"/>
  <c r="C250" i="120"/>
  <c r="B250" i="120"/>
  <c r="B219" i="120"/>
  <c r="E218" i="120"/>
  <c r="D218" i="120"/>
  <c r="C219" i="120"/>
  <c r="C188" i="120"/>
  <c r="B188" i="120"/>
  <c r="E187" i="120"/>
  <c r="D187" i="120"/>
  <c r="E156" i="120"/>
  <c r="D156" i="120"/>
  <c r="C157" i="120"/>
  <c r="B157" i="120"/>
  <c r="E124" i="120"/>
  <c r="D124" i="120"/>
  <c r="C125" i="120"/>
  <c r="B125" i="120"/>
  <c r="C93" i="120"/>
  <c r="B93" i="120"/>
  <c r="E92" i="120"/>
  <c r="D92" i="120"/>
  <c r="E39" i="120"/>
  <c r="D39" i="120"/>
  <c r="E35" i="112"/>
  <c r="B36" i="112"/>
  <c r="D35" i="112"/>
  <c r="C36" i="112"/>
  <c r="I23" i="145" l="1"/>
  <c r="I58" i="145" s="1"/>
  <c r="H58" i="145"/>
  <c r="F28" i="134"/>
  <c r="D86" i="120"/>
  <c r="I309" i="120"/>
  <c r="I249" i="120"/>
  <c r="I339" i="120"/>
  <c r="I369" i="120"/>
  <c r="B67" i="120"/>
  <c r="A67" i="120"/>
  <c r="K38" i="120"/>
  <c r="F39" i="120" s="1"/>
  <c r="I39" i="120" s="1"/>
  <c r="B42" i="120"/>
  <c r="E41" i="120"/>
  <c r="C42" i="120"/>
  <c r="D41" i="120"/>
  <c r="K123" i="120"/>
  <c r="F124" i="120" s="1"/>
  <c r="I124" i="120" s="1"/>
  <c r="K426" i="120"/>
  <c r="F427" i="120" s="1"/>
  <c r="I427" i="120" s="1"/>
  <c r="K397" i="120"/>
  <c r="F398" i="120" s="1"/>
  <c r="I398" i="120" s="1"/>
  <c r="C429" i="120"/>
  <c r="B429" i="120"/>
  <c r="E428" i="120"/>
  <c r="D428" i="120"/>
  <c r="C400" i="120"/>
  <c r="B400" i="120"/>
  <c r="D399" i="120"/>
  <c r="E399" i="120"/>
  <c r="K278" i="120"/>
  <c r="F279" i="120" s="1"/>
  <c r="I279" i="120" s="1"/>
  <c r="C371" i="120"/>
  <c r="B371" i="120"/>
  <c r="E370" i="120"/>
  <c r="D370" i="120"/>
  <c r="C341" i="120"/>
  <c r="E340" i="120"/>
  <c r="B341" i="120"/>
  <c r="D340" i="120"/>
  <c r="C311" i="120"/>
  <c r="B311" i="120"/>
  <c r="E310" i="120"/>
  <c r="D310" i="120"/>
  <c r="C281" i="120"/>
  <c r="B281" i="120"/>
  <c r="D280" i="120"/>
  <c r="E280" i="120"/>
  <c r="K186" i="120"/>
  <c r="F187" i="120" s="1"/>
  <c r="I187" i="120" s="1"/>
  <c r="K217" i="120"/>
  <c r="F218" i="120" s="1"/>
  <c r="I218" i="120" s="1"/>
  <c r="B251" i="120"/>
  <c r="C251" i="120"/>
  <c r="E250" i="120"/>
  <c r="D250" i="120"/>
  <c r="B220" i="120"/>
  <c r="D219" i="120"/>
  <c r="C220" i="120"/>
  <c r="E219" i="120"/>
  <c r="B189" i="120"/>
  <c r="E188" i="120"/>
  <c r="C189" i="120"/>
  <c r="D188" i="120"/>
  <c r="K155" i="120"/>
  <c r="F156" i="120" s="1"/>
  <c r="D157" i="120"/>
  <c r="E157" i="120"/>
  <c r="C158" i="120"/>
  <c r="B158" i="120"/>
  <c r="D125" i="120"/>
  <c r="C126" i="120"/>
  <c r="E125" i="120"/>
  <c r="B126" i="120"/>
  <c r="K91" i="120"/>
  <c r="F92" i="120" s="1"/>
  <c r="I92" i="120" s="1"/>
  <c r="B94" i="120"/>
  <c r="D93" i="120"/>
  <c r="C94" i="120"/>
  <c r="E93" i="120"/>
  <c r="I35" i="112"/>
  <c r="K35" i="112" s="1"/>
  <c r="F36" i="112" s="1"/>
  <c r="D36" i="112"/>
  <c r="E36" i="112"/>
  <c r="C37" i="112"/>
  <c r="B37" i="112"/>
  <c r="K339" i="120" l="1"/>
  <c r="F340" i="120" s="1"/>
  <c r="I340" i="120" s="1"/>
  <c r="K427" i="120"/>
  <c r="F428" i="120" s="1"/>
  <c r="I428" i="120" s="1"/>
  <c r="I156" i="120"/>
  <c r="K124" i="120"/>
  <c r="F125" i="120" s="1"/>
  <c r="C372" i="120"/>
  <c r="B372" i="120"/>
  <c r="C430" i="120"/>
  <c r="B430" i="120"/>
  <c r="A68" i="120"/>
  <c r="B68" i="120"/>
  <c r="C401" i="120"/>
  <c r="B401" i="120"/>
  <c r="B43" i="120"/>
  <c r="C43" i="120"/>
  <c r="E42" i="120"/>
  <c r="D42" i="120"/>
  <c r="K249" i="120"/>
  <c r="F250" i="120" s="1"/>
  <c r="I250" i="120" s="1"/>
  <c r="K398" i="120"/>
  <c r="F399" i="120" s="1"/>
  <c r="D429" i="120"/>
  <c r="E429" i="120"/>
  <c r="D400" i="120"/>
  <c r="E400" i="120"/>
  <c r="K279" i="120"/>
  <c r="F280" i="120" s="1"/>
  <c r="I280" i="120" s="1"/>
  <c r="K309" i="120"/>
  <c r="F310" i="120" s="1"/>
  <c r="K369" i="120"/>
  <c r="F370" i="120" s="1"/>
  <c r="D371" i="120"/>
  <c r="E371" i="120"/>
  <c r="C342" i="120"/>
  <c r="B342" i="120"/>
  <c r="D341" i="120"/>
  <c r="E341" i="120"/>
  <c r="C312" i="120"/>
  <c r="B312" i="120"/>
  <c r="E311" i="120"/>
  <c r="D311" i="120"/>
  <c r="C282" i="120"/>
  <c r="E281" i="120"/>
  <c r="B282" i="120"/>
  <c r="D281" i="120"/>
  <c r="K218" i="120"/>
  <c r="F219" i="120" s="1"/>
  <c r="I219" i="120" s="1"/>
  <c r="K187" i="120"/>
  <c r="F188" i="120" s="1"/>
  <c r="I188" i="120" s="1"/>
  <c r="C252" i="120"/>
  <c r="B252" i="120"/>
  <c r="E251" i="120"/>
  <c r="D251" i="120"/>
  <c r="C221" i="120"/>
  <c r="B221" i="120"/>
  <c r="D220" i="120"/>
  <c r="E220" i="120"/>
  <c r="C190" i="120"/>
  <c r="B190" i="120"/>
  <c r="E189" i="120"/>
  <c r="D189" i="120"/>
  <c r="K39" i="120"/>
  <c r="F40" i="120" s="1"/>
  <c r="I40" i="120" s="1"/>
  <c r="B159" i="120"/>
  <c r="D158" i="120"/>
  <c r="E158" i="120"/>
  <c r="C159" i="120"/>
  <c r="B127" i="120"/>
  <c r="D126" i="120"/>
  <c r="E126" i="120"/>
  <c r="C127" i="120"/>
  <c r="D94" i="120"/>
  <c r="B95" i="120"/>
  <c r="C95" i="120"/>
  <c r="E94" i="120"/>
  <c r="I36" i="112"/>
  <c r="K36" i="112" s="1"/>
  <c r="F37" i="112" s="1"/>
  <c r="D37" i="112"/>
  <c r="C38" i="112"/>
  <c r="E37" i="112"/>
  <c r="B38" i="112"/>
  <c r="K156" i="120" l="1"/>
  <c r="F157" i="120" s="1"/>
  <c r="I157" i="120" s="1"/>
  <c r="I399" i="120"/>
  <c r="I370" i="120"/>
  <c r="I310" i="120"/>
  <c r="K219" i="120"/>
  <c r="F220" i="120" s="1"/>
  <c r="I220" i="120" s="1"/>
  <c r="I125" i="120"/>
  <c r="B343" i="120"/>
  <c r="C343" i="120"/>
  <c r="C402" i="120"/>
  <c r="B402" i="120"/>
  <c r="E401" i="120"/>
  <c r="D401" i="120"/>
  <c r="B253" i="120"/>
  <c r="C253" i="120"/>
  <c r="B283" i="120"/>
  <c r="C283" i="120"/>
  <c r="B313" i="120"/>
  <c r="C313" i="120"/>
  <c r="D430" i="120"/>
  <c r="C431" i="120"/>
  <c r="E430" i="120"/>
  <c r="B431" i="120"/>
  <c r="B373" i="120"/>
  <c r="E372" i="120"/>
  <c r="D372" i="120"/>
  <c r="C373" i="120"/>
  <c r="K92" i="120"/>
  <c r="F93" i="120" s="1"/>
  <c r="D43" i="120"/>
  <c r="E43" i="120"/>
  <c r="I37" i="112"/>
  <c r="K37" i="112" s="1"/>
  <c r="F38" i="112" s="1"/>
  <c r="K280" i="120"/>
  <c r="F281" i="120" s="1"/>
  <c r="I281" i="120" s="1"/>
  <c r="K428" i="120"/>
  <c r="F429" i="120" s="1"/>
  <c r="I429" i="120" s="1"/>
  <c r="K340" i="120"/>
  <c r="F341" i="120" s="1"/>
  <c r="I341" i="120" s="1"/>
  <c r="D342" i="120"/>
  <c r="E342" i="120"/>
  <c r="D312" i="120"/>
  <c r="E312" i="120"/>
  <c r="D282" i="120"/>
  <c r="E282" i="120"/>
  <c r="K188" i="120"/>
  <c r="F189" i="120" s="1"/>
  <c r="I189" i="120" s="1"/>
  <c r="K250" i="120"/>
  <c r="F251" i="120" s="1"/>
  <c r="I251" i="120" s="1"/>
  <c r="E252" i="120"/>
  <c r="D252" i="120"/>
  <c r="B222" i="120"/>
  <c r="E221" i="120"/>
  <c r="D221" i="120"/>
  <c r="C222" i="120"/>
  <c r="C191" i="120"/>
  <c r="B191" i="120"/>
  <c r="E190" i="120"/>
  <c r="D190" i="120"/>
  <c r="C160" i="120"/>
  <c r="B160" i="120"/>
  <c r="E159" i="120"/>
  <c r="D159" i="120"/>
  <c r="C128" i="120"/>
  <c r="B128" i="120"/>
  <c r="E127" i="120"/>
  <c r="D127" i="120"/>
  <c r="A69" i="120"/>
  <c r="B69" i="120"/>
  <c r="E95" i="120"/>
  <c r="C96" i="120"/>
  <c r="B96" i="120"/>
  <c r="D95" i="120"/>
  <c r="D38" i="112"/>
  <c r="E38" i="112"/>
  <c r="C39" i="112"/>
  <c r="B39" i="112"/>
  <c r="D431" i="120" l="1"/>
  <c r="D402" i="120"/>
  <c r="K220" i="120"/>
  <c r="F221" i="120" s="1"/>
  <c r="I221" i="120" s="1"/>
  <c r="K125" i="120"/>
  <c r="F126" i="120" s="1"/>
  <c r="I126" i="120" s="1"/>
  <c r="K126" i="120" s="1"/>
  <c r="F127" i="120" s="1"/>
  <c r="I127" i="120" s="1"/>
  <c r="K157" i="120"/>
  <c r="F158" i="120" s="1"/>
  <c r="I158" i="120" s="1"/>
  <c r="K370" i="120"/>
  <c r="F371" i="120" s="1"/>
  <c r="I371" i="120" s="1"/>
  <c r="K310" i="120"/>
  <c r="F311" i="120" s="1"/>
  <c r="I311" i="120" s="1"/>
  <c r="K311" i="120" s="1"/>
  <c r="F312" i="120" s="1"/>
  <c r="I312" i="120" s="1"/>
  <c r="K399" i="120"/>
  <c r="F400" i="120" s="1"/>
  <c r="I400" i="120" s="1"/>
  <c r="K341" i="120"/>
  <c r="F342" i="120" s="1"/>
  <c r="I93" i="120"/>
  <c r="B314" i="120"/>
  <c r="D313" i="120"/>
  <c r="E313" i="120"/>
  <c r="C314" i="120"/>
  <c r="E402" i="120"/>
  <c r="C403" i="120"/>
  <c r="B403" i="120"/>
  <c r="B192" i="120"/>
  <c r="C192" i="120"/>
  <c r="C223" i="120"/>
  <c r="B223" i="120"/>
  <c r="B432" i="120"/>
  <c r="E431" i="120"/>
  <c r="C432" i="120"/>
  <c r="B254" i="120"/>
  <c r="C254" i="120"/>
  <c r="D253" i="120"/>
  <c r="E253" i="120"/>
  <c r="B161" i="120"/>
  <c r="C161" i="120"/>
  <c r="B374" i="120"/>
  <c r="E373" i="120"/>
  <c r="C374" i="120"/>
  <c r="D373" i="120"/>
  <c r="B284" i="120"/>
  <c r="C284" i="120"/>
  <c r="E283" i="120"/>
  <c r="D283" i="120"/>
  <c r="B344" i="120"/>
  <c r="C344" i="120"/>
  <c r="E343" i="120"/>
  <c r="D343" i="120"/>
  <c r="I38" i="112"/>
  <c r="K38" i="112" s="1"/>
  <c r="F39" i="112" s="1"/>
  <c r="K429" i="120"/>
  <c r="F430" i="120" s="1"/>
  <c r="I430" i="120" s="1"/>
  <c r="K281" i="120"/>
  <c r="F282" i="120" s="1"/>
  <c r="I282" i="120" s="1"/>
  <c r="K251" i="120"/>
  <c r="F252" i="120" s="1"/>
  <c r="I252" i="120" s="1"/>
  <c r="K189" i="120"/>
  <c r="F190" i="120" s="1"/>
  <c r="I190" i="120" s="1"/>
  <c r="D222" i="120"/>
  <c r="E222" i="120"/>
  <c r="D191" i="120"/>
  <c r="E191" i="120"/>
  <c r="D160" i="120"/>
  <c r="E160" i="120"/>
  <c r="C129" i="120"/>
  <c r="E128" i="120"/>
  <c r="B129" i="120"/>
  <c r="D128" i="120"/>
  <c r="B70" i="120"/>
  <c r="A70" i="120"/>
  <c r="E96" i="120"/>
  <c r="C97" i="120"/>
  <c r="B97" i="120"/>
  <c r="D96" i="120"/>
  <c r="C44" i="120"/>
  <c r="B44" i="120"/>
  <c r="B40" i="112"/>
  <c r="E39" i="112"/>
  <c r="D39" i="112"/>
  <c r="C40" i="112"/>
  <c r="D432" i="120" l="1"/>
  <c r="K93" i="120"/>
  <c r="F94" i="120" s="1"/>
  <c r="K400" i="120"/>
  <c r="F401" i="120" s="1"/>
  <c r="I401" i="120" s="1"/>
  <c r="K371" i="120"/>
  <c r="F372" i="120" s="1"/>
  <c r="I372" i="120" s="1"/>
  <c r="K158" i="120"/>
  <c r="F159" i="120" s="1"/>
  <c r="I159" i="120" s="1"/>
  <c r="K430" i="120"/>
  <c r="F431" i="120" s="1"/>
  <c r="I431" i="120" s="1"/>
  <c r="I342" i="120"/>
  <c r="K312" i="120"/>
  <c r="F313" i="120" s="1"/>
  <c r="I313" i="120" s="1"/>
  <c r="K127" i="120"/>
  <c r="F128" i="120" s="1"/>
  <c r="I94" i="120"/>
  <c r="K94" i="120" s="1"/>
  <c r="F95" i="120" s="1"/>
  <c r="B255" i="120"/>
  <c r="E254" i="120"/>
  <c r="C255" i="120"/>
  <c r="D254" i="120"/>
  <c r="D344" i="120"/>
  <c r="E344" i="120"/>
  <c r="C345" i="120"/>
  <c r="B345" i="120"/>
  <c r="C433" i="120"/>
  <c r="B433" i="120"/>
  <c r="E432" i="120"/>
  <c r="B404" i="120"/>
  <c r="C404" i="120"/>
  <c r="D403" i="120"/>
  <c r="E403" i="120"/>
  <c r="C375" i="120"/>
  <c r="B375" i="120"/>
  <c r="D374" i="120"/>
  <c r="E374" i="120"/>
  <c r="B162" i="120"/>
  <c r="E161" i="120"/>
  <c r="D161" i="120"/>
  <c r="C162" i="120"/>
  <c r="C98" i="120"/>
  <c r="B98" i="120"/>
  <c r="B285" i="120"/>
  <c r="E284" i="120"/>
  <c r="C285" i="120"/>
  <c r="D284" i="120"/>
  <c r="B224" i="120"/>
  <c r="D223" i="120"/>
  <c r="E223" i="120"/>
  <c r="C224" i="120"/>
  <c r="B130" i="120"/>
  <c r="C130" i="120"/>
  <c r="B315" i="120"/>
  <c r="D314" i="120"/>
  <c r="C315" i="120"/>
  <c r="E314" i="120"/>
  <c r="B193" i="120"/>
  <c r="C193" i="120"/>
  <c r="E192" i="120"/>
  <c r="D192" i="120"/>
  <c r="I39" i="112"/>
  <c r="K39" i="112" s="1"/>
  <c r="F40" i="112" s="1"/>
  <c r="K252" i="120"/>
  <c r="F253" i="120" s="1"/>
  <c r="I253" i="120" s="1"/>
  <c r="K282" i="120"/>
  <c r="F283" i="120" s="1"/>
  <c r="I283" i="120" s="1"/>
  <c r="K190" i="120"/>
  <c r="F191" i="120" s="1"/>
  <c r="I191" i="120" s="1"/>
  <c r="K221" i="120"/>
  <c r="F222" i="120" s="1"/>
  <c r="I222" i="120" s="1"/>
  <c r="D129" i="120"/>
  <c r="E129" i="120"/>
  <c r="B71" i="120"/>
  <c r="A71" i="120"/>
  <c r="E44" i="120"/>
  <c r="C45" i="120"/>
  <c r="B45" i="120"/>
  <c r="D44" i="120"/>
  <c r="D97" i="120"/>
  <c r="E97" i="120"/>
  <c r="C41" i="112"/>
  <c r="E40" i="112"/>
  <c r="D40" i="112"/>
  <c r="B41" i="112"/>
  <c r="K342" i="120" l="1"/>
  <c r="F343" i="120" s="1"/>
  <c r="I343" i="120" s="1"/>
  <c r="K343" i="120" s="1"/>
  <c r="F344" i="120" s="1"/>
  <c r="I344" i="120" s="1"/>
  <c r="K372" i="120"/>
  <c r="F373" i="120" s="1"/>
  <c r="I373" i="120" s="1"/>
  <c r="K283" i="120"/>
  <c r="F284" i="120" s="1"/>
  <c r="I284" i="120" s="1"/>
  <c r="K253" i="120"/>
  <c r="F254" i="120" s="1"/>
  <c r="I254" i="120" s="1"/>
  <c r="K313" i="120"/>
  <c r="F314" i="120" s="1"/>
  <c r="I314" i="120" s="1"/>
  <c r="K159" i="120"/>
  <c r="F160" i="120" s="1"/>
  <c r="I160" i="120" s="1"/>
  <c r="K431" i="120"/>
  <c r="F432" i="120" s="1"/>
  <c r="I432" i="120" s="1"/>
  <c r="K222" i="120"/>
  <c r="F223" i="120" s="1"/>
  <c r="I223" i="120" s="1"/>
  <c r="I128" i="120"/>
  <c r="I95" i="120"/>
  <c r="B225" i="120"/>
  <c r="C225" i="120"/>
  <c r="E224" i="120"/>
  <c r="D98" i="120"/>
  <c r="B99" i="120"/>
  <c r="E98" i="120"/>
  <c r="C99" i="120"/>
  <c r="E375" i="120"/>
  <c r="B376" i="120"/>
  <c r="C376" i="120"/>
  <c r="D375" i="120"/>
  <c r="D433" i="120"/>
  <c r="D404" i="120"/>
  <c r="E404" i="120"/>
  <c r="D130" i="120"/>
  <c r="E130" i="120"/>
  <c r="C131" i="120"/>
  <c r="B131" i="120"/>
  <c r="B434" i="120"/>
  <c r="E433" i="120"/>
  <c r="C434" i="120"/>
  <c r="E434" i="120" s="1"/>
  <c r="D255" i="120"/>
  <c r="E255" i="120"/>
  <c r="B256" i="120"/>
  <c r="C256" i="120"/>
  <c r="E193" i="120"/>
  <c r="B194" i="120"/>
  <c r="C194" i="120"/>
  <c r="D193" i="120"/>
  <c r="D315" i="120"/>
  <c r="B316" i="120"/>
  <c r="C316" i="120"/>
  <c r="E315" i="120"/>
  <c r="B163" i="120"/>
  <c r="C163" i="120"/>
  <c r="D162" i="120"/>
  <c r="E162" i="120"/>
  <c r="D224" i="120"/>
  <c r="B286" i="120"/>
  <c r="E285" i="120"/>
  <c r="D285" i="120"/>
  <c r="C286" i="120"/>
  <c r="B346" i="120"/>
  <c r="E345" i="120"/>
  <c r="D345" i="120"/>
  <c r="C346" i="120"/>
  <c r="B405" i="120"/>
  <c r="C405" i="120"/>
  <c r="K191" i="120"/>
  <c r="F192" i="120" s="1"/>
  <c r="I192" i="120" s="1"/>
  <c r="A72" i="120"/>
  <c r="B72" i="120"/>
  <c r="E45" i="120"/>
  <c r="C46" i="120"/>
  <c r="D45" i="120"/>
  <c r="B46" i="120"/>
  <c r="I40" i="112"/>
  <c r="K40" i="112" s="1"/>
  <c r="F41" i="112" s="1"/>
  <c r="C42" i="112"/>
  <c r="B42" i="112"/>
  <c r="E41" i="112"/>
  <c r="D41" i="112"/>
  <c r="K160" i="120" l="1"/>
  <c r="F161" i="120" s="1"/>
  <c r="I161" i="120" s="1"/>
  <c r="D434" i="120"/>
  <c r="K128" i="120"/>
  <c r="F129" i="120" s="1"/>
  <c r="I129" i="120" s="1"/>
  <c r="K129" i="120" s="1"/>
  <c r="F130" i="120" s="1"/>
  <c r="I130" i="120" s="1"/>
  <c r="K95" i="120"/>
  <c r="F96" i="120" s="1"/>
  <c r="I96" i="120" s="1"/>
  <c r="K432" i="120"/>
  <c r="F433" i="120" s="1"/>
  <c r="I433" i="120" s="1"/>
  <c r="K314" i="120"/>
  <c r="F315" i="120" s="1"/>
  <c r="K373" i="120"/>
  <c r="F374" i="120" s="1"/>
  <c r="K344" i="120"/>
  <c r="F345" i="120" s="1"/>
  <c r="K254" i="120"/>
  <c r="F255" i="120" s="1"/>
  <c r="K284" i="120"/>
  <c r="F285" i="120" s="1"/>
  <c r="K192" i="120"/>
  <c r="F193" i="120" s="1"/>
  <c r="I193" i="120" s="1"/>
  <c r="K223" i="120"/>
  <c r="F224" i="120" s="1"/>
  <c r="I224" i="120" s="1"/>
  <c r="B164" i="120"/>
  <c r="C164" i="120"/>
  <c r="E163" i="120"/>
  <c r="D163" i="120"/>
  <c r="E376" i="120"/>
  <c r="D376" i="120"/>
  <c r="B347" i="120"/>
  <c r="D346" i="120"/>
  <c r="E346" i="120"/>
  <c r="C347" i="120"/>
  <c r="E131" i="120"/>
  <c r="D131" i="120"/>
  <c r="B132" i="120"/>
  <c r="C132" i="120"/>
  <c r="B287" i="120"/>
  <c r="C287" i="120"/>
  <c r="E286" i="120"/>
  <c r="D286" i="120"/>
  <c r="D256" i="120"/>
  <c r="E256" i="120"/>
  <c r="B257" i="120"/>
  <c r="C257" i="120"/>
  <c r="B195" i="120"/>
  <c r="C195" i="120"/>
  <c r="D194" i="120"/>
  <c r="E194" i="120"/>
  <c r="B226" i="120"/>
  <c r="C226" i="120"/>
  <c r="E225" i="120"/>
  <c r="D316" i="120"/>
  <c r="C317" i="120"/>
  <c r="E316" i="120"/>
  <c r="B317" i="120"/>
  <c r="E99" i="120"/>
  <c r="C100" i="120"/>
  <c r="D99" i="120"/>
  <c r="B100" i="120"/>
  <c r="D225" i="120"/>
  <c r="I41" i="112"/>
  <c r="K41" i="112" s="1"/>
  <c r="F42" i="112" s="1"/>
  <c r="B435" i="120"/>
  <c r="C435" i="120"/>
  <c r="C406" i="120"/>
  <c r="E405" i="120"/>
  <c r="D405" i="120"/>
  <c r="B406" i="120"/>
  <c r="B377" i="120"/>
  <c r="C377" i="120"/>
  <c r="A73" i="120"/>
  <c r="B73" i="120"/>
  <c r="E46" i="120"/>
  <c r="D46" i="120"/>
  <c r="C47" i="120"/>
  <c r="B47" i="120"/>
  <c r="D42" i="112"/>
  <c r="C43" i="112"/>
  <c r="B43" i="112"/>
  <c r="E42" i="112"/>
  <c r="J436" i="120" l="1"/>
  <c r="J446" i="120"/>
  <c r="J443" i="120"/>
  <c r="J445" i="120"/>
  <c r="J448" i="120"/>
  <c r="J439" i="120"/>
  <c r="J442" i="120"/>
  <c r="J441" i="120"/>
  <c r="J435" i="120"/>
  <c r="I450" i="120"/>
  <c r="J444" i="120"/>
  <c r="J433" i="120"/>
  <c r="K433" i="120" s="1"/>
  <c r="F434" i="120" s="1"/>
  <c r="G434" i="120" s="1"/>
  <c r="J449" i="120"/>
  <c r="J447" i="120"/>
  <c r="J438" i="120"/>
  <c r="J440" i="120"/>
  <c r="K161" i="120"/>
  <c r="F162" i="120" s="1"/>
  <c r="I162" i="120" s="1"/>
  <c r="J437" i="120"/>
  <c r="J434" i="120"/>
  <c r="I374" i="120"/>
  <c r="I345" i="120"/>
  <c r="I315" i="120"/>
  <c r="I285" i="120"/>
  <c r="I255" i="120"/>
  <c r="K193" i="120"/>
  <c r="F194" i="120" s="1"/>
  <c r="K224" i="120"/>
  <c r="F225" i="120" s="1"/>
  <c r="E257" i="120"/>
  <c r="D257" i="120"/>
  <c r="B348" i="120"/>
  <c r="C348" i="120"/>
  <c r="D347" i="120"/>
  <c r="E347" i="120"/>
  <c r="D226" i="120"/>
  <c r="E226" i="120"/>
  <c r="D132" i="120"/>
  <c r="B133" i="120"/>
  <c r="E132" i="120"/>
  <c r="C133" i="120"/>
  <c r="E195" i="120"/>
  <c r="B196" i="120"/>
  <c r="D195" i="120"/>
  <c r="C196" i="120"/>
  <c r="C165" i="120"/>
  <c r="D164" i="120"/>
  <c r="E164" i="120"/>
  <c r="B165" i="120"/>
  <c r="D100" i="120"/>
  <c r="E100" i="120"/>
  <c r="B101" i="120"/>
  <c r="C101" i="120"/>
  <c r="B318" i="120"/>
  <c r="C318" i="120"/>
  <c r="D317" i="120"/>
  <c r="E317" i="120"/>
  <c r="E287" i="120"/>
  <c r="D287" i="120"/>
  <c r="C288" i="120"/>
  <c r="B288" i="120"/>
  <c r="I42" i="112"/>
  <c r="K42" i="112" s="1"/>
  <c r="F43" i="112" s="1"/>
  <c r="K43" i="112" s="1"/>
  <c r="F44" i="112" s="1"/>
  <c r="K96" i="120"/>
  <c r="F97" i="120" s="1"/>
  <c r="D435" i="120"/>
  <c r="E435" i="120"/>
  <c r="C436" i="120"/>
  <c r="B436" i="120"/>
  <c r="D406" i="120"/>
  <c r="B407" i="120"/>
  <c r="E406" i="120"/>
  <c r="C407" i="120"/>
  <c r="D377" i="120"/>
  <c r="B378" i="120"/>
  <c r="E377" i="120"/>
  <c r="C378" i="120"/>
  <c r="C258" i="120"/>
  <c r="B258" i="120"/>
  <c r="B227" i="120"/>
  <c r="C227" i="120"/>
  <c r="B74" i="120"/>
  <c r="A74" i="120"/>
  <c r="E47" i="120"/>
  <c r="B48" i="120"/>
  <c r="D47" i="120"/>
  <c r="C48" i="120"/>
  <c r="E43" i="112"/>
  <c r="C44" i="112"/>
  <c r="E44" i="112" s="1"/>
  <c r="D43" i="112"/>
  <c r="B44" i="112"/>
  <c r="K162" i="120" l="1"/>
  <c r="F163" i="120" s="1"/>
  <c r="I163" i="120" s="1"/>
  <c r="J450" i="120"/>
  <c r="K434" i="120"/>
  <c r="F435" i="120" s="1"/>
  <c r="K435" i="120" s="1"/>
  <c r="F436" i="120" s="1"/>
  <c r="K374" i="120"/>
  <c r="F375" i="120" s="1"/>
  <c r="K345" i="120"/>
  <c r="F346" i="120" s="1"/>
  <c r="K315" i="120"/>
  <c r="F316" i="120" s="1"/>
  <c r="I316" i="120" s="1"/>
  <c r="J331" i="120" s="1"/>
  <c r="K285" i="120"/>
  <c r="F286" i="120" s="1"/>
  <c r="I286" i="120" s="1"/>
  <c r="J293" i="120" s="1"/>
  <c r="K255" i="120"/>
  <c r="F256" i="120" s="1"/>
  <c r="I256" i="120" s="1"/>
  <c r="J265" i="120" s="1"/>
  <c r="I225" i="120"/>
  <c r="I194" i="120"/>
  <c r="G43" i="112"/>
  <c r="I97" i="120"/>
  <c r="E348" i="120"/>
  <c r="D348" i="120"/>
  <c r="D318" i="120"/>
  <c r="E318" i="120"/>
  <c r="B166" i="120"/>
  <c r="E165" i="120"/>
  <c r="D165" i="120"/>
  <c r="C166" i="120"/>
  <c r="C197" i="120"/>
  <c r="E196" i="120"/>
  <c r="D196" i="120"/>
  <c r="B197" i="120"/>
  <c r="D288" i="120"/>
  <c r="E288" i="120"/>
  <c r="D101" i="120"/>
  <c r="E101" i="120"/>
  <c r="E133" i="120"/>
  <c r="C134" i="120"/>
  <c r="B134" i="120"/>
  <c r="D133" i="120"/>
  <c r="E436" i="120"/>
  <c r="C437" i="120"/>
  <c r="D436" i="120"/>
  <c r="B437" i="120"/>
  <c r="E407" i="120"/>
  <c r="C408" i="120"/>
  <c r="D407" i="120"/>
  <c r="B408" i="120"/>
  <c r="E378" i="120"/>
  <c r="C379" i="120"/>
  <c r="D378" i="120"/>
  <c r="B379" i="120"/>
  <c r="C349" i="120"/>
  <c r="B349" i="120"/>
  <c r="C319" i="120"/>
  <c r="B319" i="120"/>
  <c r="C289" i="120"/>
  <c r="B289" i="120"/>
  <c r="B259" i="120"/>
  <c r="E258" i="120"/>
  <c r="D258" i="120"/>
  <c r="C259" i="120"/>
  <c r="D227" i="120"/>
  <c r="B228" i="120"/>
  <c r="E227" i="120"/>
  <c r="C228" i="120"/>
  <c r="B75" i="120"/>
  <c r="A75" i="120"/>
  <c r="C102" i="120"/>
  <c r="B102" i="120"/>
  <c r="E48" i="120"/>
  <c r="B49" i="120"/>
  <c r="D48" i="120"/>
  <c r="C49" i="120"/>
  <c r="C45" i="112"/>
  <c r="E45" i="112" s="1"/>
  <c r="D44" i="112"/>
  <c r="B45" i="112"/>
  <c r="K44" i="112"/>
  <c r="F45" i="112" s="1"/>
  <c r="J301" i="120" l="1"/>
  <c r="J286" i="120"/>
  <c r="K286" i="120" s="1"/>
  <c r="F287" i="120" s="1"/>
  <c r="J288" i="120"/>
  <c r="J302" i="120"/>
  <c r="J319" i="120"/>
  <c r="J321" i="120"/>
  <c r="J322" i="120"/>
  <c r="J263" i="120"/>
  <c r="J262" i="120"/>
  <c r="J327" i="120"/>
  <c r="J326" i="120"/>
  <c r="J332" i="120"/>
  <c r="J269" i="120"/>
  <c r="J290" i="120"/>
  <c r="J289" i="120"/>
  <c r="J320" i="120"/>
  <c r="J325" i="120"/>
  <c r="J256" i="120"/>
  <c r="K256" i="120" s="1"/>
  <c r="F257" i="120" s="1"/>
  <c r="J316" i="120"/>
  <c r="K316" i="120" s="1"/>
  <c r="F317" i="120" s="1"/>
  <c r="I333" i="120"/>
  <c r="J324" i="120"/>
  <c r="I273" i="120"/>
  <c r="J299" i="120"/>
  <c r="J296" i="120"/>
  <c r="J259" i="120"/>
  <c r="J268" i="120"/>
  <c r="G435" i="120"/>
  <c r="J329" i="120"/>
  <c r="J318" i="120"/>
  <c r="J330" i="120"/>
  <c r="J270" i="120"/>
  <c r="J260" i="120"/>
  <c r="J267" i="120"/>
  <c r="J272" i="120"/>
  <c r="J298" i="120"/>
  <c r="J294" i="120"/>
  <c r="J292" i="120"/>
  <c r="J300" i="120"/>
  <c r="J291" i="120"/>
  <c r="J258" i="120"/>
  <c r="J257" i="120"/>
  <c r="J264" i="120"/>
  <c r="J271" i="120"/>
  <c r="J266" i="120"/>
  <c r="J261" i="120"/>
  <c r="I303" i="120"/>
  <c r="J295" i="120"/>
  <c r="J287" i="120"/>
  <c r="J297" i="120"/>
  <c r="K97" i="120"/>
  <c r="F98" i="120" s="1"/>
  <c r="I98" i="120" s="1"/>
  <c r="J328" i="120"/>
  <c r="J317" i="120"/>
  <c r="J323" i="120"/>
  <c r="I375" i="120"/>
  <c r="I346" i="120"/>
  <c r="K225" i="120"/>
  <c r="F226" i="120" s="1"/>
  <c r="I226" i="120" s="1"/>
  <c r="I243" i="120" s="1"/>
  <c r="K194" i="120"/>
  <c r="F195" i="120" s="1"/>
  <c r="I195" i="120" s="1"/>
  <c r="J201" i="120" s="1"/>
  <c r="K163" i="120"/>
  <c r="F164" i="120" s="1"/>
  <c r="I164" i="120" s="1"/>
  <c r="J180" i="120" s="1"/>
  <c r="E134" i="120"/>
  <c r="D134" i="120"/>
  <c r="B135" i="120"/>
  <c r="C135" i="120"/>
  <c r="E197" i="120"/>
  <c r="D197" i="120"/>
  <c r="E166" i="120"/>
  <c r="D166" i="120"/>
  <c r="B167" i="120"/>
  <c r="C167" i="120"/>
  <c r="G436" i="120"/>
  <c r="K436" i="120"/>
  <c r="F437" i="120" s="1"/>
  <c r="E437" i="120"/>
  <c r="C438" i="120"/>
  <c r="D437" i="120"/>
  <c r="B438" i="120"/>
  <c r="E408" i="120"/>
  <c r="C409" i="120"/>
  <c r="D408" i="120"/>
  <c r="B409" i="120"/>
  <c r="E379" i="120"/>
  <c r="C380" i="120"/>
  <c r="D379" i="120"/>
  <c r="B380" i="120"/>
  <c r="B350" i="120"/>
  <c r="E349" i="120"/>
  <c r="C350" i="120"/>
  <c r="D349" i="120"/>
  <c r="E319" i="120"/>
  <c r="C320" i="120"/>
  <c r="D319" i="120"/>
  <c r="B320" i="120"/>
  <c r="D289" i="120"/>
  <c r="C290" i="120"/>
  <c r="E289" i="120"/>
  <c r="B290" i="120"/>
  <c r="E259" i="120"/>
  <c r="C260" i="120"/>
  <c r="B260" i="120"/>
  <c r="D259" i="120"/>
  <c r="B229" i="120"/>
  <c r="E228" i="120"/>
  <c r="C229" i="120"/>
  <c r="D228" i="120"/>
  <c r="B198" i="120"/>
  <c r="C198" i="120"/>
  <c r="B76" i="120"/>
  <c r="A76" i="120"/>
  <c r="E49" i="120"/>
  <c r="D49" i="120"/>
  <c r="C50" i="120"/>
  <c r="B50" i="120"/>
  <c r="E102" i="120"/>
  <c r="B103" i="120"/>
  <c r="D102" i="120"/>
  <c r="C103" i="120"/>
  <c r="G44" i="112"/>
  <c r="K45" i="112"/>
  <c r="F46" i="112" s="1"/>
  <c r="B46" i="112"/>
  <c r="C46" i="112"/>
  <c r="E46" i="112" s="1"/>
  <c r="D45" i="112"/>
  <c r="G45" i="112" s="1"/>
  <c r="J199" i="120" l="1"/>
  <c r="J205" i="120"/>
  <c r="J333" i="120"/>
  <c r="J207" i="120"/>
  <c r="J211" i="120"/>
  <c r="J210" i="120"/>
  <c r="J206" i="120"/>
  <c r="J203" i="120"/>
  <c r="I181" i="120"/>
  <c r="J169" i="120"/>
  <c r="J200" i="120"/>
  <c r="J198" i="120"/>
  <c r="J197" i="120"/>
  <c r="J196" i="120"/>
  <c r="J176" i="120"/>
  <c r="J167" i="120"/>
  <c r="J273" i="120"/>
  <c r="J303" i="120"/>
  <c r="J178" i="120"/>
  <c r="J171" i="120"/>
  <c r="J209" i="120"/>
  <c r="J202" i="120"/>
  <c r="J204" i="120"/>
  <c r="J166" i="120"/>
  <c r="J170" i="120"/>
  <c r="J242" i="120"/>
  <c r="J229" i="120"/>
  <c r="J230" i="120"/>
  <c r="J233" i="120"/>
  <c r="J241" i="120"/>
  <c r="J240" i="120"/>
  <c r="J232" i="120"/>
  <c r="J208" i="120"/>
  <c r="J195" i="120"/>
  <c r="I212" i="120"/>
  <c r="J177" i="120"/>
  <c r="J168" i="120"/>
  <c r="J173" i="120"/>
  <c r="J172" i="120"/>
  <c r="J174" i="120"/>
  <c r="J227" i="120"/>
  <c r="J237" i="120"/>
  <c r="J236" i="120"/>
  <c r="J239" i="120"/>
  <c r="J228" i="120"/>
  <c r="J238" i="120"/>
  <c r="J226" i="120"/>
  <c r="K226" i="120" s="1"/>
  <c r="F227" i="120" s="1"/>
  <c r="J231" i="120"/>
  <c r="J234" i="120"/>
  <c r="J235" i="120"/>
  <c r="J175" i="120"/>
  <c r="J179" i="120"/>
  <c r="J165" i="120"/>
  <c r="J164" i="120"/>
  <c r="J346" i="120"/>
  <c r="J351" i="120"/>
  <c r="J348" i="120"/>
  <c r="J361" i="120"/>
  <c r="J347" i="120"/>
  <c r="J360" i="120"/>
  <c r="J355" i="120"/>
  <c r="J350" i="120"/>
  <c r="J352" i="120"/>
  <c r="I363" i="120"/>
  <c r="J362" i="120"/>
  <c r="J356" i="120"/>
  <c r="J353" i="120"/>
  <c r="J349" i="120"/>
  <c r="J358" i="120"/>
  <c r="J354" i="120"/>
  <c r="J357" i="120"/>
  <c r="J359" i="120"/>
  <c r="J385" i="120"/>
  <c r="J379" i="120"/>
  <c r="J384" i="120"/>
  <c r="J377" i="120"/>
  <c r="J391" i="120"/>
  <c r="J388" i="120"/>
  <c r="I392" i="120"/>
  <c r="J387" i="120"/>
  <c r="J381" i="120"/>
  <c r="J382" i="120"/>
  <c r="J390" i="120"/>
  <c r="J378" i="120"/>
  <c r="J375" i="120"/>
  <c r="K375" i="120" s="1"/>
  <c r="F376" i="120" s="1"/>
  <c r="J386" i="120"/>
  <c r="J380" i="120"/>
  <c r="J383" i="120"/>
  <c r="J389" i="120"/>
  <c r="J376" i="120"/>
  <c r="K346" i="120"/>
  <c r="F347" i="120" s="1"/>
  <c r="K317" i="120"/>
  <c r="F318" i="120" s="1"/>
  <c r="G317" i="120"/>
  <c r="K287" i="120"/>
  <c r="F288" i="120" s="1"/>
  <c r="G287" i="120"/>
  <c r="K257" i="120"/>
  <c r="F258" i="120" s="1"/>
  <c r="G257" i="120"/>
  <c r="K164" i="120"/>
  <c r="F165" i="120" s="1"/>
  <c r="B168" i="120"/>
  <c r="D167" i="120"/>
  <c r="E167" i="120"/>
  <c r="C168" i="120"/>
  <c r="D135" i="120"/>
  <c r="E135" i="120"/>
  <c r="E438" i="120"/>
  <c r="D438" i="120"/>
  <c r="C439" i="120"/>
  <c r="B439" i="120"/>
  <c r="K437" i="120"/>
  <c r="F438" i="120" s="1"/>
  <c r="G437" i="120"/>
  <c r="E409" i="120"/>
  <c r="C410" i="120"/>
  <c r="D409" i="120"/>
  <c r="B410" i="120"/>
  <c r="C381" i="120"/>
  <c r="E380" i="120"/>
  <c r="D380" i="120"/>
  <c r="B381" i="120"/>
  <c r="E350" i="120"/>
  <c r="C351" i="120"/>
  <c r="D350" i="120"/>
  <c r="B351" i="120"/>
  <c r="C321" i="120"/>
  <c r="E320" i="120"/>
  <c r="D320" i="120"/>
  <c r="B321" i="120"/>
  <c r="E290" i="120"/>
  <c r="B291" i="120"/>
  <c r="C291" i="120"/>
  <c r="D290" i="120"/>
  <c r="E260" i="120"/>
  <c r="C261" i="120"/>
  <c r="D260" i="120"/>
  <c r="B261" i="120"/>
  <c r="E229" i="120"/>
  <c r="C230" i="120"/>
  <c r="D229" i="120"/>
  <c r="B230" i="120"/>
  <c r="B199" i="120"/>
  <c r="E198" i="120"/>
  <c r="C199" i="120"/>
  <c r="D198" i="120"/>
  <c r="B136" i="120"/>
  <c r="C136" i="120"/>
  <c r="A77" i="120"/>
  <c r="B77" i="120"/>
  <c r="E50" i="120"/>
  <c r="C51" i="120"/>
  <c r="B51" i="120"/>
  <c r="D50" i="120"/>
  <c r="E103" i="120"/>
  <c r="C104" i="120"/>
  <c r="D103" i="120"/>
  <c r="B104" i="120"/>
  <c r="C47" i="112"/>
  <c r="E47" i="112" s="1"/>
  <c r="D46" i="112"/>
  <c r="B47" i="112"/>
  <c r="K46" i="112"/>
  <c r="F47" i="112" s="1"/>
  <c r="J181" i="120" l="1"/>
  <c r="J212" i="120"/>
  <c r="K195" i="120"/>
  <c r="F196" i="120" s="1"/>
  <c r="G196" i="120" s="1"/>
  <c r="J243" i="120"/>
  <c r="J392" i="120"/>
  <c r="J363" i="120"/>
  <c r="K376" i="120"/>
  <c r="F377" i="120" s="1"/>
  <c r="G376" i="120"/>
  <c r="K347" i="120"/>
  <c r="F348" i="120" s="1"/>
  <c r="G347" i="120"/>
  <c r="K318" i="120"/>
  <c r="F319" i="120" s="1"/>
  <c r="G318" i="120"/>
  <c r="K288" i="120"/>
  <c r="F289" i="120" s="1"/>
  <c r="G288" i="120"/>
  <c r="K258" i="120"/>
  <c r="F259" i="120" s="1"/>
  <c r="G258" i="120"/>
  <c r="K227" i="120"/>
  <c r="F228" i="120" s="1"/>
  <c r="G227" i="120"/>
  <c r="K196" i="120"/>
  <c r="F197" i="120" s="1"/>
  <c r="K165" i="120"/>
  <c r="F166" i="120" s="1"/>
  <c r="G165" i="120"/>
  <c r="K98" i="120"/>
  <c r="F99" i="120" s="1"/>
  <c r="C169" i="120"/>
  <c r="B169" i="120"/>
  <c r="D168" i="120"/>
  <c r="E168" i="120"/>
  <c r="K438" i="120"/>
  <c r="F439" i="120" s="1"/>
  <c r="G438" i="120"/>
  <c r="C440" i="120"/>
  <c r="D439" i="120"/>
  <c r="B440" i="120"/>
  <c r="E439" i="120"/>
  <c r="C411" i="120"/>
  <c r="D410" i="120"/>
  <c r="B411" i="120"/>
  <c r="E410" i="120"/>
  <c r="E381" i="120"/>
  <c r="C382" i="120"/>
  <c r="B382" i="120"/>
  <c r="D381" i="120"/>
  <c r="E351" i="120"/>
  <c r="C352" i="120"/>
  <c r="D351" i="120"/>
  <c r="B352" i="120"/>
  <c r="E321" i="120"/>
  <c r="D321" i="120"/>
  <c r="C322" i="120"/>
  <c r="B322" i="120"/>
  <c r="E291" i="120"/>
  <c r="C292" i="120"/>
  <c r="D291" i="120"/>
  <c r="B292" i="120"/>
  <c r="E261" i="120"/>
  <c r="C262" i="120"/>
  <c r="D261" i="120"/>
  <c r="B262" i="120"/>
  <c r="D230" i="120"/>
  <c r="E230" i="120"/>
  <c r="C231" i="120"/>
  <c r="B231" i="120"/>
  <c r="E199" i="120"/>
  <c r="C200" i="120"/>
  <c r="D199" i="120"/>
  <c r="B200" i="120"/>
  <c r="E136" i="120"/>
  <c r="C137" i="120"/>
  <c r="D136" i="120"/>
  <c r="B137" i="120"/>
  <c r="A78" i="120"/>
  <c r="B78" i="120"/>
  <c r="E51" i="120"/>
  <c r="C52" i="120"/>
  <c r="B52" i="120"/>
  <c r="D51" i="120"/>
  <c r="C105" i="120"/>
  <c r="D104" i="120"/>
  <c r="B105" i="120"/>
  <c r="E104" i="120"/>
  <c r="G46" i="112"/>
  <c r="K47" i="112"/>
  <c r="F48" i="112" s="1"/>
  <c r="D47" i="112"/>
  <c r="G47" i="112" s="1"/>
  <c r="C48" i="112"/>
  <c r="E48" i="112" s="1"/>
  <c r="B48" i="112"/>
  <c r="K377" i="120" l="1"/>
  <c r="F378" i="120" s="1"/>
  <c r="G377" i="120"/>
  <c r="K348" i="120"/>
  <c r="F349" i="120" s="1"/>
  <c r="G348" i="120"/>
  <c r="K319" i="120"/>
  <c r="F320" i="120" s="1"/>
  <c r="G319" i="120"/>
  <c r="K289" i="120"/>
  <c r="F290" i="120" s="1"/>
  <c r="G289" i="120"/>
  <c r="K259" i="120"/>
  <c r="F260" i="120" s="1"/>
  <c r="G259" i="120"/>
  <c r="K228" i="120"/>
  <c r="F229" i="120" s="1"/>
  <c r="G228" i="120"/>
  <c r="K197" i="120"/>
  <c r="F198" i="120" s="1"/>
  <c r="G197" i="120"/>
  <c r="K166" i="120"/>
  <c r="F167" i="120" s="1"/>
  <c r="G166" i="120"/>
  <c r="I99" i="120"/>
  <c r="D169" i="120"/>
  <c r="E169" i="120"/>
  <c r="B441" i="120"/>
  <c r="D440" i="120"/>
  <c r="E440" i="120"/>
  <c r="C441" i="120"/>
  <c r="K439" i="120"/>
  <c r="F440" i="120" s="1"/>
  <c r="G439" i="120"/>
  <c r="B412" i="120"/>
  <c r="D411" i="120"/>
  <c r="E411" i="120"/>
  <c r="C412" i="120"/>
  <c r="C383" i="120"/>
  <c r="D382" i="120"/>
  <c r="B383" i="120"/>
  <c r="E382" i="120"/>
  <c r="C353" i="120"/>
  <c r="D352" i="120"/>
  <c r="E352" i="120"/>
  <c r="B353" i="120"/>
  <c r="C323" i="120"/>
  <c r="D322" i="120"/>
  <c r="B323" i="120"/>
  <c r="E322" i="120"/>
  <c r="C293" i="120"/>
  <c r="D292" i="120"/>
  <c r="B293" i="120"/>
  <c r="E292" i="120"/>
  <c r="E262" i="120"/>
  <c r="C263" i="120"/>
  <c r="D262" i="120"/>
  <c r="B263" i="120"/>
  <c r="E231" i="120"/>
  <c r="C232" i="120"/>
  <c r="D231" i="120"/>
  <c r="B232" i="120"/>
  <c r="E200" i="120"/>
  <c r="D200" i="120"/>
  <c r="C201" i="120"/>
  <c r="B201" i="120"/>
  <c r="C170" i="120"/>
  <c r="B170" i="120"/>
  <c r="E137" i="120"/>
  <c r="C138" i="120"/>
  <c r="D137" i="120"/>
  <c r="B138" i="120"/>
  <c r="B79" i="120"/>
  <c r="A79" i="120"/>
  <c r="B106" i="120"/>
  <c r="D105" i="120"/>
  <c r="C106" i="120"/>
  <c r="E105" i="120"/>
  <c r="E52" i="120"/>
  <c r="C53" i="120"/>
  <c r="B53" i="120"/>
  <c r="D52" i="120"/>
  <c r="C49" i="112"/>
  <c r="E49" i="112" s="1"/>
  <c r="B49" i="112"/>
  <c r="D48" i="112"/>
  <c r="G48" i="112" s="1"/>
  <c r="K48" i="112"/>
  <c r="F49" i="112" s="1"/>
  <c r="K99" i="120" l="1"/>
  <c r="F100" i="120" s="1"/>
  <c r="I100" i="120" s="1"/>
  <c r="K378" i="120"/>
  <c r="F379" i="120" s="1"/>
  <c r="G378" i="120"/>
  <c r="K349" i="120"/>
  <c r="F350" i="120" s="1"/>
  <c r="G349" i="120"/>
  <c r="K320" i="120"/>
  <c r="F321" i="120" s="1"/>
  <c r="G320" i="120"/>
  <c r="K290" i="120"/>
  <c r="F291" i="120" s="1"/>
  <c r="G290" i="120"/>
  <c r="K260" i="120"/>
  <c r="F261" i="120" s="1"/>
  <c r="G260" i="120"/>
  <c r="K229" i="120"/>
  <c r="F230" i="120" s="1"/>
  <c r="G229" i="120"/>
  <c r="K198" i="120"/>
  <c r="F199" i="120" s="1"/>
  <c r="G198" i="120"/>
  <c r="K167" i="120"/>
  <c r="F168" i="120" s="1"/>
  <c r="G167" i="120"/>
  <c r="K440" i="120"/>
  <c r="F441" i="120" s="1"/>
  <c r="G440" i="120"/>
  <c r="E441" i="120"/>
  <c r="D441" i="120"/>
  <c r="C442" i="120"/>
  <c r="B442" i="120"/>
  <c r="C413" i="120"/>
  <c r="E412" i="120"/>
  <c r="D412" i="120"/>
  <c r="B413" i="120"/>
  <c r="B384" i="120"/>
  <c r="E383" i="120"/>
  <c r="C384" i="120"/>
  <c r="D383" i="120"/>
  <c r="B354" i="120"/>
  <c r="C354" i="120"/>
  <c r="D353" i="120"/>
  <c r="E353" i="120"/>
  <c r="B324" i="120"/>
  <c r="C324" i="120"/>
  <c r="E323" i="120"/>
  <c r="D323" i="120"/>
  <c r="B294" i="120"/>
  <c r="E293" i="120"/>
  <c r="C294" i="120"/>
  <c r="D293" i="120"/>
  <c r="C264" i="120"/>
  <c r="D263" i="120"/>
  <c r="B264" i="120"/>
  <c r="E263" i="120"/>
  <c r="C233" i="120"/>
  <c r="D232" i="120"/>
  <c r="B233" i="120"/>
  <c r="E232" i="120"/>
  <c r="C202" i="120"/>
  <c r="D201" i="120"/>
  <c r="B202" i="120"/>
  <c r="E201" i="120"/>
  <c r="E170" i="120"/>
  <c r="C171" i="120"/>
  <c r="D170" i="120"/>
  <c r="B171" i="120"/>
  <c r="E138" i="120"/>
  <c r="C139" i="120"/>
  <c r="D138" i="120"/>
  <c r="B139" i="120"/>
  <c r="A80" i="120"/>
  <c r="B80" i="120"/>
  <c r="E53" i="120"/>
  <c r="C54" i="120"/>
  <c r="D53" i="120"/>
  <c r="B54" i="120"/>
  <c r="C107" i="120"/>
  <c r="B107" i="120"/>
  <c r="E106" i="120"/>
  <c r="D106" i="120"/>
  <c r="C50" i="112"/>
  <c r="E50" i="112" s="1"/>
  <c r="D49" i="112"/>
  <c r="B50" i="112"/>
  <c r="K49" i="112"/>
  <c r="F50" i="112" s="1"/>
  <c r="K379" i="120" l="1"/>
  <c r="F380" i="120" s="1"/>
  <c r="G379" i="120"/>
  <c r="K350" i="120"/>
  <c r="F351" i="120" s="1"/>
  <c r="G350" i="120"/>
  <c r="K321" i="120"/>
  <c r="F322" i="120" s="1"/>
  <c r="G321" i="120"/>
  <c r="K291" i="120"/>
  <c r="F292" i="120" s="1"/>
  <c r="G291" i="120"/>
  <c r="K261" i="120"/>
  <c r="F262" i="120" s="1"/>
  <c r="G261" i="120"/>
  <c r="K230" i="120"/>
  <c r="F231" i="120" s="1"/>
  <c r="G230" i="120"/>
  <c r="K199" i="120"/>
  <c r="F200" i="120" s="1"/>
  <c r="G199" i="120"/>
  <c r="K168" i="120"/>
  <c r="F169" i="120" s="1"/>
  <c r="G168" i="120"/>
  <c r="K100" i="120"/>
  <c r="F101" i="120" s="1"/>
  <c r="I101" i="120" s="1"/>
  <c r="J105" i="120" s="1"/>
  <c r="D442" i="120"/>
  <c r="E442" i="120"/>
  <c r="C443" i="120"/>
  <c r="B443" i="120"/>
  <c r="K441" i="120"/>
  <c r="F442" i="120" s="1"/>
  <c r="G441" i="120"/>
  <c r="C414" i="120"/>
  <c r="B414" i="120"/>
  <c r="E413" i="120"/>
  <c r="D413" i="120"/>
  <c r="D384" i="120"/>
  <c r="B385" i="120"/>
  <c r="E384" i="120"/>
  <c r="C385" i="120"/>
  <c r="C355" i="120"/>
  <c r="D354" i="120"/>
  <c r="E354" i="120"/>
  <c r="B355" i="120"/>
  <c r="C325" i="120"/>
  <c r="B325" i="120"/>
  <c r="E324" i="120"/>
  <c r="D324" i="120"/>
  <c r="E294" i="120"/>
  <c r="D294" i="120"/>
  <c r="B295" i="120"/>
  <c r="C295" i="120"/>
  <c r="B265" i="120"/>
  <c r="C265" i="120"/>
  <c r="E264" i="120"/>
  <c r="D264" i="120"/>
  <c r="B234" i="120"/>
  <c r="C234" i="120"/>
  <c r="E233" i="120"/>
  <c r="D233" i="120"/>
  <c r="B203" i="120"/>
  <c r="D202" i="120"/>
  <c r="E202" i="120"/>
  <c r="C203" i="120"/>
  <c r="C172" i="120"/>
  <c r="D171" i="120"/>
  <c r="B172" i="120"/>
  <c r="E171" i="120"/>
  <c r="C140" i="120"/>
  <c r="D139" i="120"/>
  <c r="B140" i="120"/>
  <c r="E139" i="120"/>
  <c r="A81" i="120"/>
  <c r="B81" i="120"/>
  <c r="E54" i="120"/>
  <c r="D54" i="120"/>
  <c r="C55" i="120"/>
  <c r="B55" i="120"/>
  <c r="E107" i="120"/>
  <c r="C108" i="120"/>
  <c r="D107" i="120"/>
  <c r="B108" i="120"/>
  <c r="G49" i="112"/>
  <c r="K50" i="112"/>
  <c r="F51" i="112" s="1"/>
  <c r="C51" i="112"/>
  <c r="E51" i="112" s="1"/>
  <c r="D50" i="112"/>
  <c r="G50" i="112" s="1"/>
  <c r="B51" i="112"/>
  <c r="J110" i="120" l="1"/>
  <c r="I118" i="120"/>
  <c r="J112" i="120"/>
  <c r="J106" i="120"/>
  <c r="J114" i="120"/>
  <c r="J104" i="120"/>
  <c r="J103" i="120"/>
  <c r="J101" i="120"/>
  <c r="K101" i="120" s="1"/>
  <c r="F102" i="120" s="1"/>
  <c r="J111" i="120"/>
  <c r="J115" i="120"/>
  <c r="J102" i="120"/>
  <c r="J107" i="120"/>
  <c r="J113" i="120"/>
  <c r="J117" i="120"/>
  <c r="J109" i="120"/>
  <c r="J116" i="120"/>
  <c r="J108" i="120"/>
  <c r="K380" i="120"/>
  <c r="F381" i="120" s="1"/>
  <c r="G380" i="120"/>
  <c r="K351" i="120"/>
  <c r="F352" i="120" s="1"/>
  <c r="G351" i="120"/>
  <c r="K322" i="120"/>
  <c r="F323" i="120" s="1"/>
  <c r="G322" i="120"/>
  <c r="K292" i="120"/>
  <c r="F293" i="120" s="1"/>
  <c r="G292" i="120"/>
  <c r="K262" i="120"/>
  <c r="F263" i="120" s="1"/>
  <c r="G262" i="120"/>
  <c r="K231" i="120"/>
  <c r="F232" i="120" s="1"/>
  <c r="G231" i="120"/>
  <c r="K200" i="120"/>
  <c r="F201" i="120" s="1"/>
  <c r="G200" i="120"/>
  <c r="K169" i="120"/>
  <c r="F170" i="120" s="1"/>
  <c r="G169" i="120"/>
  <c r="G442" i="120"/>
  <c r="K442" i="120"/>
  <c r="F443" i="120" s="1"/>
  <c r="B444" i="120"/>
  <c r="E443" i="120"/>
  <c r="C444" i="120"/>
  <c r="D443" i="120"/>
  <c r="C415" i="120"/>
  <c r="B415" i="120"/>
  <c r="E414" i="120"/>
  <c r="D414" i="120"/>
  <c r="C386" i="120"/>
  <c r="B386" i="120"/>
  <c r="E385" i="120"/>
  <c r="D385" i="120"/>
  <c r="E355" i="120"/>
  <c r="D355" i="120"/>
  <c r="C356" i="120"/>
  <c r="B356" i="120"/>
  <c r="D325" i="120"/>
  <c r="E325" i="120"/>
  <c r="C326" i="120"/>
  <c r="B326" i="120"/>
  <c r="E295" i="120"/>
  <c r="B296" i="120"/>
  <c r="C296" i="120"/>
  <c r="D295" i="120"/>
  <c r="D265" i="120"/>
  <c r="C266" i="120"/>
  <c r="B266" i="120"/>
  <c r="E265" i="120"/>
  <c r="D234" i="120"/>
  <c r="E234" i="120"/>
  <c r="C235" i="120"/>
  <c r="B235" i="120"/>
  <c r="E203" i="120"/>
  <c r="C204" i="120"/>
  <c r="B204" i="120"/>
  <c r="D203" i="120"/>
  <c r="B173" i="120"/>
  <c r="C173" i="120"/>
  <c r="E172" i="120"/>
  <c r="D172" i="120"/>
  <c r="B141" i="120"/>
  <c r="D140" i="120"/>
  <c r="E140" i="120"/>
  <c r="C141" i="120"/>
  <c r="B82" i="120"/>
  <c r="A82" i="120"/>
  <c r="E55" i="120"/>
  <c r="B56" i="120"/>
  <c r="D55" i="120"/>
  <c r="C56" i="120"/>
  <c r="E108" i="120"/>
  <c r="C109" i="120"/>
  <c r="D108" i="120"/>
  <c r="B109" i="120"/>
  <c r="C52" i="112"/>
  <c r="E52" i="112" s="1"/>
  <c r="D51" i="112"/>
  <c r="B52" i="112"/>
  <c r="K51" i="112"/>
  <c r="F52" i="112" s="1"/>
  <c r="G102" i="120" l="1"/>
  <c r="K102" i="120"/>
  <c r="F103" i="120" s="1"/>
  <c r="J118" i="120"/>
  <c r="K381" i="120"/>
  <c r="F382" i="120" s="1"/>
  <c r="G381" i="120"/>
  <c r="K352" i="120"/>
  <c r="F353" i="120" s="1"/>
  <c r="G352" i="120"/>
  <c r="K323" i="120"/>
  <c r="F324" i="120" s="1"/>
  <c r="G323" i="120"/>
  <c r="K293" i="120"/>
  <c r="F294" i="120" s="1"/>
  <c r="G293" i="120"/>
  <c r="K263" i="120"/>
  <c r="F264" i="120" s="1"/>
  <c r="G263" i="120"/>
  <c r="K232" i="120"/>
  <c r="F233" i="120" s="1"/>
  <c r="G232" i="120"/>
  <c r="K201" i="120"/>
  <c r="F202" i="120" s="1"/>
  <c r="G201" i="120"/>
  <c r="G170" i="120"/>
  <c r="K170" i="120"/>
  <c r="F171" i="120" s="1"/>
  <c r="E444" i="120"/>
  <c r="C445" i="120"/>
  <c r="D444" i="120"/>
  <c r="B445" i="120"/>
  <c r="G443" i="120"/>
  <c r="K443" i="120"/>
  <c r="F444" i="120" s="1"/>
  <c r="E415" i="120"/>
  <c r="C416" i="120"/>
  <c r="D415" i="120"/>
  <c r="B416" i="120"/>
  <c r="E386" i="120"/>
  <c r="B387" i="120"/>
  <c r="C387" i="120"/>
  <c r="D386" i="120"/>
  <c r="D356" i="120"/>
  <c r="B357" i="120"/>
  <c r="E356" i="120"/>
  <c r="C357" i="120"/>
  <c r="E326" i="120"/>
  <c r="C327" i="120"/>
  <c r="D326" i="120"/>
  <c r="B327" i="120"/>
  <c r="E296" i="120"/>
  <c r="C297" i="120"/>
  <c r="D296" i="120"/>
  <c r="B297" i="120"/>
  <c r="E266" i="120"/>
  <c r="D266" i="120"/>
  <c r="C267" i="120"/>
  <c r="B267" i="120"/>
  <c r="D235" i="120"/>
  <c r="E235" i="120"/>
  <c r="C236" i="120"/>
  <c r="B236" i="120"/>
  <c r="D204" i="120"/>
  <c r="B205" i="120"/>
  <c r="E204" i="120"/>
  <c r="C205" i="120"/>
  <c r="E173" i="120"/>
  <c r="C174" i="120"/>
  <c r="D173" i="120"/>
  <c r="B174" i="120"/>
  <c r="C142" i="120"/>
  <c r="B142" i="120"/>
  <c r="E141" i="120"/>
  <c r="D141" i="120"/>
  <c r="B83" i="120"/>
  <c r="A83" i="120"/>
  <c r="C110" i="120"/>
  <c r="D109" i="120"/>
  <c r="B110" i="120"/>
  <c r="E109" i="120"/>
  <c r="E56" i="120"/>
  <c r="B57" i="120"/>
  <c r="D56" i="120"/>
  <c r="C57" i="120"/>
  <c r="G51" i="112"/>
  <c r="K52" i="112"/>
  <c r="F53" i="112" s="1"/>
  <c r="C53" i="112"/>
  <c r="E53" i="112" s="1"/>
  <c r="D52" i="112"/>
  <c r="G52" i="112" s="1"/>
  <c r="B53" i="112"/>
  <c r="G103" i="120" l="1"/>
  <c r="K103" i="120"/>
  <c r="F104" i="120" s="1"/>
  <c r="K382" i="120"/>
  <c r="F383" i="120" s="1"/>
  <c r="G382" i="120"/>
  <c r="K353" i="120"/>
  <c r="F354" i="120" s="1"/>
  <c r="G353" i="120"/>
  <c r="K324" i="120"/>
  <c r="F325" i="120" s="1"/>
  <c r="G324" i="120"/>
  <c r="K294" i="120"/>
  <c r="F295" i="120" s="1"/>
  <c r="G294" i="120"/>
  <c r="K264" i="120"/>
  <c r="F265" i="120" s="1"/>
  <c r="G264" i="120"/>
  <c r="K233" i="120"/>
  <c r="F234" i="120" s="1"/>
  <c r="G233" i="120"/>
  <c r="K202" i="120"/>
  <c r="F203" i="120" s="1"/>
  <c r="G202" i="120"/>
  <c r="G171" i="120"/>
  <c r="K171" i="120"/>
  <c r="F172" i="120" s="1"/>
  <c r="G444" i="120"/>
  <c r="K444" i="120"/>
  <c r="F445" i="120" s="1"/>
  <c r="E445" i="120"/>
  <c r="C446" i="120"/>
  <c r="D445" i="120"/>
  <c r="B446" i="120"/>
  <c r="E416" i="120"/>
  <c r="C417" i="120"/>
  <c r="D416" i="120"/>
  <c r="B417" i="120"/>
  <c r="E387" i="120"/>
  <c r="C388" i="120"/>
  <c r="D387" i="120"/>
  <c r="B388" i="120"/>
  <c r="B358" i="120"/>
  <c r="E357" i="120"/>
  <c r="C358" i="120"/>
  <c r="D357" i="120"/>
  <c r="E327" i="120"/>
  <c r="C328" i="120"/>
  <c r="D327" i="120"/>
  <c r="B328" i="120"/>
  <c r="C298" i="120"/>
  <c r="D297" i="120"/>
  <c r="E297" i="120"/>
  <c r="B298" i="120"/>
  <c r="E267" i="120"/>
  <c r="D267" i="120"/>
  <c r="C268" i="120"/>
  <c r="B268" i="120"/>
  <c r="B237" i="120"/>
  <c r="E236" i="120"/>
  <c r="C237" i="120"/>
  <c r="D236" i="120"/>
  <c r="B206" i="120"/>
  <c r="E205" i="120"/>
  <c r="C206" i="120"/>
  <c r="D205" i="120"/>
  <c r="E174" i="120"/>
  <c r="D174" i="120"/>
  <c r="B175" i="120"/>
  <c r="C175" i="120"/>
  <c r="C143" i="120"/>
  <c r="D142" i="120"/>
  <c r="E142" i="120"/>
  <c r="B143" i="120"/>
  <c r="B84" i="120"/>
  <c r="A84" i="120"/>
  <c r="B58" i="120"/>
  <c r="C58" i="120"/>
  <c r="E57" i="120"/>
  <c r="D57" i="120"/>
  <c r="E110" i="120"/>
  <c r="B111" i="120"/>
  <c r="C111" i="120"/>
  <c r="D110" i="120"/>
  <c r="B54" i="112"/>
  <c r="C54" i="112"/>
  <c r="E54" i="112" s="1"/>
  <c r="D53" i="112"/>
  <c r="G53" i="112" s="1"/>
  <c r="K53" i="112"/>
  <c r="F54" i="112" s="1"/>
  <c r="G104" i="120" l="1"/>
  <c r="K104" i="120"/>
  <c r="F105" i="120" s="1"/>
  <c r="K383" i="120"/>
  <c r="F384" i="120" s="1"/>
  <c r="G383" i="120"/>
  <c r="K354" i="120"/>
  <c r="F355" i="120" s="1"/>
  <c r="G354" i="120"/>
  <c r="K325" i="120"/>
  <c r="F326" i="120" s="1"/>
  <c r="G325" i="120"/>
  <c r="K295" i="120"/>
  <c r="F296" i="120" s="1"/>
  <c r="G295" i="120"/>
  <c r="K265" i="120"/>
  <c r="F266" i="120" s="1"/>
  <c r="G265" i="120"/>
  <c r="K234" i="120"/>
  <c r="F235" i="120" s="1"/>
  <c r="G234" i="120"/>
  <c r="K203" i="120"/>
  <c r="F204" i="120" s="1"/>
  <c r="G203" i="120"/>
  <c r="K172" i="120"/>
  <c r="F173" i="120" s="1"/>
  <c r="G172" i="120"/>
  <c r="E446" i="120"/>
  <c r="D446" i="120"/>
  <c r="C447" i="120"/>
  <c r="B447" i="120"/>
  <c r="G445" i="120"/>
  <c r="K445" i="120"/>
  <c r="F446" i="120" s="1"/>
  <c r="E417" i="120"/>
  <c r="C418" i="120"/>
  <c r="D417" i="120"/>
  <c r="B418" i="120"/>
  <c r="E388" i="120"/>
  <c r="C389" i="120"/>
  <c r="D388" i="120"/>
  <c r="B389" i="120"/>
  <c r="E358" i="120"/>
  <c r="C359" i="120"/>
  <c r="D358" i="120"/>
  <c r="B359" i="120"/>
  <c r="C329" i="120"/>
  <c r="D328" i="120"/>
  <c r="E328" i="120"/>
  <c r="B329" i="120"/>
  <c r="B299" i="120"/>
  <c r="E298" i="120"/>
  <c r="C299" i="120"/>
  <c r="D298" i="120"/>
  <c r="E268" i="120"/>
  <c r="C269" i="120"/>
  <c r="D268" i="120"/>
  <c r="B269" i="120"/>
  <c r="E237" i="120"/>
  <c r="C238" i="120"/>
  <c r="D237" i="120"/>
  <c r="B238" i="120"/>
  <c r="E206" i="120"/>
  <c r="C207" i="120"/>
  <c r="D206" i="120"/>
  <c r="B207" i="120"/>
  <c r="B176" i="120"/>
  <c r="C176" i="120"/>
  <c r="E175" i="120"/>
  <c r="D175" i="120"/>
  <c r="B144" i="120"/>
  <c r="E143" i="120"/>
  <c r="C144" i="120"/>
  <c r="D143" i="120"/>
  <c r="A85" i="120"/>
  <c r="B85" i="120"/>
  <c r="E58" i="120"/>
  <c r="C59" i="120"/>
  <c r="E59" i="120" s="1"/>
  <c r="B59" i="120"/>
  <c r="D58" i="120"/>
  <c r="E111" i="120"/>
  <c r="C112" i="120"/>
  <c r="D111" i="120"/>
  <c r="B112" i="120"/>
  <c r="K54" i="112"/>
  <c r="F55" i="112" s="1"/>
  <c r="C55" i="112"/>
  <c r="E55" i="112" s="1"/>
  <c r="D54" i="112"/>
  <c r="G54" i="112" s="1"/>
  <c r="B55" i="112"/>
  <c r="G105" i="120" l="1"/>
  <c r="K105" i="120"/>
  <c r="F106" i="120" s="1"/>
  <c r="K384" i="120"/>
  <c r="F385" i="120" s="1"/>
  <c r="G384" i="120"/>
  <c r="K355" i="120"/>
  <c r="F356" i="120" s="1"/>
  <c r="G355" i="120"/>
  <c r="K326" i="120"/>
  <c r="F327" i="120" s="1"/>
  <c r="G326" i="120"/>
  <c r="K296" i="120"/>
  <c r="F297" i="120" s="1"/>
  <c r="G296" i="120"/>
  <c r="K266" i="120"/>
  <c r="F267" i="120" s="1"/>
  <c r="G266" i="120"/>
  <c r="K235" i="120"/>
  <c r="F236" i="120" s="1"/>
  <c r="G235" i="120"/>
  <c r="K204" i="120"/>
  <c r="F205" i="120" s="1"/>
  <c r="G204" i="120"/>
  <c r="G173" i="120"/>
  <c r="K173" i="120"/>
  <c r="F174" i="120" s="1"/>
  <c r="K446" i="120"/>
  <c r="F447" i="120" s="1"/>
  <c r="G446" i="120"/>
  <c r="C448" i="120"/>
  <c r="D447" i="120"/>
  <c r="B448" i="120"/>
  <c r="E447" i="120"/>
  <c r="C419" i="120"/>
  <c r="D418" i="120"/>
  <c r="B419" i="120"/>
  <c r="E418" i="120"/>
  <c r="E389" i="120"/>
  <c r="D389" i="120"/>
  <c r="B390" i="120"/>
  <c r="C390" i="120"/>
  <c r="E359" i="120"/>
  <c r="C360" i="120"/>
  <c r="D359" i="120"/>
  <c r="B360" i="120"/>
  <c r="E329" i="120"/>
  <c r="D329" i="120"/>
  <c r="B330" i="120"/>
  <c r="C330" i="120"/>
  <c r="E299" i="120"/>
  <c r="C300" i="120"/>
  <c r="D299" i="120"/>
  <c r="B300" i="120"/>
  <c r="E269" i="120"/>
  <c r="C270" i="120"/>
  <c r="D269" i="120"/>
  <c r="B270" i="120"/>
  <c r="C239" i="120"/>
  <c r="D238" i="120"/>
  <c r="E238" i="120"/>
  <c r="B239" i="120"/>
  <c r="E207" i="120"/>
  <c r="C208" i="120"/>
  <c r="D207" i="120"/>
  <c r="B208" i="120"/>
  <c r="E176" i="120"/>
  <c r="C177" i="120"/>
  <c r="D176" i="120"/>
  <c r="B177" i="120"/>
  <c r="E144" i="120"/>
  <c r="C145" i="120"/>
  <c r="D144" i="120"/>
  <c r="B145" i="120"/>
  <c r="D59" i="120"/>
  <c r="C113" i="120"/>
  <c r="D112" i="120"/>
  <c r="B113" i="120"/>
  <c r="E112" i="120"/>
  <c r="D55" i="112"/>
  <c r="C56" i="112"/>
  <c r="E56" i="112" s="1"/>
  <c r="B56" i="112"/>
  <c r="K55" i="112"/>
  <c r="F56" i="112" s="1"/>
  <c r="K106" i="120" l="1"/>
  <c r="F107" i="120" s="1"/>
  <c r="G106" i="120"/>
  <c r="K385" i="120"/>
  <c r="F386" i="120" s="1"/>
  <c r="G385" i="120"/>
  <c r="K356" i="120"/>
  <c r="F357" i="120" s="1"/>
  <c r="G356" i="120"/>
  <c r="K327" i="120"/>
  <c r="F328" i="120" s="1"/>
  <c r="G327" i="120"/>
  <c r="K297" i="120"/>
  <c r="F298" i="120" s="1"/>
  <c r="G297" i="120"/>
  <c r="K267" i="120"/>
  <c r="F268" i="120" s="1"/>
  <c r="G267" i="120"/>
  <c r="K236" i="120"/>
  <c r="F237" i="120" s="1"/>
  <c r="G236" i="120"/>
  <c r="K205" i="120"/>
  <c r="F206" i="120" s="1"/>
  <c r="G205" i="120"/>
  <c r="G174" i="120"/>
  <c r="K174" i="120"/>
  <c r="F175" i="120" s="1"/>
  <c r="B449" i="120"/>
  <c r="E448" i="120"/>
  <c r="D448" i="120"/>
  <c r="C449" i="120"/>
  <c r="K447" i="120"/>
  <c r="F448" i="120" s="1"/>
  <c r="G447" i="120"/>
  <c r="B420" i="120"/>
  <c r="E419" i="120"/>
  <c r="D419" i="120"/>
  <c r="C420" i="120"/>
  <c r="C391" i="120"/>
  <c r="D390" i="120"/>
  <c r="B391" i="120"/>
  <c r="E390" i="120"/>
  <c r="C361" i="120"/>
  <c r="D360" i="120"/>
  <c r="B361" i="120"/>
  <c r="E360" i="120"/>
  <c r="C331" i="120"/>
  <c r="D330" i="120"/>
  <c r="B331" i="120"/>
  <c r="E330" i="120"/>
  <c r="C301" i="120"/>
  <c r="D300" i="120"/>
  <c r="B301" i="120"/>
  <c r="E300" i="120"/>
  <c r="E270" i="120"/>
  <c r="C271" i="120"/>
  <c r="D270" i="120"/>
  <c r="B271" i="120"/>
  <c r="E239" i="120"/>
  <c r="B240" i="120"/>
  <c r="C240" i="120"/>
  <c r="D239" i="120"/>
  <c r="E208" i="120"/>
  <c r="C209" i="120"/>
  <c r="B209" i="120"/>
  <c r="D208" i="120"/>
  <c r="E177" i="120"/>
  <c r="C178" i="120"/>
  <c r="D177" i="120"/>
  <c r="B178" i="120"/>
  <c r="E145" i="120"/>
  <c r="C146" i="120"/>
  <c r="D145" i="120"/>
  <c r="B146" i="120"/>
  <c r="B114" i="120"/>
  <c r="E113" i="120"/>
  <c r="D113" i="120"/>
  <c r="C114" i="120"/>
  <c r="G55" i="112"/>
  <c r="K56" i="112"/>
  <c r="F57" i="112" s="1"/>
  <c r="C57" i="112"/>
  <c r="E57" i="112" s="1"/>
  <c r="B57" i="112"/>
  <c r="G56" i="112"/>
  <c r="D56" i="112"/>
  <c r="K107" i="120" l="1"/>
  <c r="F108" i="120" s="1"/>
  <c r="G107" i="120"/>
  <c r="K386" i="120"/>
  <c r="F387" i="120" s="1"/>
  <c r="G386" i="120"/>
  <c r="K357" i="120"/>
  <c r="F358" i="120" s="1"/>
  <c r="G357" i="120"/>
  <c r="K328" i="120"/>
  <c r="F329" i="120" s="1"/>
  <c r="G328" i="120"/>
  <c r="K298" i="120"/>
  <c r="F299" i="120" s="1"/>
  <c r="G298" i="120"/>
  <c r="K268" i="120"/>
  <c r="F269" i="120" s="1"/>
  <c r="G268" i="120"/>
  <c r="K237" i="120"/>
  <c r="F238" i="120" s="1"/>
  <c r="G237" i="120"/>
  <c r="K206" i="120"/>
  <c r="F207" i="120" s="1"/>
  <c r="G206" i="120"/>
  <c r="G175" i="120"/>
  <c r="K175" i="120"/>
  <c r="F176" i="120" s="1"/>
  <c r="E449" i="120"/>
  <c r="D449" i="120"/>
  <c r="K448" i="120"/>
  <c r="F449" i="120" s="1"/>
  <c r="G448" i="120"/>
  <c r="E420" i="120"/>
  <c r="D420" i="120"/>
  <c r="E391" i="120"/>
  <c r="D391" i="120"/>
  <c r="B362" i="120"/>
  <c r="D361" i="120"/>
  <c r="E361" i="120"/>
  <c r="C362" i="120"/>
  <c r="B332" i="120"/>
  <c r="E331" i="120"/>
  <c r="C332" i="120"/>
  <c r="D331" i="120"/>
  <c r="B302" i="120"/>
  <c r="E301" i="120"/>
  <c r="C302" i="120"/>
  <c r="D301" i="120"/>
  <c r="C272" i="120"/>
  <c r="D271" i="120"/>
  <c r="B272" i="120"/>
  <c r="E271" i="120"/>
  <c r="C241" i="120"/>
  <c r="D240" i="120"/>
  <c r="B241" i="120"/>
  <c r="E240" i="120"/>
  <c r="C210" i="120"/>
  <c r="D209" i="120"/>
  <c r="B210" i="120"/>
  <c r="E209" i="120"/>
  <c r="E178" i="120"/>
  <c r="C179" i="120"/>
  <c r="D178" i="120"/>
  <c r="B179" i="120"/>
  <c r="E146" i="120"/>
  <c r="C147" i="120"/>
  <c r="B147" i="120"/>
  <c r="D146" i="120"/>
  <c r="E114" i="120"/>
  <c r="D114" i="120"/>
  <c r="C115" i="120"/>
  <c r="B115" i="120"/>
  <c r="D57" i="112"/>
  <c r="G57" i="112"/>
  <c r="C58" i="112"/>
  <c r="E58" i="112" s="1"/>
  <c r="B58" i="112"/>
  <c r="K57" i="112"/>
  <c r="F58" i="112" s="1"/>
  <c r="G108" i="120" l="1"/>
  <c r="K108" i="120"/>
  <c r="F109" i="120" s="1"/>
  <c r="K387" i="120"/>
  <c r="F388" i="120" s="1"/>
  <c r="G387" i="120"/>
  <c r="K358" i="120"/>
  <c r="F359" i="120" s="1"/>
  <c r="G358" i="120"/>
  <c r="K329" i="120"/>
  <c r="F330" i="120" s="1"/>
  <c r="G329" i="120"/>
  <c r="K299" i="120"/>
  <c r="F300" i="120" s="1"/>
  <c r="G299" i="120"/>
  <c r="K269" i="120"/>
  <c r="F270" i="120" s="1"/>
  <c r="G269" i="120"/>
  <c r="K238" i="120"/>
  <c r="F239" i="120" s="1"/>
  <c r="G238" i="120"/>
  <c r="K207" i="120"/>
  <c r="F208" i="120" s="1"/>
  <c r="G207" i="120"/>
  <c r="K176" i="120"/>
  <c r="F177" i="120" s="1"/>
  <c r="G176" i="120"/>
  <c r="K449" i="120"/>
  <c r="G449" i="120"/>
  <c r="E362" i="120"/>
  <c r="D362" i="120"/>
  <c r="E332" i="120"/>
  <c r="D332" i="120"/>
  <c r="E302" i="120"/>
  <c r="D302" i="120"/>
  <c r="E272" i="120"/>
  <c r="D272" i="120"/>
  <c r="B242" i="120"/>
  <c r="E241" i="120"/>
  <c r="D241" i="120"/>
  <c r="C242" i="120"/>
  <c r="B211" i="120"/>
  <c r="E210" i="120"/>
  <c r="D210" i="120"/>
  <c r="C211" i="120"/>
  <c r="C180" i="120"/>
  <c r="D179" i="120"/>
  <c r="B180" i="120"/>
  <c r="E179" i="120"/>
  <c r="C148" i="120"/>
  <c r="D147" i="120"/>
  <c r="B148" i="120"/>
  <c r="E147" i="120"/>
  <c r="B116" i="120"/>
  <c r="C116" i="120"/>
  <c r="E115" i="120"/>
  <c r="D115" i="120"/>
  <c r="C59" i="112"/>
  <c r="B59" i="112"/>
  <c r="D58" i="112"/>
  <c r="G58" i="112" s="1"/>
  <c r="K58" i="112"/>
  <c r="F59" i="112" s="1"/>
  <c r="G109" i="120" l="1"/>
  <c r="K109" i="120"/>
  <c r="F110" i="120" s="1"/>
  <c r="K388" i="120"/>
  <c r="F389" i="120" s="1"/>
  <c r="G388" i="120"/>
  <c r="K359" i="120"/>
  <c r="F360" i="120" s="1"/>
  <c r="G359" i="120"/>
  <c r="K330" i="120"/>
  <c r="F331" i="120" s="1"/>
  <c r="G330" i="120"/>
  <c r="K300" i="120"/>
  <c r="F301" i="120" s="1"/>
  <c r="G300" i="120"/>
  <c r="K270" i="120"/>
  <c r="F271" i="120" s="1"/>
  <c r="G270" i="120"/>
  <c r="K239" i="120"/>
  <c r="F240" i="120" s="1"/>
  <c r="G239" i="120"/>
  <c r="K208" i="120"/>
  <c r="F209" i="120" s="1"/>
  <c r="G208" i="120"/>
  <c r="K177" i="120"/>
  <c r="F178" i="120" s="1"/>
  <c r="G177" i="120"/>
  <c r="E242" i="120"/>
  <c r="D242" i="120"/>
  <c r="E211" i="120"/>
  <c r="D211" i="120"/>
  <c r="E180" i="120"/>
  <c r="D180" i="120"/>
  <c r="B149" i="120"/>
  <c r="D148" i="120"/>
  <c r="E148" i="120"/>
  <c r="C149" i="120"/>
  <c r="B117" i="120"/>
  <c r="C117" i="120"/>
  <c r="D116" i="120"/>
  <c r="E116" i="120"/>
  <c r="K59" i="112"/>
  <c r="F60" i="112" s="1"/>
  <c r="E59" i="112"/>
  <c r="C60" i="112"/>
  <c r="D59" i="112"/>
  <c r="B60" i="112"/>
  <c r="G110" i="120" l="1"/>
  <c r="K110" i="120"/>
  <c r="F111" i="120" s="1"/>
  <c r="K389" i="120"/>
  <c r="F390" i="120" s="1"/>
  <c r="G389" i="120"/>
  <c r="K360" i="120"/>
  <c r="F361" i="120" s="1"/>
  <c r="G360" i="120"/>
  <c r="K331" i="120"/>
  <c r="F332" i="120" s="1"/>
  <c r="G331" i="120"/>
  <c r="K301" i="120"/>
  <c r="F302" i="120" s="1"/>
  <c r="G301" i="120"/>
  <c r="K271" i="120"/>
  <c r="F272" i="120" s="1"/>
  <c r="G271" i="120"/>
  <c r="K240" i="120"/>
  <c r="F241" i="120" s="1"/>
  <c r="G240" i="120"/>
  <c r="K209" i="120"/>
  <c r="F210" i="120" s="1"/>
  <c r="G209" i="120"/>
  <c r="K178" i="120"/>
  <c r="F179" i="120" s="1"/>
  <c r="G178" i="120"/>
  <c r="E149" i="120"/>
  <c r="D149" i="120"/>
  <c r="D117" i="120"/>
  <c r="E117" i="120"/>
  <c r="G59" i="112"/>
  <c r="C61" i="112"/>
  <c r="D60" i="112"/>
  <c r="B61" i="112"/>
  <c r="E60" i="112"/>
  <c r="K60" i="112"/>
  <c r="F61" i="112" s="1"/>
  <c r="K111" i="120" l="1"/>
  <c r="F112" i="120" s="1"/>
  <c r="G111" i="120"/>
  <c r="K390" i="120"/>
  <c r="F391" i="120" s="1"/>
  <c r="G390" i="120"/>
  <c r="K361" i="120"/>
  <c r="F362" i="120" s="1"/>
  <c r="G361" i="120"/>
  <c r="K332" i="120"/>
  <c r="G332" i="120"/>
  <c r="K302" i="120"/>
  <c r="G302" i="120"/>
  <c r="K272" i="120"/>
  <c r="G272" i="120"/>
  <c r="K241" i="120"/>
  <c r="F242" i="120" s="1"/>
  <c r="G241" i="120"/>
  <c r="K210" i="120"/>
  <c r="F211" i="120" s="1"/>
  <c r="G210" i="120"/>
  <c r="G60" i="112"/>
  <c r="K179" i="120"/>
  <c r="F180" i="120" s="1"/>
  <c r="G179" i="120"/>
  <c r="K61" i="112"/>
  <c r="F62" i="112" s="1"/>
  <c r="B62" i="112"/>
  <c r="E61" i="112"/>
  <c r="C62" i="112"/>
  <c r="D61" i="112"/>
  <c r="G112" i="120" l="1"/>
  <c r="K112" i="120"/>
  <c r="F113" i="120" s="1"/>
  <c r="K391" i="120"/>
  <c r="G391" i="120"/>
  <c r="K362" i="120"/>
  <c r="G362" i="120"/>
  <c r="K242" i="120"/>
  <c r="G242" i="120"/>
  <c r="K211" i="120"/>
  <c r="G211" i="120"/>
  <c r="K180" i="120"/>
  <c r="G180" i="120"/>
  <c r="G61" i="112"/>
  <c r="E62" i="112"/>
  <c r="D62" i="112"/>
  <c r="K62" i="112"/>
  <c r="K113" i="120" l="1"/>
  <c r="F114" i="120" s="1"/>
  <c r="G113" i="120"/>
  <c r="G62" i="112"/>
  <c r="E41" i="119"/>
  <c r="E40" i="119"/>
  <c r="F63" i="119"/>
  <c r="H71" i="119" s="1"/>
  <c r="B63" i="119"/>
  <c r="C63" i="119" s="1"/>
  <c r="B37" i="119"/>
  <c r="C37" i="119" s="1"/>
  <c r="B38" i="119" s="1"/>
  <c r="D38" i="119" s="1"/>
  <c r="F29" i="119"/>
  <c r="F28" i="119"/>
  <c r="E26" i="119"/>
  <c r="D26" i="119"/>
  <c r="C26" i="119"/>
  <c r="F25" i="119"/>
  <c r="F24" i="119"/>
  <c r="F23" i="119"/>
  <c r="F22" i="119"/>
  <c r="F21" i="119"/>
  <c r="F20" i="119"/>
  <c r="F19" i="119"/>
  <c r="F18" i="119"/>
  <c r="F17" i="119"/>
  <c r="F16" i="119"/>
  <c r="F15" i="119"/>
  <c r="F14" i="119"/>
  <c r="F13" i="119"/>
  <c r="F12" i="119"/>
  <c r="F11" i="119"/>
  <c r="F10" i="119"/>
  <c r="F9" i="119"/>
  <c r="F8" i="119"/>
  <c r="F7" i="119"/>
  <c r="F6" i="119"/>
  <c r="F5" i="119"/>
  <c r="F4" i="119"/>
  <c r="F3" i="119"/>
  <c r="F2" i="119"/>
  <c r="G114" i="120" l="1"/>
  <c r="K114" i="120"/>
  <c r="F115" i="120" s="1"/>
  <c r="G38" i="134"/>
  <c r="H89" i="119"/>
  <c r="H53" i="119"/>
  <c r="H39" i="119"/>
  <c r="H38" i="119"/>
  <c r="H74" i="119"/>
  <c r="H86" i="119"/>
  <c r="H42" i="119"/>
  <c r="B38" i="134" s="1"/>
  <c r="H41" i="119"/>
  <c r="H40" i="119"/>
  <c r="E37" i="119"/>
  <c r="H77" i="119"/>
  <c r="H78" i="119"/>
  <c r="D37" i="119"/>
  <c r="H43" i="119"/>
  <c r="C38" i="134" s="1"/>
  <c r="H44" i="119"/>
  <c r="D38" i="134" s="1"/>
  <c r="H47" i="119"/>
  <c r="H52" i="119"/>
  <c r="H56" i="119"/>
  <c r="E63" i="119"/>
  <c r="D63" i="119"/>
  <c r="B64" i="119"/>
  <c r="C64" i="119"/>
  <c r="F26" i="119"/>
  <c r="H50" i="119"/>
  <c r="H57" i="119"/>
  <c r="H49" i="119"/>
  <c r="H54" i="119"/>
  <c r="H46" i="119"/>
  <c r="F37" i="119"/>
  <c r="H45" i="119"/>
  <c r="E38" i="134" s="1"/>
  <c r="H55" i="119"/>
  <c r="H84" i="119"/>
  <c r="H76" i="119"/>
  <c r="H75" i="119"/>
  <c r="H90" i="119"/>
  <c r="H83" i="119"/>
  <c r="H82" i="119"/>
  <c r="H88" i="119"/>
  <c r="H80" i="119"/>
  <c r="H72" i="119"/>
  <c r="H87" i="119"/>
  <c r="H73" i="119"/>
  <c r="H79" i="119"/>
  <c r="H85" i="119"/>
  <c r="H48" i="119"/>
  <c r="H51" i="119"/>
  <c r="H81" i="119"/>
  <c r="F68" i="115"/>
  <c r="H95" i="115" s="1"/>
  <c r="B68" i="115"/>
  <c r="C68" i="115" s="1"/>
  <c r="E68" i="115" s="1"/>
  <c r="B37" i="115"/>
  <c r="C37" i="115" s="1"/>
  <c r="E37" i="115" s="1"/>
  <c r="F29" i="115"/>
  <c r="F28" i="115"/>
  <c r="E26" i="115"/>
  <c r="D26" i="115"/>
  <c r="C26" i="115"/>
  <c r="F25" i="115"/>
  <c r="F24" i="115"/>
  <c r="F23" i="115"/>
  <c r="F22" i="115"/>
  <c r="F21" i="115"/>
  <c r="F20" i="115"/>
  <c r="F19" i="115"/>
  <c r="F18" i="115"/>
  <c r="F17" i="115"/>
  <c r="F16" i="115"/>
  <c r="F15" i="115"/>
  <c r="F14" i="115"/>
  <c r="F13" i="115"/>
  <c r="F12" i="115"/>
  <c r="F11" i="115"/>
  <c r="F10" i="115"/>
  <c r="F9" i="115"/>
  <c r="F8" i="115"/>
  <c r="F7" i="115"/>
  <c r="F6" i="115"/>
  <c r="F5" i="115"/>
  <c r="F4" i="115"/>
  <c r="F3" i="115"/>
  <c r="F2" i="115"/>
  <c r="F32" i="114"/>
  <c r="F31" i="114"/>
  <c r="H87" i="114"/>
  <c r="H76" i="114"/>
  <c r="H83" i="114"/>
  <c r="F66" i="114"/>
  <c r="H80" i="114" s="1"/>
  <c r="B66" i="114"/>
  <c r="C66" i="114" s="1"/>
  <c r="E66" i="114" s="1"/>
  <c r="B41" i="114"/>
  <c r="C41" i="114" s="1"/>
  <c r="D29" i="114"/>
  <c r="E29" i="114"/>
  <c r="C29" i="114"/>
  <c r="F3" i="114"/>
  <c r="F4" i="114"/>
  <c r="F5" i="114"/>
  <c r="F6" i="114"/>
  <c r="F7" i="114"/>
  <c r="F8" i="114"/>
  <c r="F9" i="114"/>
  <c r="F10" i="114"/>
  <c r="F11" i="114"/>
  <c r="F12" i="114"/>
  <c r="F13" i="114"/>
  <c r="F14" i="114"/>
  <c r="F15" i="114"/>
  <c r="F16" i="114"/>
  <c r="F17" i="114"/>
  <c r="F18" i="114"/>
  <c r="F19" i="114"/>
  <c r="F20" i="114"/>
  <c r="F21" i="114"/>
  <c r="F22" i="114"/>
  <c r="F23" i="114"/>
  <c r="F24" i="114"/>
  <c r="F25" i="114"/>
  <c r="F26" i="114"/>
  <c r="F27" i="114"/>
  <c r="F28" i="114"/>
  <c r="F2" i="114"/>
  <c r="G23" i="134" l="1"/>
  <c r="F41" i="114"/>
  <c r="H82" i="114"/>
  <c r="H86" i="114"/>
  <c r="K115" i="120"/>
  <c r="F116" i="120" s="1"/>
  <c r="G115" i="120"/>
  <c r="H85" i="114"/>
  <c r="H91" i="114"/>
  <c r="H92" i="114"/>
  <c r="H84" i="114"/>
  <c r="H78" i="114"/>
  <c r="H90" i="114"/>
  <c r="H38" i="134"/>
  <c r="I38" i="134" s="1"/>
  <c r="H75" i="114"/>
  <c r="F38" i="134"/>
  <c r="H46" i="115"/>
  <c r="G43" i="134"/>
  <c r="H60" i="115"/>
  <c r="H44" i="115"/>
  <c r="H63" i="115"/>
  <c r="H62" i="115"/>
  <c r="I37" i="119"/>
  <c r="H88" i="114"/>
  <c r="H74" i="114"/>
  <c r="H77" i="114"/>
  <c r="H93" i="114"/>
  <c r="H43" i="114"/>
  <c r="H81" i="114"/>
  <c r="H89" i="114"/>
  <c r="H49" i="115"/>
  <c r="H52" i="115"/>
  <c r="H61" i="115"/>
  <c r="C42" i="114"/>
  <c r="E42" i="114" s="1"/>
  <c r="E41" i="114"/>
  <c r="I63" i="119"/>
  <c r="K63" i="119" s="1"/>
  <c r="F64" i="119" s="1"/>
  <c r="B40" i="119"/>
  <c r="E64" i="119"/>
  <c r="C65" i="119"/>
  <c r="B65" i="119"/>
  <c r="D64" i="119"/>
  <c r="H55" i="115"/>
  <c r="H48" i="115"/>
  <c r="E43" i="134" s="1"/>
  <c r="H51" i="115"/>
  <c r="H47" i="115"/>
  <c r="D43" i="134" s="1"/>
  <c r="H56" i="115"/>
  <c r="H54" i="115"/>
  <c r="H45" i="115"/>
  <c r="H53" i="115"/>
  <c r="H58" i="115"/>
  <c r="H50" i="115"/>
  <c r="H59" i="115"/>
  <c r="H57" i="115"/>
  <c r="H81" i="115"/>
  <c r="H85" i="115"/>
  <c r="H88" i="115"/>
  <c r="H77" i="115"/>
  <c r="H78" i="115"/>
  <c r="H80" i="115"/>
  <c r="H89" i="115"/>
  <c r="H93" i="115"/>
  <c r="H82" i="115"/>
  <c r="H90" i="115"/>
  <c r="H83" i="115"/>
  <c r="H91" i="115"/>
  <c r="H76" i="115"/>
  <c r="H84" i="115"/>
  <c r="H92" i="115"/>
  <c r="F26" i="115"/>
  <c r="H86" i="115"/>
  <c r="H94" i="115"/>
  <c r="H79" i="115"/>
  <c r="H87" i="115"/>
  <c r="C69" i="115"/>
  <c r="E69" i="115" s="1"/>
  <c r="B69" i="115"/>
  <c r="D68" i="115"/>
  <c r="I68" i="115" s="1"/>
  <c r="C38" i="115"/>
  <c r="E38" i="115" s="1"/>
  <c r="B38" i="115"/>
  <c r="D37" i="115"/>
  <c r="F37" i="115"/>
  <c r="B67" i="114"/>
  <c r="C67" i="114"/>
  <c r="E67" i="114" s="1"/>
  <c r="D66" i="114"/>
  <c r="I66" i="114" s="1"/>
  <c r="H79" i="114"/>
  <c r="F29" i="114"/>
  <c r="B42" i="114"/>
  <c r="D41" i="114"/>
  <c r="H42" i="114"/>
  <c r="H41" i="114"/>
  <c r="H45" i="114"/>
  <c r="H44" i="114"/>
  <c r="K116" i="120" l="1"/>
  <c r="F117" i="120" s="1"/>
  <c r="G116" i="120"/>
  <c r="C43" i="134"/>
  <c r="I41" i="114"/>
  <c r="J58" i="114" s="1"/>
  <c r="I37" i="115"/>
  <c r="H64" i="115"/>
  <c r="B43" i="134"/>
  <c r="H43" i="134"/>
  <c r="I43" i="134" s="1"/>
  <c r="B43" i="114"/>
  <c r="D42" i="114"/>
  <c r="C43" i="114"/>
  <c r="E43" i="114" s="1"/>
  <c r="K37" i="119"/>
  <c r="F38" i="119" s="1"/>
  <c r="I38" i="119" s="1"/>
  <c r="J49" i="119" s="1"/>
  <c r="E65" i="119"/>
  <c r="C66" i="119"/>
  <c r="B66" i="119"/>
  <c r="D65" i="119"/>
  <c r="I64" i="119"/>
  <c r="B41" i="119"/>
  <c r="D40" i="119"/>
  <c r="K66" i="114"/>
  <c r="F67" i="114" s="1"/>
  <c r="C39" i="115"/>
  <c r="E39" i="115" s="1"/>
  <c r="B39" i="115"/>
  <c r="D38" i="115"/>
  <c r="K68" i="115"/>
  <c r="F69" i="115" s="1"/>
  <c r="B70" i="115"/>
  <c r="C70" i="115"/>
  <c r="E70" i="115" s="1"/>
  <c r="D69" i="115"/>
  <c r="C68" i="114"/>
  <c r="E68" i="114" s="1"/>
  <c r="B68" i="114"/>
  <c r="D67" i="114"/>
  <c r="H46" i="114"/>
  <c r="H47" i="114"/>
  <c r="H49" i="114"/>
  <c r="H50" i="114" s="1"/>
  <c r="H48" i="114"/>
  <c r="J45" i="114" l="1"/>
  <c r="J48" i="114"/>
  <c r="J46" i="114"/>
  <c r="J54" i="114"/>
  <c r="J52" i="114"/>
  <c r="J42" i="114"/>
  <c r="J41" i="114"/>
  <c r="K41" i="114" s="1"/>
  <c r="F42" i="114" s="1"/>
  <c r="J47" i="114"/>
  <c r="J51" i="114"/>
  <c r="J50" i="114"/>
  <c r="J55" i="114"/>
  <c r="J53" i="114"/>
  <c r="J44" i="114"/>
  <c r="J57" i="114"/>
  <c r="J60" i="114"/>
  <c r="J43" i="114"/>
  <c r="J59" i="114"/>
  <c r="J49" i="114"/>
  <c r="J56" i="114"/>
  <c r="F43" i="134"/>
  <c r="I67" i="114"/>
  <c r="G117" i="120"/>
  <c r="K117" i="120"/>
  <c r="J52" i="119"/>
  <c r="J50" i="119"/>
  <c r="J54" i="119"/>
  <c r="J55" i="119"/>
  <c r="J41" i="119"/>
  <c r="J46" i="119"/>
  <c r="J51" i="119"/>
  <c r="J53" i="119"/>
  <c r="J43" i="119"/>
  <c r="J45" i="119"/>
  <c r="J38" i="119"/>
  <c r="J48" i="119"/>
  <c r="J44" i="119"/>
  <c r="J42" i="119"/>
  <c r="J47" i="119"/>
  <c r="J56" i="119"/>
  <c r="J57" i="119"/>
  <c r="J39" i="119"/>
  <c r="J40" i="119"/>
  <c r="C44" i="114"/>
  <c r="E44" i="114" s="1"/>
  <c r="B44" i="114"/>
  <c r="D44" i="114" s="1"/>
  <c r="D43" i="114"/>
  <c r="E42" i="119"/>
  <c r="D41" i="119"/>
  <c r="B42" i="119"/>
  <c r="K64" i="119"/>
  <c r="F65" i="119" s="1"/>
  <c r="D66" i="119"/>
  <c r="B67" i="119"/>
  <c r="C67" i="119"/>
  <c r="E66" i="119"/>
  <c r="K37" i="115"/>
  <c r="F38" i="115" s="1"/>
  <c r="I38" i="115" s="1"/>
  <c r="D70" i="115"/>
  <c r="C71" i="115"/>
  <c r="E71" i="115" s="1"/>
  <c r="B71" i="115"/>
  <c r="D39" i="115"/>
  <c r="B40" i="115"/>
  <c r="C40" i="115"/>
  <c r="E40" i="115" s="1"/>
  <c r="I69" i="115"/>
  <c r="C69" i="114"/>
  <c r="E69" i="114" s="1"/>
  <c r="B69" i="114"/>
  <c r="D68" i="114"/>
  <c r="H59" i="114"/>
  <c r="E23" i="134" s="1"/>
  <c r="H51" i="114"/>
  <c r="H60" i="114"/>
  <c r="H52" i="114"/>
  <c r="H58" i="114"/>
  <c r="D23" i="134" s="1"/>
  <c r="H56" i="114"/>
  <c r="B23" i="134" s="1"/>
  <c r="H55" i="114"/>
  <c r="H57" i="114"/>
  <c r="C23" i="134" s="1"/>
  <c r="H54" i="114"/>
  <c r="H53" i="114"/>
  <c r="G42" i="114"/>
  <c r="H23" i="134" l="1"/>
  <c r="I23" i="134" s="1"/>
  <c r="K42" i="114"/>
  <c r="F43" i="114" s="1"/>
  <c r="K43" i="114" s="1"/>
  <c r="F44" i="114" s="1"/>
  <c r="K44" i="114" s="1"/>
  <c r="F23" i="134"/>
  <c r="K38" i="119"/>
  <c r="F39" i="119" s="1"/>
  <c r="G39" i="119" s="1"/>
  <c r="C45" i="114"/>
  <c r="E45" i="114" s="1"/>
  <c r="B45" i="114"/>
  <c r="B68" i="119"/>
  <c r="E67" i="119"/>
  <c r="D67" i="119"/>
  <c r="C68" i="119"/>
  <c r="I65" i="119"/>
  <c r="K65" i="119" s="1"/>
  <c r="F66" i="119" s="1"/>
  <c r="E43" i="119"/>
  <c r="D42" i="119"/>
  <c r="B43" i="119"/>
  <c r="K38" i="115"/>
  <c r="F39" i="115" s="1"/>
  <c r="I39" i="115" s="1"/>
  <c r="K67" i="114"/>
  <c r="F68" i="114" s="1"/>
  <c r="D40" i="115"/>
  <c r="C41" i="115"/>
  <c r="B41" i="115"/>
  <c r="K69" i="115"/>
  <c r="F70" i="115" s="1"/>
  <c r="D71" i="115"/>
  <c r="C72" i="115"/>
  <c r="E72" i="115" s="1"/>
  <c r="B72" i="115"/>
  <c r="C70" i="114"/>
  <c r="E70" i="114" s="1"/>
  <c r="B70" i="114"/>
  <c r="D69" i="114"/>
  <c r="G43" i="114" l="1"/>
  <c r="K39" i="119"/>
  <c r="F40" i="119" s="1"/>
  <c r="G40" i="119" s="1"/>
  <c r="I68" i="114"/>
  <c r="C46" i="114"/>
  <c r="E46" i="114" s="1"/>
  <c r="B46" i="114"/>
  <c r="C42" i="115"/>
  <c r="B42" i="115"/>
  <c r="E41" i="115"/>
  <c r="D45" i="114"/>
  <c r="I66" i="119"/>
  <c r="K66" i="119" s="1"/>
  <c r="F67" i="119" s="1"/>
  <c r="B44" i="119"/>
  <c r="E44" i="119"/>
  <c r="D43" i="119"/>
  <c r="C69" i="119"/>
  <c r="B69" i="119"/>
  <c r="E68" i="119"/>
  <c r="D68" i="119"/>
  <c r="K39" i="115"/>
  <c r="F40" i="115" s="1"/>
  <c r="I40" i="115" s="1"/>
  <c r="I70" i="115"/>
  <c r="C73" i="115"/>
  <c r="E73" i="115" s="1"/>
  <c r="B73" i="115"/>
  <c r="D72" i="115"/>
  <c r="D41" i="115"/>
  <c r="B71" i="114"/>
  <c r="C71" i="114"/>
  <c r="E71" i="114" s="1"/>
  <c r="D70" i="114"/>
  <c r="D46" i="114"/>
  <c r="F45" i="114"/>
  <c r="K45" i="114" s="1"/>
  <c r="G44" i="114"/>
  <c r="K68" i="114" l="1"/>
  <c r="F69" i="114" s="1"/>
  <c r="I69" i="114" s="1"/>
  <c r="C47" i="114"/>
  <c r="E47" i="114" s="1"/>
  <c r="B47" i="114"/>
  <c r="D42" i="115"/>
  <c r="E42" i="115"/>
  <c r="K40" i="119"/>
  <c r="F41" i="119" s="1"/>
  <c r="G41" i="119" s="1"/>
  <c r="D44" i="119"/>
  <c r="E45" i="119"/>
  <c r="B45" i="119"/>
  <c r="C70" i="119"/>
  <c r="D69" i="119"/>
  <c r="B70" i="119"/>
  <c r="E69" i="119"/>
  <c r="I67" i="119"/>
  <c r="K70" i="115"/>
  <c r="F71" i="115" s="1"/>
  <c r="I71" i="115" s="1"/>
  <c r="K71" i="115" s="1"/>
  <c r="F72" i="115" s="1"/>
  <c r="K40" i="115"/>
  <c r="F41" i="115" s="1"/>
  <c r="I41" i="115" s="1"/>
  <c r="B74" i="115"/>
  <c r="C74" i="115"/>
  <c r="E74" i="115" s="1"/>
  <c r="D73" i="115"/>
  <c r="C43" i="115"/>
  <c r="E43" i="115" s="1"/>
  <c r="B43" i="115"/>
  <c r="C72" i="114"/>
  <c r="E72" i="114" s="1"/>
  <c r="B72" i="114"/>
  <c r="D71" i="114"/>
  <c r="C48" i="114"/>
  <c r="E48" i="114" s="1"/>
  <c r="F46" i="114"/>
  <c r="K46" i="114" s="1"/>
  <c r="G45" i="114"/>
  <c r="D47" i="114" l="1"/>
  <c r="K69" i="114"/>
  <c r="F70" i="114" s="1"/>
  <c r="I70" i="114" s="1"/>
  <c r="B48" i="114"/>
  <c r="D45" i="119"/>
  <c r="E46" i="119"/>
  <c r="B46" i="119"/>
  <c r="D70" i="119"/>
  <c r="B71" i="119"/>
  <c r="E70" i="119"/>
  <c r="C71" i="119"/>
  <c r="K67" i="119"/>
  <c r="F68" i="119" s="1"/>
  <c r="K41" i="115"/>
  <c r="F42" i="115" s="1"/>
  <c r="I42" i="115" s="1"/>
  <c r="I72" i="115"/>
  <c r="D74" i="115"/>
  <c r="C75" i="115"/>
  <c r="E75" i="115" s="1"/>
  <c r="B75" i="115"/>
  <c r="C44" i="115"/>
  <c r="E44" i="115" s="1"/>
  <c r="B44" i="115"/>
  <c r="D43" i="115"/>
  <c r="B73" i="114"/>
  <c r="C73" i="114"/>
  <c r="E73" i="114" s="1"/>
  <c r="D72" i="114"/>
  <c r="D48" i="114"/>
  <c r="B49" i="114"/>
  <c r="C49" i="114"/>
  <c r="E49" i="114" s="1"/>
  <c r="F47" i="114"/>
  <c r="K47" i="114" s="1"/>
  <c r="G46" i="114"/>
  <c r="K70" i="114" l="1"/>
  <c r="F71" i="114" s="1"/>
  <c r="I71" i="114" s="1"/>
  <c r="K42" i="115"/>
  <c r="F43" i="115" s="1"/>
  <c r="I43" i="115" s="1"/>
  <c r="J46" i="115" s="1"/>
  <c r="E47" i="119"/>
  <c r="D46" i="119"/>
  <c r="B47" i="119"/>
  <c r="E71" i="119"/>
  <c r="C72" i="119"/>
  <c r="D71" i="119"/>
  <c r="B72" i="119"/>
  <c r="I68" i="119"/>
  <c r="K41" i="119"/>
  <c r="F42" i="119" s="1"/>
  <c r="G42" i="119" s="1"/>
  <c r="B39" i="134" s="1"/>
  <c r="K72" i="115"/>
  <c r="F73" i="115" s="1"/>
  <c r="I73" i="115" s="1"/>
  <c r="D75" i="115"/>
  <c r="C76" i="115"/>
  <c r="E76" i="115" s="1"/>
  <c r="B76" i="115"/>
  <c r="D44" i="115"/>
  <c r="B45" i="115"/>
  <c r="E45" i="115"/>
  <c r="B74" i="114"/>
  <c r="C74" i="114"/>
  <c r="E74" i="114" s="1"/>
  <c r="D73" i="114"/>
  <c r="D49" i="114"/>
  <c r="C50" i="114"/>
  <c r="E50" i="114" s="1"/>
  <c r="B50" i="114"/>
  <c r="G47" i="114"/>
  <c r="F48" i="114"/>
  <c r="K48" i="114" s="1"/>
  <c r="I64" i="115" l="1"/>
  <c r="K42" i="119"/>
  <c r="F43" i="119" s="1"/>
  <c r="G43" i="119" s="1"/>
  <c r="C39" i="134" s="1"/>
  <c r="B48" i="119"/>
  <c r="D47" i="119"/>
  <c r="C48" i="119"/>
  <c r="E48" i="119" s="1"/>
  <c r="K68" i="119"/>
  <c r="F69" i="119" s="1"/>
  <c r="C73" i="119"/>
  <c r="D72" i="119"/>
  <c r="B73" i="119"/>
  <c r="E72" i="119"/>
  <c r="D76" i="115"/>
  <c r="C77" i="115"/>
  <c r="E77" i="115" s="1"/>
  <c r="B77" i="115"/>
  <c r="D45" i="115"/>
  <c r="E47" i="115"/>
  <c r="K73" i="115"/>
  <c r="F74" i="115" s="1"/>
  <c r="K71" i="114"/>
  <c r="F72" i="114" s="1"/>
  <c r="B75" i="114"/>
  <c r="C75" i="114"/>
  <c r="E75" i="114" s="1"/>
  <c r="D74" i="114"/>
  <c r="D50" i="114"/>
  <c r="C51" i="114"/>
  <c r="E51" i="114" s="1"/>
  <c r="B51" i="114"/>
  <c r="F49" i="114"/>
  <c r="K49" i="114" s="1"/>
  <c r="G48" i="114"/>
  <c r="I72" i="114" l="1"/>
  <c r="K72" i="114" s="1"/>
  <c r="F73" i="114" s="1"/>
  <c r="K43" i="119"/>
  <c r="F44" i="119" s="1"/>
  <c r="G44" i="119" s="1"/>
  <c r="D39" i="134" s="1"/>
  <c r="B74" i="119"/>
  <c r="E73" i="119"/>
  <c r="D73" i="119"/>
  <c r="C74" i="119"/>
  <c r="I69" i="119"/>
  <c r="K69" i="119" s="1"/>
  <c r="F70" i="119" s="1"/>
  <c r="D48" i="119"/>
  <c r="C49" i="119"/>
  <c r="E49" i="119" s="1"/>
  <c r="B49" i="119"/>
  <c r="C48" i="115"/>
  <c r="E48" i="115" s="1"/>
  <c r="B48" i="115"/>
  <c r="D47" i="115"/>
  <c r="I74" i="115"/>
  <c r="C78" i="115"/>
  <c r="E78" i="115" s="1"/>
  <c r="D77" i="115"/>
  <c r="B78" i="115"/>
  <c r="C76" i="114"/>
  <c r="E76" i="114" s="1"/>
  <c r="B76" i="114"/>
  <c r="D75" i="114"/>
  <c r="D51" i="114"/>
  <c r="B52" i="114"/>
  <c r="C52" i="114"/>
  <c r="E52" i="114" s="1"/>
  <c r="F50" i="114"/>
  <c r="K50" i="114" s="1"/>
  <c r="G49" i="114"/>
  <c r="I73" i="114" l="1"/>
  <c r="I70" i="119"/>
  <c r="C75" i="119"/>
  <c r="B75" i="119"/>
  <c r="D74" i="119"/>
  <c r="E74" i="119"/>
  <c r="C50" i="119"/>
  <c r="E50" i="119" s="1"/>
  <c r="D49" i="119"/>
  <c r="B50" i="119"/>
  <c r="K44" i="119"/>
  <c r="F45" i="119" s="1"/>
  <c r="G45" i="119" s="1"/>
  <c r="E39" i="134" s="1"/>
  <c r="F39" i="134" s="1"/>
  <c r="C79" i="115"/>
  <c r="E79" i="115" s="1"/>
  <c r="D78" i="115"/>
  <c r="B79" i="115"/>
  <c r="K74" i="115"/>
  <c r="F75" i="115" s="1"/>
  <c r="D48" i="115"/>
  <c r="B49" i="115"/>
  <c r="C49" i="115"/>
  <c r="E49" i="115" s="1"/>
  <c r="B77" i="114"/>
  <c r="C77" i="114"/>
  <c r="E77" i="114" s="1"/>
  <c r="D76" i="114"/>
  <c r="B53" i="114"/>
  <c r="C53" i="114"/>
  <c r="E53" i="114" s="1"/>
  <c r="D52" i="114"/>
  <c r="F51" i="114"/>
  <c r="K51" i="114" s="1"/>
  <c r="G50" i="114"/>
  <c r="C51" i="119" l="1"/>
  <c r="E51" i="119" s="1"/>
  <c r="D50" i="119"/>
  <c r="B51" i="119"/>
  <c r="K45" i="119"/>
  <c r="F46" i="119" s="1"/>
  <c r="G46" i="119" s="1"/>
  <c r="B34" i="145" s="1"/>
  <c r="E75" i="119"/>
  <c r="D75" i="119"/>
  <c r="C76" i="119"/>
  <c r="B76" i="119"/>
  <c r="J75" i="119"/>
  <c r="J87" i="119"/>
  <c r="J89" i="119"/>
  <c r="J74" i="119"/>
  <c r="J73" i="119"/>
  <c r="J86" i="119"/>
  <c r="J79" i="119"/>
  <c r="J85" i="119"/>
  <c r="J71" i="119"/>
  <c r="J88" i="119"/>
  <c r="J72" i="119"/>
  <c r="J76" i="119"/>
  <c r="J77" i="119"/>
  <c r="J90" i="119"/>
  <c r="J81" i="119"/>
  <c r="J83" i="119"/>
  <c r="J78" i="119"/>
  <c r="J80" i="119"/>
  <c r="J84" i="119"/>
  <c r="J82" i="119"/>
  <c r="K70" i="119"/>
  <c r="F71" i="119" s="1"/>
  <c r="K73" i="114"/>
  <c r="F74" i="114" s="1"/>
  <c r="I74" i="114" s="1"/>
  <c r="I75" i="115"/>
  <c r="D49" i="115"/>
  <c r="C50" i="115"/>
  <c r="E50" i="115" s="1"/>
  <c r="B50" i="115"/>
  <c r="D79" i="115"/>
  <c r="C80" i="115"/>
  <c r="E80" i="115" s="1"/>
  <c r="B80" i="115"/>
  <c r="C78" i="114"/>
  <c r="E78" i="114" s="1"/>
  <c r="B78" i="114"/>
  <c r="D77" i="114"/>
  <c r="B54" i="114"/>
  <c r="D53" i="114"/>
  <c r="C54" i="114"/>
  <c r="E54" i="114" s="1"/>
  <c r="G51" i="114"/>
  <c r="F52" i="114"/>
  <c r="K52" i="114" s="1"/>
  <c r="J80" i="114" l="1"/>
  <c r="J84" i="114"/>
  <c r="J93" i="114"/>
  <c r="J88" i="114"/>
  <c r="J82" i="114"/>
  <c r="J90" i="114"/>
  <c r="J85" i="114"/>
  <c r="J92" i="114"/>
  <c r="J76" i="114"/>
  <c r="J91" i="114"/>
  <c r="J78" i="114"/>
  <c r="J83" i="114"/>
  <c r="J87" i="114"/>
  <c r="J79" i="114"/>
  <c r="J81" i="114"/>
  <c r="J77" i="114"/>
  <c r="J86" i="114"/>
  <c r="J74" i="114"/>
  <c r="J89" i="114"/>
  <c r="J75" i="114"/>
  <c r="K46" i="119"/>
  <c r="F47" i="119" s="1"/>
  <c r="G47" i="119" s="1"/>
  <c r="C34" i="145" s="1"/>
  <c r="K71" i="119"/>
  <c r="F72" i="119" s="1"/>
  <c r="G71" i="119"/>
  <c r="C77" i="119"/>
  <c r="D76" i="119"/>
  <c r="E76" i="119"/>
  <c r="B77" i="119"/>
  <c r="B52" i="119"/>
  <c r="D51" i="119"/>
  <c r="C52" i="119"/>
  <c r="E52" i="119" s="1"/>
  <c r="J92" i="115"/>
  <c r="J83" i="115"/>
  <c r="J78" i="115"/>
  <c r="J91" i="115"/>
  <c r="J77" i="115"/>
  <c r="J76" i="115"/>
  <c r="J81" i="115"/>
  <c r="J88" i="115"/>
  <c r="J95" i="115"/>
  <c r="J82" i="115"/>
  <c r="J93" i="115"/>
  <c r="J86" i="115"/>
  <c r="J84" i="115"/>
  <c r="J90" i="115"/>
  <c r="J79" i="115"/>
  <c r="J87" i="115"/>
  <c r="J89" i="115"/>
  <c r="J94" i="115"/>
  <c r="J80" i="115"/>
  <c r="J85" i="115"/>
  <c r="B51" i="115"/>
  <c r="D50" i="115"/>
  <c r="C51" i="115"/>
  <c r="E51" i="115" s="1"/>
  <c r="C81" i="115"/>
  <c r="E81" i="115" s="1"/>
  <c r="D80" i="115"/>
  <c r="B81" i="115"/>
  <c r="K75" i="115"/>
  <c r="F76" i="115" s="1"/>
  <c r="K74" i="114"/>
  <c r="F75" i="114" s="1"/>
  <c r="B79" i="114"/>
  <c r="C79" i="114"/>
  <c r="E79" i="114" s="1"/>
  <c r="D78" i="114"/>
  <c r="D54" i="114"/>
  <c r="B55" i="114"/>
  <c r="C55" i="114"/>
  <c r="E55" i="114" s="1"/>
  <c r="F53" i="114"/>
  <c r="K53" i="114" s="1"/>
  <c r="G52" i="114"/>
  <c r="B78" i="119" l="1"/>
  <c r="C78" i="119"/>
  <c r="D77" i="119"/>
  <c r="E77" i="119"/>
  <c r="B53" i="119"/>
  <c r="D52" i="119"/>
  <c r="C53" i="119"/>
  <c r="E53" i="119" s="1"/>
  <c r="K72" i="119"/>
  <c r="F73" i="119" s="1"/>
  <c r="G72" i="119"/>
  <c r="K47" i="119"/>
  <c r="F48" i="119" s="1"/>
  <c r="C82" i="115"/>
  <c r="E82" i="115" s="1"/>
  <c r="D81" i="115"/>
  <c r="B82" i="115"/>
  <c r="K76" i="115"/>
  <c r="F77" i="115" s="1"/>
  <c r="G76" i="115"/>
  <c r="C52" i="115"/>
  <c r="E52" i="115" s="1"/>
  <c r="B52" i="115"/>
  <c r="D51" i="115"/>
  <c r="K75" i="114"/>
  <c r="F76" i="114" s="1"/>
  <c r="G75" i="114"/>
  <c r="C80" i="114"/>
  <c r="E80" i="114" s="1"/>
  <c r="B80" i="114"/>
  <c r="D79" i="114"/>
  <c r="D55" i="114"/>
  <c r="B56" i="114"/>
  <c r="C56" i="114"/>
  <c r="E56" i="114" s="1"/>
  <c r="G53" i="114"/>
  <c r="F54" i="114"/>
  <c r="K54" i="114" s="1"/>
  <c r="K48" i="119" l="1"/>
  <c r="F49" i="119" s="1"/>
  <c r="G48" i="119"/>
  <c r="D34" i="145" s="1"/>
  <c r="D78" i="119"/>
  <c r="E78" i="119"/>
  <c r="C79" i="119"/>
  <c r="B79" i="119"/>
  <c r="D53" i="119"/>
  <c r="C54" i="119"/>
  <c r="E54" i="119" s="1"/>
  <c r="B54" i="119"/>
  <c r="K73" i="119"/>
  <c r="F74" i="119" s="1"/>
  <c r="G73" i="119"/>
  <c r="C53" i="115"/>
  <c r="E53" i="115" s="1"/>
  <c r="D52" i="115"/>
  <c r="B53" i="115"/>
  <c r="K77" i="115"/>
  <c r="F78" i="115" s="1"/>
  <c r="G77" i="115"/>
  <c r="B83" i="115"/>
  <c r="C83" i="115"/>
  <c r="E83" i="115" s="1"/>
  <c r="D82" i="115"/>
  <c r="K76" i="114"/>
  <c r="F77" i="114" s="1"/>
  <c r="G76" i="114"/>
  <c r="B81" i="114"/>
  <c r="C81" i="114"/>
  <c r="E81" i="114" s="1"/>
  <c r="D80" i="114"/>
  <c r="D56" i="114"/>
  <c r="C57" i="114"/>
  <c r="E57" i="114" s="1"/>
  <c r="B57" i="114"/>
  <c r="F55" i="114"/>
  <c r="K55" i="114" s="1"/>
  <c r="G54" i="114"/>
  <c r="E79" i="119" l="1"/>
  <c r="B80" i="119"/>
  <c r="C80" i="119"/>
  <c r="D79" i="119"/>
  <c r="K74" i="119"/>
  <c r="F75" i="119" s="1"/>
  <c r="G74" i="119"/>
  <c r="C55" i="119"/>
  <c r="E55" i="119" s="1"/>
  <c r="D54" i="119"/>
  <c r="B55" i="119"/>
  <c r="K49" i="119"/>
  <c r="F50" i="119" s="1"/>
  <c r="G49" i="119"/>
  <c r="E34" i="145" s="1"/>
  <c r="F34" i="145" s="1"/>
  <c r="K78" i="115"/>
  <c r="F79" i="115" s="1"/>
  <c r="G78" i="115"/>
  <c r="B84" i="115"/>
  <c r="D83" i="115"/>
  <c r="C84" i="115"/>
  <c r="E84" i="115" s="1"/>
  <c r="D53" i="115"/>
  <c r="B54" i="115"/>
  <c r="C54" i="115"/>
  <c r="E54" i="115" s="1"/>
  <c r="K77" i="114"/>
  <c r="F78" i="114" s="1"/>
  <c r="G77" i="114"/>
  <c r="B82" i="114"/>
  <c r="C82" i="114"/>
  <c r="E82" i="114" s="1"/>
  <c r="D81" i="114"/>
  <c r="B58" i="114"/>
  <c r="C58" i="114"/>
  <c r="E58" i="114" s="1"/>
  <c r="D57" i="114"/>
  <c r="G55" i="114"/>
  <c r="F56" i="114"/>
  <c r="K56" i="114" s="1"/>
  <c r="K75" i="119" l="1"/>
  <c r="F76" i="119" s="1"/>
  <c r="G75" i="119"/>
  <c r="B56" i="119"/>
  <c r="D55" i="119"/>
  <c r="C56" i="119"/>
  <c r="E56" i="119" s="1"/>
  <c r="C81" i="119"/>
  <c r="D80" i="119"/>
  <c r="B81" i="119"/>
  <c r="E80" i="119"/>
  <c r="G50" i="119"/>
  <c r="K50" i="119"/>
  <c r="F51" i="119" s="1"/>
  <c r="K79" i="115"/>
  <c r="F80" i="115" s="1"/>
  <c r="G79" i="115"/>
  <c r="C85" i="115"/>
  <c r="E85" i="115" s="1"/>
  <c r="D84" i="115"/>
  <c r="B85" i="115"/>
  <c r="D54" i="115"/>
  <c r="C55" i="115"/>
  <c r="E55" i="115" s="1"/>
  <c r="B55" i="115"/>
  <c r="K78" i="114"/>
  <c r="F79" i="114" s="1"/>
  <c r="G78" i="114"/>
  <c r="B83" i="114"/>
  <c r="C83" i="114"/>
  <c r="E83" i="114" s="1"/>
  <c r="D82" i="114"/>
  <c r="B59" i="114"/>
  <c r="C59" i="114"/>
  <c r="E59" i="114" s="1"/>
  <c r="D58" i="114"/>
  <c r="F57" i="114"/>
  <c r="K57" i="114" s="1"/>
  <c r="G56" i="114"/>
  <c r="B24" i="134" s="1"/>
  <c r="D56" i="119" l="1"/>
  <c r="C57" i="119"/>
  <c r="E57" i="119" s="1"/>
  <c r="B57" i="119"/>
  <c r="G51" i="119"/>
  <c r="K51" i="119"/>
  <c r="F52" i="119" s="1"/>
  <c r="B82" i="119"/>
  <c r="E81" i="119"/>
  <c r="D81" i="119"/>
  <c r="C82" i="119"/>
  <c r="G76" i="119"/>
  <c r="K76" i="119"/>
  <c r="F77" i="119" s="1"/>
  <c r="C56" i="115"/>
  <c r="E56" i="115" s="1"/>
  <c r="B56" i="115"/>
  <c r="D55" i="115"/>
  <c r="B86" i="115"/>
  <c r="C86" i="115"/>
  <c r="E86" i="115" s="1"/>
  <c r="D85" i="115"/>
  <c r="K80" i="115"/>
  <c r="F81" i="115" s="1"/>
  <c r="G80" i="115"/>
  <c r="K79" i="114"/>
  <c r="F80" i="114" s="1"/>
  <c r="G79" i="114"/>
  <c r="C84" i="114"/>
  <c r="E84" i="114" s="1"/>
  <c r="B84" i="114"/>
  <c r="D83" i="114"/>
  <c r="C60" i="114"/>
  <c r="E60" i="114" s="1"/>
  <c r="B60" i="114"/>
  <c r="D59" i="114"/>
  <c r="F58" i="114"/>
  <c r="K58" i="114" s="1"/>
  <c r="G57" i="114"/>
  <c r="C24" i="134" s="1"/>
  <c r="G77" i="119" l="1"/>
  <c r="K77" i="119"/>
  <c r="F78" i="119" s="1"/>
  <c r="K52" i="119"/>
  <c r="F53" i="119" s="1"/>
  <c r="G52" i="119"/>
  <c r="D57" i="119"/>
  <c r="C83" i="119"/>
  <c r="B83" i="119"/>
  <c r="E82" i="119"/>
  <c r="D82" i="119"/>
  <c r="B57" i="115"/>
  <c r="C57" i="115"/>
  <c r="E57" i="115" s="1"/>
  <c r="B87" i="115"/>
  <c r="D86" i="115"/>
  <c r="C87" i="115"/>
  <c r="E87" i="115" s="1"/>
  <c r="K81" i="115"/>
  <c r="F82" i="115" s="1"/>
  <c r="G81" i="115"/>
  <c r="D56" i="115"/>
  <c r="K80" i="114"/>
  <c r="F81" i="114" s="1"/>
  <c r="G80" i="114"/>
  <c r="C85" i="114"/>
  <c r="B85" i="114"/>
  <c r="D84" i="114"/>
  <c r="D60" i="114"/>
  <c r="F59" i="114"/>
  <c r="K59" i="114" s="1"/>
  <c r="G58" i="114"/>
  <c r="D24" i="134" s="1"/>
  <c r="D85" i="114" l="1"/>
  <c r="E85" i="114"/>
  <c r="K53" i="119"/>
  <c r="F54" i="119" s="1"/>
  <c r="G53" i="119"/>
  <c r="K78" i="119"/>
  <c r="F79" i="119" s="1"/>
  <c r="G78" i="119"/>
  <c r="E83" i="119"/>
  <c r="C84" i="119"/>
  <c r="D83" i="119"/>
  <c r="B84" i="119"/>
  <c r="B58" i="115"/>
  <c r="C58" i="115"/>
  <c r="E58" i="115" s="1"/>
  <c r="D57" i="115"/>
  <c r="K82" i="115"/>
  <c r="F83" i="115" s="1"/>
  <c r="G82" i="115"/>
  <c r="C88" i="115"/>
  <c r="E88" i="115" s="1"/>
  <c r="D87" i="115"/>
  <c r="B88" i="115"/>
  <c r="K81" i="114"/>
  <c r="F82" i="114" s="1"/>
  <c r="G81" i="114"/>
  <c r="B86" i="114"/>
  <c r="C86" i="114"/>
  <c r="E86" i="114" s="1"/>
  <c r="G59" i="114"/>
  <c r="E24" i="134" s="1"/>
  <c r="F24" i="134" s="1"/>
  <c r="F60" i="114"/>
  <c r="K60" i="114" s="1"/>
  <c r="K54" i="119" l="1"/>
  <c r="F55" i="119" s="1"/>
  <c r="G54" i="119"/>
  <c r="K79" i="119"/>
  <c r="F80" i="119" s="1"/>
  <c r="G79" i="119"/>
  <c r="C85" i="119"/>
  <c r="D84" i="119"/>
  <c r="B85" i="119"/>
  <c r="E84" i="119"/>
  <c r="D58" i="115"/>
  <c r="B59" i="115"/>
  <c r="C59" i="115"/>
  <c r="E59" i="115" s="1"/>
  <c r="B89" i="115"/>
  <c r="C89" i="115"/>
  <c r="E89" i="115" s="1"/>
  <c r="D88" i="115"/>
  <c r="K83" i="115"/>
  <c r="F84" i="115" s="1"/>
  <c r="G83" i="115"/>
  <c r="K82" i="114"/>
  <c r="F83" i="114" s="1"/>
  <c r="G82" i="114"/>
  <c r="C87" i="114"/>
  <c r="E87" i="114" s="1"/>
  <c r="D86" i="114"/>
  <c r="B87" i="114"/>
  <c r="G60" i="114"/>
  <c r="B19" i="145" s="1"/>
  <c r="F19" i="145" s="1"/>
  <c r="E85" i="119" l="1"/>
  <c r="B86" i="119"/>
  <c r="D85" i="119"/>
  <c r="C86" i="119"/>
  <c r="K80" i="119"/>
  <c r="F81" i="119" s="1"/>
  <c r="G80" i="119"/>
  <c r="K55" i="119"/>
  <c r="F56" i="119" s="1"/>
  <c r="G55" i="119"/>
  <c r="B60" i="115"/>
  <c r="C60" i="115"/>
  <c r="E60" i="115" s="1"/>
  <c r="D59" i="115"/>
  <c r="K84" i="115"/>
  <c r="F85" i="115" s="1"/>
  <c r="G84" i="115"/>
  <c r="B90" i="115"/>
  <c r="D89" i="115"/>
  <c r="C90" i="115"/>
  <c r="E90" i="115" s="1"/>
  <c r="K83" i="114"/>
  <c r="F84" i="114" s="1"/>
  <c r="G83" i="114"/>
  <c r="D87" i="114"/>
  <c r="B88" i="114"/>
  <c r="C88" i="114"/>
  <c r="E88" i="114" s="1"/>
  <c r="K81" i="119" l="1"/>
  <c r="F82" i="119" s="1"/>
  <c r="G81" i="119"/>
  <c r="C87" i="119"/>
  <c r="E86" i="119"/>
  <c r="D86" i="119"/>
  <c r="B87" i="119"/>
  <c r="K56" i="119"/>
  <c r="F57" i="119" s="1"/>
  <c r="G56" i="119"/>
  <c r="D60" i="115"/>
  <c r="C61" i="115"/>
  <c r="B61" i="115"/>
  <c r="C91" i="115"/>
  <c r="E91" i="115" s="1"/>
  <c r="D90" i="115"/>
  <c r="B91" i="115"/>
  <c r="K85" i="115"/>
  <c r="F86" i="115" s="1"/>
  <c r="G85" i="115"/>
  <c r="K84" i="114"/>
  <c r="F85" i="114" s="1"/>
  <c r="G84" i="114"/>
  <c r="B89" i="114"/>
  <c r="C89" i="114"/>
  <c r="E89" i="114" s="1"/>
  <c r="D88" i="114"/>
  <c r="B62" i="115" l="1"/>
  <c r="C62" i="115"/>
  <c r="E61" i="115"/>
  <c r="E87" i="119"/>
  <c r="B88" i="119"/>
  <c r="C88" i="119"/>
  <c r="D87" i="119"/>
  <c r="K57" i="119"/>
  <c r="G57" i="119"/>
  <c r="K82" i="119"/>
  <c r="F83" i="119" s="1"/>
  <c r="G82" i="119"/>
  <c r="D61" i="115"/>
  <c r="K86" i="115"/>
  <c r="F87" i="115" s="1"/>
  <c r="G86" i="115"/>
  <c r="B92" i="115"/>
  <c r="C92" i="115"/>
  <c r="E92" i="115" s="1"/>
  <c r="D91" i="115"/>
  <c r="K85" i="114"/>
  <c r="F86" i="114" s="1"/>
  <c r="G85" i="114"/>
  <c r="D89" i="114"/>
  <c r="B90" i="114"/>
  <c r="C90" i="114"/>
  <c r="E90" i="114" s="1"/>
  <c r="D62" i="115" l="1"/>
  <c r="E62" i="115"/>
  <c r="B63" i="115"/>
  <c r="C63" i="115"/>
  <c r="C89" i="119"/>
  <c r="D88" i="119"/>
  <c r="B89" i="119"/>
  <c r="E88" i="119"/>
  <c r="G83" i="119"/>
  <c r="K83" i="119"/>
  <c r="F84" i="119" s="1"/>
  <c r="C93" i="115"/>
  <c r="E93" i="115" s="1"/>
  <c r="B93" i="115"/>
  <c r="D92" i="115"/>
  <c r="K87" i="115"/>
  <c r="F88" i="115" s="1"/>
  <c r="G87" i="115"/>
  <c r="K86" i="114"/>
  <c r="F87" i="114" s="1"/>
  <c r="G86" i="114"/>
  <c r="B91" i="114"/>
  <c r="D90" i="114"/>
  <c r="C91" i="114"/>
  <c r="E91" i="114" s="1"/>
  <c r="E63" i="115" l="1"/>
  <c r="D63" i="115"/>
  <c r="G84" i="119"/>
  <c r="K84" i="119"/>
  <c r="F85" i="119" s="1"/>
  <c r="B90" i="119"/>
  <c r="C90" i="119"/>
  <c r="E89" i="119"/>
  <c r="D89" i="119"/>
  <c r="K88" i="115"/>
  <c r="F89" i="115" s="1"/>
  <c r="G88" i="115"/>
  <c r="C94" i="115"/>
  <c r="E94" i="115" s="1"/>
  <c r="D93" i="115"/>
  <c r="B94" i="115"/>
  <c r="K87" i="114"/>
  <c r="F88" i="114" s="1"/>
  <c r="G87" i="114"/>
  <c r="D91" i="114"/>
  <c r="B92" i="114"/>
  <c r="C92" i="114"/>
  <c r="E92" i="114" s="1"/>
  <c r="E90" i="119" l="1"/>
  <c r="D90" i="119"/>
  <c r="G85" i="119"/>
  <c r="K85" i="119"/>
  <c r="F86" i="119" s="1"/>
  <c r="B95" i="115"/>
  <c r="D94" i="115"/>
  <c r="C95" i="115"/>
  <c r="E95" i="115" s="1"/>
  <c r="K89" i="115"/>
  <c r="F90" i="115" s="1"/>
  <c r="G89" i="115"/>
  <c r="K88" i="114"/>
  <c r="F89" i="114" s="1"/>
  <c r="G88" i="114"/>
  <c r="B93" i="114"/>
  <c r="C93" i="114"/>
  <c r="D92" i="114"/>
  <c r="D93" i="114" l="1"/>
  <c r="E93" i="114"/>
  <c r="K86" i="119"/>
  <c r="F87" i="119" s="1"/>
  <c r="G86" i="119"/>
  <c r="D95" i="115"/>
  <c r="K90" i="115"/>
  <c r="F91" i="115" s="1"/>
  <c r="G90" i="115"/>
  <c r="K89" i="114"/>
  <c r="F90" i="114" s="1"/>
  <c r="G89" i="114"/>
  <c r="B25" i="134" s="1"/>
  <c r="K87" i="119" l="1"/>
  <c r="F88" i="119" s="1"/>
  <c r="G87" i="119"/>
  <c r="K91" i="115"/>
  <c r="F92" i="115" s="1"/>
  <c r="G91" i="115"/>
  <c r="K90" i="114"/>
  <c r="F91" i="114" s="1"/>
  <c r="G90" i="114"/>
  <c r="C25" i="134" s="1"/>
  <c r="K88" i="119" l="1"/>
  <c r="F89" i="119" s="1"/>
  <c r="G88" i="119"/>
  <c r="K92" i="115"/>
  <c r="F93" i="115" s="1"/>
  <c r="G92" i="115"/>
  <c r="K91" i="114"/>
  <c r="F92" i="114" s="1"/>
  <c r="G91" i="114"/>
  <c r="D25" i="134" s="1"/>
  <c r="K89" i="119" l="1"/>
  <c r="F90" i="119" s="1"/>
  <c r="G89" i="119"/>
  <c r="K93" i="115"/>
  <c r="F94" i="115" s="1"/>
  <c r="G93" i="115"/>
  <c r="K92" i="114"/>
  <c r="F93" i="114" s="1"/>
  <c r="G92" i="114"/>
  <c r="E25" i="134" s="1"/>
  <c r="F25" i="134" s="1"/>
  <c r="K90" i="119" l="1"/>
  <c r="G90" i="119"/>
  <c r="K94" i="115"/>
  <c r="F95" i="115" s="1"/>
  <c r="G94" i="115"/>
  <c r="K93" i="114"/>
  <c r="G93" i="114"/>
  <c r="B20" i="145" s="1"/>
  <c r="F20" i="145" s="1"/>
  <c r="H30" i="112"/>
  <c r="H17" i="112"/>
  <c r="B11" i="112"/>
  <c r="C3" i="112"/>
  <c r="F2" i="112"/>
  <c r="D3" i="112"/>
  <c r="E3" i="112"/>
  <c r="G48" i="134" l="1"/>
  <c r="F11" i="112"/>
  <c r="H29" i="112"/>
  <c r="H18" i="112"/>
  <c r="H19" i="112"/>
  <c r="H21" i="112"/>
  <c r="H22" i="112"/>
  <c r="H11" i="112"/>
  <c r="H25" i="112"/>
  <c r="H13" i="112"/>
  <c r="H26" i="112"/>
  <c r="H14" i="112"/>
  <c r="H27" i="112"/>
  <c r="C11" i="112"/>
  <c r="E11" i="112" s="1"/>
  <c r="K95" i="115"/>
  <c r="G95" i="115"/>
  <c r="H12" i="112"/>
  <c r="H20" i="112"/>
  <c r="H28" i="112"/>
  <c r="H15" i="112"/>
  <c r="H23" i="112"/>
  <c r="H16" i="112"/>
  <c r="H24" i="112"/>
  <c r="F3" i="112"/>
  <c r="H48" i="134" l="1"/>
  <c r="H53" i="134" s="1"/>
  <c r="E48" i="134"/>
  <c r="F48" i="134" s="1"/>
  <c r="G53" i="134"/>
  <c r="C12" i="112"/>
  <c r="E12" i="112" s="1"/>
  <c r="B12" i="112"/>
  <c r="D11" i="112"/>
  <c r="I11" i="112" s="1"/>
  <c r="J23" i="112" l="1"/>
  <c r="J15" i="112"/>
  <c r="J20" i="112"/>
  <c r="J13" i="112"/>
  <c r="J30" i="112"/>
  <c r="J19" i="112"/>
  <c r="J24" i="112"/>
  <c r="J17" i="112"/>
  <c r="J11" i="112"/>
  <c r="E49" i="134" s="1"/>
  <c r="F49" i="134" s="1"/>
  <c r="J26" i="112"/>
  <c r="J18" i="112"/>
  <c r="J28" i="112"/>
  <c r="J16" i="112"/>
  <c r="J27" i="112"/>
  <c r="J21" i="112"/>
  <c r="J14" i="112"/>
  <c r="J29" i="112"/>
  <c r="J25" i="112"/>
  <c r="J12" i="112"/>
  <c r="J22" i="112"/>
  <c r="I48" i="134"/>
  <c r="I53" i="134" s="1"/>
  <c r="D12" i="112"/>
  <c r="C13" i="112"/>
  <c r="E13" i="112" s="1"/>
  <c r="B13" i="112"/>
  <c r="D13" i="112" s="1"/>
  <c r="K11" i="112" l="1"/>
  <c r="F12" i="112" s="1"/>
  <c r="K12" i="112" s="1"/>
  <c r="F13" i="112" s="1"/>
  <c r="K13" i="112" s="1"/>
  <c r="F14" i="112" s="1"/>
  <c r="K14" i="112" s="1"/>
  <c r="F15" i="112" s="1"/>
  <c r="K15" i="112" s="1"/>
  <c r="F16" i="112" s="1"/>
  <c r="K16" i="112" s="1"/>
  <c r="C14" i="112"/>
  <c r="E14" i="112" s="1"/>
  <c r="B14" i="112"/>
  <c r="G12" i="112" l="1"/>
  <c r="B49" i="145" s="1"/>
  <c r="D14" i="112"/>
  <c r="G13" i="112"/>
  <c r="C49" i="145" s="1"/>
  <c r="C15" i="112"/>
  <c r="E15" i="112" s="1"/>
  <c r="G14" i="112"/>
  <c r="D49" i="145" s="1"/>
  <c r="B15" i="112"/>
  <c r="F17" i="112"/>
  <c r="K17" i="112" s="1"/>
  <c r="D15" i="112" l="1"/>
  <c r="C16" i="112"/>
  <c r="E16" i="112" s="1"/>
  <c r="G15" i="112"/>
  <c r="E49" i="145" s="1"/>
  <c r="F49" i="145" s="1"/>
  <c r="B16" i="112"/>
  <c r="F18" i="112"/>
  <c r="K18" i="112" s="1"/>
  <c r="D16" i="112" l="1"/>
  <c r="G16" i="112"/>
  <c r="C17" i="112"/>
  <c r="E17" i="112" s="1"/>
  <c r="B17" i="112"/>
  <c r="F19" i="112"/>
  <c r="K19" i="112" s="1"/>
  <c r="D17" i="112" l="1"/>
  <c r="G17" i="112"/>
  <c r="C18" i="112"/>
  <c r="E18" i="112" s="1"/>
  <c r="B18" i="112"/>
  <c r="F20" i="112"/>
  <c r="K20" i="112" s="1"/>
  <c r="C19" i="112" l="1"/>
  <c r="E19" i="112" s="1"/>
  <c r="B19" i="112"/>
  <c r="D18" i="112"/>
  <c r="F21" i="112"/>
  <c r="K21" i="112" s="1"/>
  <c r="C20" i="112" l="1"/>
  <c r="E20" i="112" s="1"/>
  <c r="B20" i="112"/>
  <c r="D20" i="112" s="1"/>
  <c r="D19" i="112"/>
  <c r="G18" i="112"/>
  <c r="F22" i="112"/>
  <c r="K22" i="112" s="1"/>
  <c r="G19" i="112" l="1"/>
  <c r="C21" i="112"/>
  <c r="E21" i="112" s="1"/>
  <c r="G20" i="112"/>
  <c r="B21" i="112"/>
  <c r="F23" i="112"/>
  <c r="K23" i="112" s="1"/>
  <c r="D21" i="112" l="1"/>
  <c r="C22" i="112"/>
  <c r="E22" i="112" s="1"/>
  <c r="G21" i="112"/>
  <c r="B22" i="112"/>
  <c r="F24" i="112"/>
  <c r="K24" i="112" s="1"/>
  <c r="C23" i="112" l="1"/>
  <c r="E23" i="112" s="1"/>
  <c r="D22" i="112"/>
  <c r="B23" i="112"/>
  <c r="F25" i="112"/>
  <c r="K25" i="112" s="1"/>
  <c r="G22" i="112" l="1"/>
  <c r="C24" i="112"/>
  <c r="E24" i="112" s="1"/>
  <c r="B24" i="112"/>
  <c r="D24" i="112" s="1"/>
  <c r="D23" i="112"/>
  <c r="G23" i="112" s="1"/>
  <c r="F26" i="112"/>
  <c r="K26" i="112" s="1"/>
  <c r="C25" i="112" l="1"/>
  <c r="E25" i="112" s="1"/>
  <c r="G24" i="112"/>
  <c r="B25" i="112"/>
  <c r="F27" i="112"/>
  <c r="K27" i="112" s="1"/>
  <c r="D25" i="112" l="1"/>
  <c r="C26" i="112"/>
  <c r="E26" i="112" s="1"/>
  <c r="G25" i="112"/>
  <c r="B26" i="112"/>
  <c r="F28" i="112"/>
  <c r="K28" i="112" s="1"/>
  <c r="D26" i="112" l="1"/>
  <c r="C27" i="112"/>
  <c r="E27" i="112" s="1"/>
  <c r="G26" i="112"/>
  <c r="B27" i="112"/>
  <c r="F29" i="112"/>
  <c r="K29" i="112" s="1"/>
  <c r="D27" i="112" l="1"/>
  <c r="C28" i="112"/>
  <c r="E28" i="112" s="1"/>
  <c r="G27" i="112"/>
  <c r="B28" i="112"/>
  <c r="F30" i="112"/>
  <c r="K30" i="112" s="1"/>
  <c r="D28" i="112" l="1"/>
  <c r="C29" i="112"/>
  <c r="E29" i="112" s="1"/>
  <c r="G28" i="112"/>
  <c r="B29" i="112"/>
  <c r="D29" i="112" l="1"/>
  <c r="C30" i="112"/>
  <c r="E30" i="112" s="1"/>
  <c r="G29" i="112"/>
  <c r="B30" i="112"/>
  <c r="D30" i="112" l="1"/>
  <c r="G30" i="112"/>
  <c r="F13" i="33" l="1"/>
  <c r="F14" i="33"/>
  <c r="F19" i="33"/>
  <c r="F20" i="33"/>
  <c r="F37" i="33"/>
  <c r="F38" i="33"/>
  <c r="F49" i="33"/>
  <c r="F50" i="33"/>
  <c r="F36" i="29"/>
  <c r="F37" i="29"/>
  <c r="F19" i="32"/>
  <c r="F20" i="32"/>
  <c r="B78" i="1"/>
  <c r="F78" i="1" s="1"/>
  <c r="B43" i="27"/>
  <c r="F60" i="22"/>
  <c r="F55" i="27"/>
  <c r="D8" i="32"/>
  <c r="E19" i="29"/>
  <c r="E14" i="27"/>
  <c r="D73" i="22"/>
  <c r="E73" i="22"/>
  <c r="E17" i="29"/>
  <c r="E12" i="27"/>
  <c r="E41" i="22"/>
  <c r="E10" i="1"/>
  <c r="D4" i="1"/>
  <c r="E4" i="1"/>
  <c r="D40" i="22"/>
  <c r="E40" i="22"/>
  <c r="C10" i="22"/>
  <c r="D10" i="22"/>
  <c r="E10" i="22"/>
  <c r="D4" i="22"/>
  <c r="E4" i="22"/>
  <c r="C70" i="22"/>
  <c r="D70" i="22"/>
  <c r="E70" i="22"/>
  <c r="E11" i="27"/>
  <c r="D10" i="29"/>
  <c r="E16" i="29"/>
  <c r="E13" i="32"/>
  <c r="F61" i="22"/>
  <c r="G46" i="22"/>
  <c r="E71" i="22"/>
  <c r="D71" i="22"/>
  <c r="G16" i="29"/>
  <c r="G29" i="27"/>
  <c r="E44" i="27"/>
  <c r="G16" i="22"/>
  <c r="E7" i="27"/>
  <c r="C36" i="1"/>
  <c r="C7" i="27"/>
  <c r="D24" i="22"/>
  <c r="B29" i="27"/>
  <c r="D64" i="1"/>
  <c r="E64" i="1"/>
  <c r="C46" i="22"/>
  <c r="D46" i="22"/>
  <c r="B48" i="22"/>
  <c r="B4" i="1"/>
  <c r="B18" i="1"/>
  <c r="F7" i="1"/>
  <c r="F6" i="1"/>
  <c r="C18" i="1"/>
  <c r="C4" i="1"/>
  <c r="B16" i="29"/>
  <c r="C16" i="29"/>
  <c r="D16" i="29"/>
  <c r="C18" i="29"/>
  <c r="D18" i="29"/>
  <c r="G4" i="1"/>
  <c r="G16" i="1"/>
  <c r="G34" i="1"/>
  <c r="G40" i="1"/>
  <c r="K50" i="1"/>
  <c r="L50" i="1"/>
  <c r="G64" i="1"/>
  <c r="G70" i="1"/>
  <c r="G76" i="1"/>
  <c r="F82" i="1"/>
  <c r="I82" i="1"/>
  <c r="F83" i="1"/>
  <c r="F84" i="1"/>
  <c r="F85" i="1"/>
  <c r="B86" i="1"/>
  <c r="C86" i="1"/>
  <c r="D86" i="1"/>
  <c r="E86" i="1"/>
  <c r="F89" i="1"/>
  <c r="F90" i="1"/>
  <c r="F91" i="1"/>
  <c r="F92" i="1"/>
  <c r="B93" i="1"/>
  <c r="C93" i="1"/>
  <c r="D93" i="1"/>
  <c r="E93" i="1"/>
  <c r="F96" i="1"/>
  <c r="F97" i="1"/>
  <c r="F98" i="1"/>
  <c r="F99" i="1"/>
  <c r="B100" i="1"/>
  <c r="C100" i="1"/>
  <c r="D100" i="1"/>
  <c r="E100" i="1"/>
  <c r="K32" i="22"/>
  <c r="L32" i="22"/>
  <c r="D41" i="27"/>
  <c r="E41" i="27"/>
  <c r="E42" i="27"/>
  <c r="F56" i="27"/>
  <c r="B16" i="1"/>
  <c r="B70" i="22"/>
  <c r="G70" i="22"/>
  <c r="B24" i="1"/>
  <c r="G17" i="32"/>
  <c r="G17" i="33"/>
  <c r="E17" i="33"/>
  <c r="C17" i="33"/>
  <c r="E17" i="32"/>
  <c r="C17" i="32"/>
  <c r="E34" i="29"/>
  <c r="C34" i="29"/>
  <c r="E53" i="27"/>
  <c r="C53" i="27"/>
  <c r="G58" i="22"/>
  <c r="G34" i="29"/>
  <c r="D17" i="33"/>
  <c r="B17" i="33"/>
  <c r="D17" i="32"/>
  <c r="B17" i="32"/>
  <c r="D34" i="29"/>
  <c r="B34" i="29"/>
  <c r="F34" i="29" s="1"/>
  <c r="D53" i="27"/>
  <c r="G53" i="27"/>
  <c r="E24" i="22"/>
  <c r="B13" i="27"/>
  <c r="G5" i="27"/>
  <c r="G10" i="22"/>
  <c r="G5" i="32"/>
  <c r="G35" i="27"/>
  <c r="G52" i="22"/>
  <c r="G22" i="29"/>
  <c r="G41" i="27"/>
  <c r="G64" i="22"/>
  <c r="G22" i="22"/>
  <c r="G11" i="27"/>
  <c r="D31" i="27"/>
  <c r="B31" i="27"/>
  <c r="C48" i="22"/>
  <c r="E66" i="1"/>
  <c r="D7" i="27"/>
  <c r="D36" i="1"/>
  <c r="B12" i="22"/>
  <c r="F12" i="22" s="1"/>
  <c r="D30" i="1"/>
  <c r="B30" i="1"/>
  <c r="B11" i="27"/>
  <c r="D22" i="22"/>
  <c r="B22" i="22"/>
  <c r="F22" i="22" s="1"/>
  <c r="D40" i="1"/>
  <c r="B40" i="1"/>
  <c r="E54" i="22"/>
  <c r="C54" i="22"/>
  <c r="D58" i="22"/>
  <c r="H58" i="22"/>
  <c r="C78" i="1"/>
  <c r="E78" i="1"/>
  <c r="C66" i="22"/>
  <c r="E66" i="22"/>
  <c r="D78" i="1"/>
  <c r="B66" i="22"/>
  <c r="D66" i="22"/>
  <c r="C43" i="27"/>
  <c r="G10" i="1"/>
  <c r="B10" i="1"/>
  <c r="C73" i="22"/>
  <c r="F73" i="22" s="1"/>
  <c r="D44" i="27"/>
  <c r="C41" i="27"/>
  <c r="C76" i="1"/>
  <c r="E76" i="1"/>
  <c r="C64" i="22"/>
  <c r="E64" i="22"/>
  <c r="D76" i="1"/>
  <c r="B76" i="1"/>
  <c r="B41" i="27"/>
  <c r="F41" i="27" s="1"/>
  <c r="D64" i="22"/>
  <c r="B64" i="22"/>
  <c r="B25" i="32"/>
  <c r="G47" i="27"/>
  <c r="G28" i="29"/>
  <c r="G5" i="33"/>
  <c r="G11" i="32"/>
  <c r="C40" i="1"/>
  <c r="E40" i="1"/>
  <c r="C22" i="22"/>
  <c r="E22" i="22"/>
  <c r="C11" i="27"/>
  <c r="D48" i="22"/>
  <c r="D66" i="1"/>
  <c r="E29" i="27"/>
  <c r="D29" i="27"/>
  <c r="C29" i="27"/>
  <c r="E30" i="1"/>
  <c r="C30" i="1"/>
  <c r="C47" i="27"/>
  <c r="B23" i="32"/>
  <c r="C23" i="32"/>
  <c r="D23" i="32"/>
  <c r="F11" i="27"/>
  <c r="B7" i="32"/>
  <c r="F7" i="32" s="1"/>
  <c r="C37" i="27"/>
  <c r="E37" i="27"/>
  <c r="B26" i="32"/>
  <c r="G11" i="33"/>
  <c r="C29" i="33"/>
  <c r="B47" i="33"/>
  <c r="D59" i="22"/>
  <c r="F100" i="1" l="1"/>
  <c r="F18" i="1"/>
  <c r="E47" i="33"/>
  <c r="G40" i="22"/>
  <c r="B40" i="22"/>
  <c r="D58" i="1"/>
  <c r="C40" i="22"/>
  <c r="B58" i="1"/>
  <c r="C58" i="1"/>
  <c r="E58" i="1"/>
  <c r="H58" i="1"/>
  <c r="H17" i="32"/>
  <c r="I17" i="32" s="1"/>
  <c r="E47" i="27"/>
  <c r="D47" i="27"/>
  <c r="F47" i="27" s="1"/>
  <c r="F66" i="22"/>
  <c r="B24" i="22"/>
  <c r="B42" i="1"/>
  <c r="D42" i="1"/>
  <c r="C42" i="1"/>
  <c r="F42" i="1" s="1"/>
  <c r="E42" i="1"/>
  <c r="C25" i="32"/>
  <c r="B53" i="27"/>
  <c r="F53" i="27" s="1"/>
  <c r="H17" i="33"/>
  <c r="I17" i="33" s="1"/>
  <c r="F70" i="22"/>
  <c r="E49" i="27"/>
  <c r="B7" i="33"/>
  <c r="G58" i="1"/>
  <c r="E24" i="1"/>
  <c r="B28" i="1"/>
  <c r="B10" i="22"/>
  <c r="F10" i="22" s="1"/>
  <c r="E28" i="1"/>
  <c r="C28" i="1"/>
  <c r="F40" i="1"/>
  <c r="C13" i="27"/>
  <c r="F13" i="27" s="1"/>
  <c r="F30" i="1"/>
  <c r="F4" i="1"/>
  <c r="F76" i="1"/>
  <c r="F17" i="32"/>
  <c r="F16" i="29"/>
  <c r="F29" i="27"/>
  <c r="E35" i="33"/>
  <c r="D35" i="33"/>
  <c r="F35" i="33" s="1"/>
  <c r="C48" i="27"/>
  <c r="I23" i="33"/>
  <c r="D11" i="33"/>
  <c r="G35" i="33"/>
  <c r="G29" i="33"/>
  <c r="E48" i="27"/>
  <c r="D48" i="27"/>
  <c r="H23" i="32"/>
  <c r="E23" i="32"/>
  <c r="H47" i="27"/>
  <c r="I47" i="27" s="1"/>
  <c r="F43" i="27"/>
  <c r="D37" i="27"/>
  <c r="B54" i="22"/>
  <c r="B72" i="1"/>
  <c r="D54" i="22"/>
  <c r="E24" i="29"/>
  <c r="B37" i="27"/>
  <c r="E72" i="1"/>
  <c r="C72" i="1"/>
  <c r="D72" i="1"/>
  <c r="C24" i="29"/>
  <c r="B24" i="29"/>
  <c r="D24" i="29"/>
  <c r="H76" i="1"/>
  <c r="F64" i="22"/>
  <c r="I58" i="22"/>
  <c r="F48" i="22"/>
  <c r="B54" i="27"/>
  <c r="H64" i="22"/>
  <c r="I64" i="22" s="1"/>
  <c r="H41" i="27"/>
  <c r="I41" i="27" s="1"/>
  <c r="D5" i="27"/>
  <c r="C16" i="22"/>
  <c r="B34" i="1"/>
  <c r="D49" i="27"/>
  <c r="C30" i="29"/>
  <c r="D13" i="32"/>
  <c r="D30" i="29"/>
  <c r="E30" i="29"/>
  <c r="C13" i="32"/>
  <c r="D7" i="33"/>
  <c r="B13" i="32"/>
  <c r="B31" i="32" s="1"/>
  <c r="E7" i="33"/>
  <c r="B30" i="29"/>
  <c r="C7" i="33"/>
  <c r="E58" i="22"/>
  <c r="F58" i="22" s="1"/>
  <c r="H53" i="27"/>
  <c r="I53" i="27" s="1"/>
  <c r="F10" i="1"/>
  <c r="F17" i="33"/>
  <c r="F93" i="1"/>
  <c r="F86" i="1"/>
  <c r="C18" i="22"/>
  <c r="E18" i="22"/>
  <c r="E36" i="1"/>
  <c r="B18" i="22"/>
  <c r="D18" i="22"/>
  <c r="B7" i="27"/>
  <c r="F7" i="27" s="1"/>
  <c r="B36" i="1"/>
  <c r="C6" i="22"/>
  <c r="B6" i="22"/>
  <c r="F6" i="22" s="1"/>
  <c r="C24" i="1"/>
  <c r="D24" i="1"/>
  <c r="C16" i="1"/>
  <c r="G23" i="32"/>
  <c r="G29" i="32" s="1"/>
  <c r="G41" i="33"/>
  <c r="C31" i="27"/>
  <c r="B18" i="29"/>
  <c r="F18" i="29" s="1"/>
  <c r="E48" i="22"/>
  <c r="B66" i="1"/>
  <c r="F66" i="1" s="1"/>
  <c r="E31" i="27"/>
  <c r="C66" i="1"/>
  <c r="H34" i="29"/>
  <c r="D28" i="1"/>
  <c r="G28" i="1"/>
  <c r="C35" i="27"/>
  <c r="C24" i="22"/>
  <c r="C64" i="1"/>
  <c r="H4" i="1"/>
  <c r="I4" i="1" s="1"/>
  <c r="E46" i="22"/>
  <c r="B46" i="22"/>
  <c r="F46" i="22" s="1"/>
  <c r="C31" i="32" l="1"/>
  <c r="I58" i="1"/>
  <c r="H40" i="22"/>
  <c r="I40" i="22" s="1"/>
  <c r="F40" i="22"/>
  <c r="C26" i="32"/>
  <c r="E17" i="22"/>
  <c r="G47" i="33"/>
  <c r="F24" i="29"/>
  <c r="F72" i="1"/>
  <c r="C54" i="27"/>
  <c r="F58" i="1"/>
  <c r="H28" i="1"/>
  <c r="D34" i="1"/>
  <c r="B35" i="29"/>
  <c r="F28" i="1"/>
  <c r="B5" i="27"/>
  <c r="F54" i="22"/>
  <c r="F24" i="22"/>
  <c r="E42" i="29"/>
  <c r="E11" i="33"/>
  <c r="F11" i="33" s="1"/>
  <c r="C52" i="22"/>
  <c r="B70" i="1"/>
  <c r="F70" i="1" s="1"/>
  <c r="E22" i="29"/>
  <c r="D22" i="29"/>
  <c r="H35" i="27"/>
  <c r="I35" i="27" s="1"/>
  <c r="E52" i="22"/>
  <c r="E35" i="27"/>
  <c r="B22" i="29"/>
  <c r="D70" i="1"/>
  <c r="E70" i="1"/>
  <c r="B35" i="27"/>
  <c r="B5" i="32"/>
  <c r="F5" i="32" s="1"/>
  <c r="D52" i="22"/>
  <c r="C22" i="29"/>
  <c r="D35" i="27"/>
  <c r="B52" i="22"/>
  <c r="F52" i="22" s="1"/>
  <c r="E54" i="27"/>
  <c r="F24" i="1"/>
  <c r="D54" i="27"/>
  <c r="B16" i="22"/>
  <c r="D42" i="29"/>
  <c r="D35" i="1"/>
  <c r="G53" i="33"/>
  <c r="F23" i="33"/>
  <c r="F25" i="33"/>
  <c r="F48" i="27"/>
  <c r="H11" i="33"/>
  <c r="I11" i="33" s="1"/>
  <c r="I28" i="1"/>
  <c r="E59" i="22"/>
  <c r="F59" i="22" s="1"/>
  <c r="D25" i="32"/>
  <c r="D31" i="32" s="1"/>
  <c r="I23" i="32"/>
  <c r="H70" i="22"/>
  <c r="C49" i="27"/>
  <c r="E16" i="22"/>
  <c r="C34" i="1"/>
  <c r="B34" i="22"/>
  <c r="B29" i="29"/>
  <c r="C70" i="1"/>
  <c r="H52" i="22"/>
  <c r="I52" i="22" s="1"/>
  <c r="B64" i="1"/>
  <c r="F64" i="1" s="1"/>
  <c r="H29" i="27"/>
  <c r="I29" i="27" s="1"/>
  <c r="F31" i="27"/>
  <c r="H16" i="22"/>
  <c r="I16" i="22" s="1"/>
  <c r="H46" i="22"/>
  <c r="I46" i="22" s="1"/>
  <c r="I34" i="29"/>
  <c r="H22" i="22"/>
  <c r="I22" i="22" s="1"/>
  <c r="H40" i="1"/>
  <c r="I40" i="1" s="1"/>
  <c r="H11" i="27"/>
  <c r="I11" i="27" s="1"/>
  <c r="B12" i="1"/>
  <c r="F12" i="1" s="1"/>
  <c r="I76" i="1"/>
  <c r="B36" i="22"/>
  <c r="H64" i="1"/>
  <c r="I64" i="1" s="1"/>
  <c r="G4" i="22"/>
  <c r="G22" i="1"/>
  <c r="B41" i="33"/>
  <c r="D47" i="33"/>
  <c r="F47" i="33" s="1"/>
  <c r="H47" i="33"/>
  <c r="H10" i="1"/>
  <c r="I10" i="1" s="1"/>
  <c r="B24" i="32"/>
  <c r="H29" i="33"/>
  <c r="I29" i="33" s="1"/>
  <c r="D29" i="33"/>
  <c r="F36" i="1"/>
  <c r="F18" i="22"/>
  <c r="F13" i="32"/>
  <c r="D16" i="22"/>
  <c r="E34" i="1"/>
  <c r="F16" i="1"/>
  <c r="F37" i="27"/>
  <c r="B28" i="29"/>
  <c r="C6" i="27"/>
  <c r="B35" i="1"/>
  <c r="B17" i="22"/>
  <c r="H34" i="1"/>
  <c r="I34" i="1" s="1"/>
  <c r="H5" i="27"/>
  <c r="I5" i="27" s="1"/>
  <c r="F7" i="33"/>
  <c r="B60" i="1"/>
  <c r="H16" i="29"/>
  <c r="I16" i="29" s="1"/>
  <c r="F30" i="29"/>
  <c r="G52" i="1"/>
  <c r="G23" i="27"/>
  <c r="G34" i="22"/>
  <c r="G10" i="29"/>
  <c r="H10" i="22"/>
  <c r="I10" i="22" s="1"/>
  <c r="H16" i="1"/>
  <c r="I16" i="1" s="1"/>
  <c r="C5" i="27"/>
  <c r="E5" i="27"/>
  <c r="F54" i="27"/>
  <c r="C17" i="22"/>
  <c r="F23" i="32"/>
  <c r="F35" i="27" l="1"/>
  <c r="F16" i="22"/>
  <c r="I47" i="33"/>
  <c r="H70" i="1"/>
  <c r="I70" i="1" s="1"/>
  <c r="D26" i="32"/>
  <c r="D17" i="22"/>
  <c r="C77" i="1"/>
  <c r="F5" i="27"/>
  <c r="E35" i="1"/>
  <c r="F22" i="29"/>
  <c r="G28" i="22"/>
  <c r="G76" i="22" s="1"/>
  <c r="G17" i="27"/>
  <c r="G59" i="27" s="1"/>
  <c r="G4" i="29"/>
  <c r="G40" i="29" s="1"/>
  <c r="G46" i="1"/>
  <c r="F34" i="1"/>
  <c r="D36" i="33"/>
  <c r="H5" i="32"/>
  <c r="I5" i="32" s="1"/>
  <c r="B6" i="27"/>
  <c r="C35" i="29"/>
  <c r="D65" i="22"/>
  <c r="C35" i="1"/>
  <c r="H22" i="29"/>
  <c r="I22" i="29" s="1"/>
  <c r="H35" i="33"/>
  <c r="I35" i="33" s="1"/>
  <c r="B17" i="1"/>
  <c r="B30" i="22"/>
  <c r="C41" i="33"/>
  <c r="C22" i="1"/>
  <c r="D22" i="1"/>
  <c r="C4" i="22"/>
  <c r="B22" i="1"/>
  <c r="B65" i="22"/>
  <c r="C29" i="29"/>
  <c r="D6" i="27"/>
  <c r="C28" i="29"/>
  <c r="B54" i="1"/>
  <c r="B105" i="1" s="1"/>
  <c r="C34" i="22"/>
  <c r="B31" i="33"/>
  <c r="B11" i="22"/>
  <c r="B48" i="1"/>
  <c r="C42" i="27"/>
  <c r="B29" i="1"/>
  <c r="C29" i="1"/>
  <c r="E25" i="32"/>
  <c r="E31" i="32" s="1"/>
  <c r="E6" i="27"/>
  <c r="D77" i="1"/>
  <c r="D29" i="1"/>
  <c r="D28" i="29"/>
  <c r="D40" i="29" s="1"/>
  <c r="F17" i="22"/>
  <c r="B77" i="1"/>
  <c r="E29" i="1"/>
  <c r="I70" i="22"/>
  <c r="C36" i="22"/>
  <c r="E65" i="22"/>
  <c r="C60" i="1"/>
  <c r="F49" i="27"/>
  <c r="F35" i="1"/>
  <c r="E29" i="33"/>
  <c r="C24" i="32"/>
  <c r="E77" i="1"/>
  <c r="C65" i="22"/>
  <c r="B42" i="27"/>
  <c r="C11" i="22"/>
  <c r="G103" i="1" l="1"/>
  <c r="D46" i="1"/>
  <c r="E46" i="1"/>
  <c r="H46" i="1"/>
  <c r="I46" i="1" s="1"/>
  <c r="B46" i="1"/>
  <c r="C46" i="1"/>
  <c r="E26" i="32"/>
  <c r="F26" i="32" s="1"/>
  <c r="F6" i="27"/>
  <c r="D12" i="33"/>
  <c r="D35" i="29"/>
  <c r="D30" i="33"/>
  <c r="F29" i="33"/>
  <c r="E12" i="33"/>
  <c r="E36" i="33"/>
  <c r="C48" i="1"/>
  <c r="C31" i="33"/>
  <c r="B4" i="22"/>
  <c r="E22" i="1"/>
  <c r="F22" i="1" s="1"/>
  <c r="C17" i="1"/>
  <c r="D36" i="22"/>
  <c r="B52" i="1"/>
  <c r="D55" i="1"/>
  <c r="D34" i="22"/>
  <c r="D29" i="29"/>
  <c r="F77" i="1"/>
  <c r="D42" i="27"/>
  <c r="C71" i="22"/>
  <c r="D60" i="1"/>
  <c r="B11" i="1"/>
  <c r="F11" i="1" s="1"/>
  <c r="C30" i="22"/>
  <c r="F65" i="22"/>
  <c r="H4" i="22"/>
  <c r="I4" i="22" s="1"/>
  <c r="H22" i="1"/>
  <c r="I22" i="1" s="1"/>
  <c r="F25" i="32"/>
  <c r="F11" i="22"/>
  <c r="C55" i="1"/>
  <c r="E28" i="29"/>
  <c r="H28" i="29"/>
  <c r="D24" i="32"/>
  <c r="B55" i="1"/>
  <c r="D41" i="33"/>
  <c r="H41" i="33"/>
  <c r="F17" i="1"/>
  <c r="C54" i="1"/>
  <c r="F31" i="32"/>
  <c r="B43" i="33"/>
  <c r="B55" i="33" s="1"/>
  <c r="F29" i="1"/>
  <c r="E55" i="1"/>
  <c r="B103" i="1" l="1"/>
  <c r="C105" i="1"/>
  <c r="C28" i="22"/>
  <c r="C76" i="22" s="1"/>
  <c r="C44" i="33"/>
  <c r="B44" i="33"/>
  <c r="F46" i="1"/>
  <c r="B28" i="22"/>
  <c r="E35" i="29"/>
  <c r="F35" i="29" s="1"/>
  <c r="E30" i="33"/>
  <c r="F30" i="33" s="1"/>
  <c r="C37" i="22"/>
  <c r="D54" i="1"/>
  <c r="E37" i="22"/>
  <c r="I28" i="29"/>
  <c r="D41" i="22"/>
  <c r="D59" i="1"/>
  <c r="E59" i="1"/>
  <c r="C52" i="1"/>
  <c r="C103" i="1" s="1"/>
  <c r="E48" i="1"/>
  <c r="D48" i="1"/>
  <c r="F48" i="1" s="1"/>
  <c r="D30" i="22"/>
  <c r="D37" i="22"/>
  <c r="F4" i="22"/>
  <c r="B76" i="22"/>
  <c r="D31" i="33"/>
  <c r="F36" i="33"/>
  <c r="D44" i="33"/>
  <c r="C59" i="1"/>
  <c r="D78" i="22"/>
  <c r="E40" i="29"/>
  <c r="F28" i="29"/>
  <c r="C43" i="33"/>
  <c r="C55" i="33" s="1"/>
  <c r="B11" i="32"/>
  <c r="B29" i="32" s="1"/>
  <c r="E34" i="22"/>
  <c r="F55" i="1"/>
  <c r="E24" i="32"/>
  <c r="B59" i="1"/>
  <c r="F59" i="1" s="1"/>
  <c r="C41" i="22"/>
  <c r="B41" i="22"/>
  <c r="F41" i="22" s="1"/>
  <c r="E60" i="1"/>
  <c r="E36" i="22"/>
  <c r="E41" i="33"/>
  <c r="F41" i="33" s="1"/>
  <c r="F42" i="27"/>
  <c r="D105" i="1"/>
  <c r="F71" i="22"/>
  <c r="E29" i="29"/>
  <c r="F29" i="29" s="1"/>
  <c r="B19" i="1" l="1"/>
  <c r="F19" i="1" s="1"/>
  <c r="B18" i="32"/>
  <c r="D17" i="29"/>
  <c r="B53" i="1"/>
  <c r="B47" i="22"/>
  <c r="D28" i="22"/>
  <c r="D76" i="22" s="1"/>
  <c r="F12" i="33"/>
  <c r="E53" i="1"/>
  <c r="E31" i="33"/>
  <c r="D43" i="22"/>
  <c r="D43" i="33"/>
  <c r="D55" i="33" s="1"/>
  <c r="F36" i="22"/>
  <c r="C47" i="22"/>
  <c r="B42" i="22"/>
  <c r="C53" i="1"/>
  <c r="E30" i="22"/>
  <c r="F30" i="22" s="1"/>
  <c r="D29" i="22"/>
  <c r="E29" i="22"/>
  <c r="E65" i="1"/>
  <c r="D47" i="22"/>
  <c r="F47" i="22" s="1"/>
  <c r="D53" i="1"/>
  <c r="F53" i="1" s="1"/>
  <c r="B37" i="22"/>
  <c r="F37" i="22" s="1"/>
  <c r="C30" i="27"/>
  <c r="D30" i="27"/>
  <c r="B26" i="27"/>
  <c r="B12" i="32"/>
  <c r="F60" i="1"/>
  <c r="C19" i="1"/>
  <c r="B23" i="27"/>
  <c r="B30" i="27"/>
  <c r="B17" i="29"/>
  <c r="D71" i="1"/>
  <c r="C53" i="22"/>
  <c r="D65" i="1"/>
  <c r="F24" i="32"/>
  <c r="C11" i="32"/>
  <c r="C29" i="32" s="1"/>
  <c r="E54" i="1"/>
  <c r="E105" i="1" s="1"/>
  <c r="F105" i="1" s="1"/>
  <c r="C26" i="27"/>
  <c r="C65" i="1"/>
  <c r="E30" i="27"/>
  <c r="C17" i="29"/>
  <c r="B65" i="1"/>
  <c r="F65" i="1" s="1"/>
  <c r="B24" i="27"/>
  <c r="D52" i="1"/>
  <c r="D103" i="1" s="1"/>
  <c r="E47" i="22"/>
  <c r="B25" i="27"/>
  <c r="B42" i="33"/>
  <c r="F34" i="22"/>
  <c r="E23" i="29" l="1"/>
  <c r="E41" i="29" s="1"/>
  <c r="F54" i="1"/>
  <c r="H52" i="1"/>
  <c r="I52" i="1" s="1"/>
  <c r="I103" i="1" s="1"/>
  <c r="C18" i="32"/>
  <c r="C24" i="27"/>
  <c r="E35" i="22"/>
  <c r="C71" i="1"/>
  <c r="E28" i="22"/>
  <c r="E78" i="22"/>
  <c r="C47" i="1"/>
  <c r="C36" i="27"/>
  <c r="H28" i="22"/>
  <c r="I28" i="22" s="1"/>
  <c r="B29" i="22"/>
  <c r="F30" i="27"/>
  <c r="B71" i="1"/>
  <c r="B53" i="22"/>
  <c r="B18" i="27"/>
  <c r="B31" i="22"/>
  <c r="E31" i="22"/>
  <c r="D11" i="32"/>
  <c r="D29" i="32" s="1"/>
  <c r="D23" i="29"/>
  <c r="D41" i="29" s="1"/>
  <c r="D36" i="27"/>
  <c r="B35" i="22"/>
  <c r="D49" i="1"/>
  <c r="C25" i="27"/>
  <c r="E26" i="27"/>
  <c r="C20" i="27"/>
  <c r="C12" i="32"/>
  <c r="C29" i="22"/>
  <c r="C42" i="33"/>
  <c r="C23" i="29"/>
  <c r="E24" i="27"/>
  <c r="C23" i="27"/>
  <c r="F31" i="33"/>
  <c r="C49" i="1"/>
  <c r="E52" i="1"/>
  <c r="D24" i="27"/>
  <c r="D35" i="22"/>
  <c r="H34" i="22"/>
  <c r="D53" i="22"/>
  <c r="B36" i="27"/>
  <c r="C18" i="27"/>
  <c r="E47" i="1"/>
  <c r="E43" i="33"/>
  <c r="E55" i="33" s="1"/>
  <c r="E49" i="1"/>
  <c r="B20" i="27"/>
  <c r="F17" i="29"/>
  <c r="B49" i="1"/>
  <c r="E44" i="33"/>
  <c r="F44" i="33" s="1"/>
  <c r="E53" i="22"/>
  <c r="D47" i="1"/>
  <c r="B6" i="32"/>
  <c r="F6" i="32" s="1"/>
  <c r="E36" i="27"/>
  <c r="B23" i="29"/>
  <c r="E71" i="1"/>
  <c r="B47" i="1"/>
  <c r="B19" i="27"/>
  <c r="C35" i="22"/>
  <c r="C42" i="22"/>
  <c r="C31" i="22"/>
  <c r="D31" i="22"/>
  <c r="C30" i="32" l="1"/>
  <c r="B17" i="27"/>
  <c r="B59" i="27" s="1"/>
  <c r="B30" i="32"/>
  <c r="H103" i="1"/>
  <c r="F49" i="1"/>
  <c r="F29" i="22"/>
  <c r="D18" i="32"/>
  <c r="B13" i="1"/>
  <c r="F13" i="1" s="1"/>
  <c r="F28" i="22"/>
  <c r="E76" i="22"/>
  <c r="F76" i="22" s="1"/>
  <c r="F24" i="33"/>
  <c r="D42" i="33"/>
  <c r="D61" i="1"/>
  <c r="C78" i="22"/>
  <c r="F42" i="22"/>
  <c r="C43" i="22"/>
  <c r="C61" i="1"/>
  <c r="E61" i="1"/>
  <c r="B61" i="1"/>
  <c r="F36" i="27"/>
  <c r="F71" i="1"/>
  <c r="F55" i="33"/>
  <c r="E103" i="1"/>
  <c r="F103" i="1" s="1"/>
  <c r="F52" i="1"/>
  <c r="F43" i="33"/>
  <c r="B61" i="27"/>
  <c r="F24" i="27"/>
  <c r="F47" i="1"/>
  <c r="B43" i="22"/>
  <c r="D48" i="33"/>
  <c r="F31" i="22"/>
  <c r="F53" i="22"/>
  <c r="C19" i="27"/>
  <c r="C61" i="27" s="1"/>
  <c r="D20" i="27"/>
  <c r="F23" i="29"/>
  <c r="E48" i="33"/>
  <c r="D12" i="32"/>
  <c r="D26" i="27"/>
  <c r="F26" i="27" s="1"/>
  <c r="D23" i="27"/>
  <c r="H76" i="22"/>
  <c r="I76" i="22" s="1"/>
  <c r="I34" i="22"/>
  <c r="D25" i="27"/>
  <c r="F35" i="22"/>
  <c r="D25" i="22"/>
  <c r="D30" i="32" l="1"/>
  <c r="F48" i="33"/>
  <c r="B14" i="27"/>
  <c r="F43" i="22"/>
  <c r="E18" i="32"/>
  <c r="F18" i="32" s="1"/>
  <c r="B23" i="22"/>
  <c r="D18" i="27"/>
  <c r="C17" i="27"/>
  <c r="C59" i="27" s="1"/>
  <c r="C12" i="27"/>
  <c r="C60" i="27" s="1"/>
  <c r="C14" i="27"/>
  <c r="B12" i="27"/>
  <c r="B60" i="27" s="1"/>
  <c r="F23" i="27"/>
  <c r="C43" i="1"/>
  <c r="B25" i="22"/>
  <c r="C13" i="29"/>
  <c r="E25" i="27"/>
  <c r="B13" i="29"/>
  <c r="C41" i="1"/>
  <c r="D61" i="27"/>
  <c r="E41" i="1"/>
  <c r="E42" i="33"/>
  <c r="F42" i="33" s="1"/>
  <c r="E23" i="27"/>
  <c r="B11" i="29"/>
  <c r="H23" i="27"/>
  <c r="E25" i="22"/>
  <c r="D19" i="27"/>
  <c r="E20" i="27"/>
  <c r="F20" i="27" s="1"/>
  <c r="E43" i="1"/>
  <c r="D43" i="1"/>
  <c r="E23" i="22"/>
  <c r="E77" i="22" s="1"/>
  <c r="C23" i="22"/>
  <c r="D41" i="1"/>
  <c r="B41" i="1"/>
  <c r="D23" i="22"/>
  <c r="C11" i="29"/>
  <c r="C41" i="29" s="1"/>
  <c r="C25" i="22"/>
  <c r="B43" i="1"/>
  <c r="F43" i="1" s="1"/>
  <c r="F61" i="1"/>
  <c r="F12" i="27" l="1"/>
  <c r="D60" i="27"/>
  <c r="F60" i="27" s="1"/>
  <c r="E18" i="27"/>
  <c r="E60" i="27" s="1"/>
  <c r="D17" i="27"/>
  <c r="D59" i="27" s="1"/>
  <c r="B18" i="33"/>
  <c r="F14" i="27"/>
  <c r="B5" i="1"/>
  <c r="F23" i="22"/>
  <c r="F41" i="1"/>
  <c r="B10" i="29"/>
  <c r="F11" i="29"/>
  <c r="C5" i="1"/>
  <c r="B12" i="29"/>
  <c r="F25" i="22"/>
  <c r="B5" i="22"/>
  <c r="B32" i="33"/>
  <c r="E12" i="32"/>
  <c r="E30" i="32" s="1"/>
  <c r="B6" i="29"/>
  <c r="F6" i="29" s="1"/>
  <c r="E19" i="27"/>
  <c r="F19" i="27" s="1"/>
  <c r="B7" i="29"/>
  <c r="F7" i="29" s="1"/>
  <c r="E11" i="32"/>
  <c r="E29" i="32" s="1"/>
  <c r="H11" i="32"/>
  <c r="H29" i="32" s="1"/>
  <c r="I29" i="32" s="1"/>
  <c r="I23" i="27"/>
  <c r="F25" i="27"/>
  <c r="E61" i="27" l="1"/>
  <c r="F61" i="27" s="1"/>
  <c r="F18" i="27"/>
  <c r="E23" i="1"/>
  <c r="E104" i="1" s="1"/>
  <c r="C18" i="33"/>
  <c r="B5" i="29"/>
  <c r="E17" i="27"/>
  <c r="H17" i="27"/>
  <c r="B6" i="33"/>
  <c r="B54" i="33" s="1"/>
  <c r="B77" i="22"/>
  <c r="F30" i="32"/>
  <c r="F12" i="32"/>
  <c r="D5" i="22"/>
  <c r="D77" i="22" s="1"/>
  <c r="C13" i="22"/>
  <c r="B31" i="1"/>
  <c r="B5" i="33"/>
  <c r="B53" i="33" s="1"/>
  <c r="D23" i="1"/>
  <c r="D104" i="1" s="1"/>
  <c r="E31" i="1"/>
  <c r="F29" i="32"/>
  <c r="F11" i="32"/>
  <c r="C23" i="1"/>
  <c r="C104" i="1" s="1"/>
  <c r="C31" i="1"/>
  <c r="C10" i="29"/>
  <c r="C40" i="29" s="1"/>
  <c r="H10" i="29"/>
  <c r="B23" i="1"/>
  <c r="F5" i="1"/>
  <c r="B42" i="29"/>
  <c r="I11" i="32"/>
  <c r="D31" i="1"/>
  <c r="C32" i="33"/>
  <c r="C5" i="22"/>
  <c r="C77" i="22" s="1"/>
  <c r="C12" i="29"/>
  <c r="C42" i="29" s="1"/>
  <c r="D13" i="29"/>
  <c r="F13" i="29" s="1"/>
  <c r="B13" i="22"/>
  <c r="B4" i="29" l="1"/>
  <c r="H4" i="29"/>
  <c r="I4" i="29" s="1"/>
  <c r="I17" i="27"/>
  <c r="H59" i="27"/>
  <c r="I59" i="27" s="1"/>
  <c r="C25" i="1"/>
  <c r="D18" i="33"/>
  <c r="F17" i="27"/>
  <c r="E59" i="27"/>
  <c r="F59" i="27" s="1"/>
  <c r="F5" i="29"/>
  <c r="B41" i="29"/>
  <c r="F41" i="29" s="1"/>
  <c r="F26" i="33"/>
  <c r="F23" i="1"/>
  <c r="B104" i="1"/>
  <c r="F104" i="1" s="1"/>
  <c r="F77" i="22"/>
  <c r="C7" i="22"/>
  <c r="F10" i="29"/>
  <c r="F5" i="22"/>
  <c r="C6" i="33"/>
  <c r="C54" i="33" s="1"/>
  <c r="D25" i="1"/>
  <c r="B7" i="22"/>
  <c r="E25" i="1"/>
  <c r="F12" i="29"/>
  <c r="I10" i="29"/>
  <c r="F31" i="1"/>
  <c r="D32" i="33"/>
  <c r="B25" i="1"/>
  <c r="F42" i="29"/>
  <c r="C5" i="33"/>
  <c r="C53" i="33" s="1"/>
  <c r="F13" i="22"/>
  <c r="H40" i="29" l="1"/>
  <c r="I40" i="29" s="1"/>
  <c r="E18" i="33"/>
  <c r="F18" i="33" s="1"/>
  <c r="F4" i="29"/>
  <c r="B40" i="29"/>
  <c r="F40" i="29" s="1"/>
  <c r="D5" i="33"/>
  <c r="D53" i="33" s="1"/>
  <c r="F25" i="1"/>
  <c r="D6" i="33"/>
  <c r="D54" i="33" s="1"/>
  <c r="E32" i="33"/>
  <c r="F7" i="22"/>
  <c r="F32" i="33" l="1"/>
  <c r="E5" i="33"/>
  <c r="E53" i="33" s="1"/>
  <c r="H5" i="33"/>
  <c r="H53" i="33" s="1"/>
  <c r="C50" i="27"/>
  <c r="E6" i="33"/>
  <c r="E54" i="33" s="1"/>
  <c r="E37" i="1" l="1"/>
  <c r="E8" i="27"/>
  <c r="F54" i="33"/>
  <c r="F6" i="33"/>
  <c r="I5" i="33"/>
  <c r="I53" i="33" s="1"/>
  <c r="F53" i="33"/>
  <c r="F5" i="33"/>
  <c r="D50" i="27"/>
  <c r="E19" i="22" l="1"/>
  <c r="D37" i="1"/>
  <c r="E50" i="27"/>
  <c r="C8" i="27"/>
  <c r="C79" i="1"/>
  <c r="C37" i="1"/>
  <c r="D19" i="22"/>
  <c r="B19" i="22"/>
  <c r="B79" i="1"/>
  <c r="B37" i="1"/>
  <c r="F37" i="1" s="1"/>
  <c r="D8" i="27"/>
  <c r="E79" i="1"/>
  <c r="B8" i="27"/>
  <c r="C19" i="22"/>
  <c r="B67" i="22" l="1"/>
  <c r="D79" i="1"/>
  <c r="F79" i="1"/>
  <c r="E67" i="22"/>
  <c r="F19" i="22"/>
  <c r="C67" i="22"/>
  <c r="B44" i="27"/>
  <c r="D67" i="22"/>
  <c r="F50" i="27"/>
  <c r="B31" i="29"/>
  <c r="C44" i="27"/>
  <c r="F8" i="27"/>
  <c r="B67" i="1" l="1"/>
  <c r="D67" i="1"/>
  <c r="C32" i="27"/>
  <c r="C67" i="1"/>
  <c r="B19" i="29"/>
  <c r="F19" i="29" s="1"/>
  <c r="B49" i="22"/>
  <c r="E32" i="27"/>
  <c r="E67" i="1"/>
  <c r="D49" i="22"/>
  <c r="D19" i="29"/>
  <c r="E49" i="22"/>
  <c r="C19" i="29"/>
  <c r="C31" i="29"/>
  <c r="C49" i="22"/>
  <c r="B32" i="27"/>
  <c r="F44" i="27"/>
  <c r="F67" i="22"/>
  <c r="D32" i="27"/>
  <c r="F67" i="1" l="1"/>
  <c r="F32" i="27"/>
  <c r="D31" i="29"/>
  <c r="F49" i="22"/>
  <c r="E31" i="29" l="1"/>
  <c r="B14" i="32" l="1"/>
  <c r="F31" i="29"/>
  <c r="C14" i="32" l="1"/>
  <c r="C32" i="32" s="1"/>
  <c r="D14" i="32" l="1"/>
  <c r="D32" i="32" s="1"/>
  <c r="E14" i="32" l="1"/>
  <c r="E32" i="32" s="1"/>
  <c r="F14" i="32" l="1"/>
  <c r="B8" i="33"/>
  <c r="B56" i="33" s="1"/>
  <c r="C8" i="33" l="1"/>
  <c r="C56" i="33" s="1"/>
  <c r="D8" i="33" l="1"/>
  <c r="D56" i="33" s="1"/>
  <c r="E8" i="33" l="1"/>
  <c r="E56" i="33" s="1"/>
  <c r="D55" i="22" l="1"/>
  <c r="D79" i="22" s="1"/>
  <c r="C73" i="1"/>
  <c r="C106" i="1" s="1"/>
  <c r="B55" i="22"/>
  <c r="B79" i="22" s="1"/>
  <c r="F79" i="22" s="1"/>
  <c r="F8" i="33"/>
  <c r="F56" i="33"/>
  <c r="E55" i="22"/>
  <c r="E79" i="22" s="1"/>
  <c r="D25" i="29"/>
  <c r="D43" i="29" s="1"/>
  <c r="B73" i="1"/>
  <c r="D73" i="1"/>
  <c r="D106" i="1" s="1"/>
  <c r="C25" i="29"/>
  <c r="C43" i="29" s="1"/>
  <c r="B38" i="27"/>
  <c r="C38" i="27"/>
  <c r="C62" i="27" s="1"/>
  <c r="E73" i="1"/>
  <c r="E106" i="1" s="1"/>
  <c r="C55" i="22"/>
  <c r="C79" i="22" s="1"/>
  <c r="E38" i="27"/>
  <c r="E62" i="27" s="1"/>
  <c r="B25" i="29"/>
  <c r="D38" i="27"/>
  <c r="D62" i="27" s="1"/>
  <c r="B8" i="32"/>
  <c r="B32" i="32" s="1"/>
  <c r="E25" i="29"/>
  <c r="E43" i="29" s="1"/>
  <c r="F73" i="1" l="1"/>
  <c r="B106" i="1"/>
  <c r="F106" i="1" s="1"/>
  <c r="F55" i="22"/>
  <c r="B72" i="22"/>
  <c r="F25" i="29"/>
  <c r="B43" i="29"/>
  <c r="F43" i="29" s="1"/>
  <c r="F8" i="32"/>
  <c r="F32" i="32"/>
  <c r="F38" i="27"/>
  <c r="B62" i="27"/>
  <c r="F62" i="27" s="1"/>
  <c r="B78" i="22" l="1"/>
  <c r="F78" i="22" s="1"/>
  <c r="F72" i="22"/>
  <c r="K38" i="122" l="1"/>
  <c r="F39" i="122" s="1"/>
  <c r="I39" i="122" s="1"/>
  <c r="K39" i="122" l="1"/>
  <c r="F40" i="122" s="1"/>
  <c r="I40" i="122" s="1"/>
  <c r="K40" i="122" l="1"/>
  <c r="F41" i="122" l="1"/>
  <c r="I41" i="122" l="1"/>
  <c r="J55" i="122" l="1"/>
  <c r="J53" i="122"/>
  <c r="J44" i="122"/>
  <c r="J57" i="122"/>
  <c r="J46" i="122"/>
  <c r="J50" i="122"/>
  <c r="J56" i="122"/>
  <c r="J52" i="122"/>
  <c r="J49" i="122"/>
  <c r="J54" i="122"/>
  <c r="J41" i="122"/>
  <c r="E34" i="134" s="1"/>
  <c r="F34" i="134" s="1"/>
  <c r="J42" i="122"/>
  <c r="J60" i="122"/>
  <c r="J51" i="122"/>
  <c r="J59" i="122"/>
  <c r="J45" i="122"/>
  <c r="J58" i="122"/>
  <c r="J48" i="122"/>
  <c r="J43" i="122"/>
  <c r="J47" i="122"/>
  <c r="K41" i="122" l="1"/>
  <c r="F42" i="122" s="1"/>
  <c r="K42" i="122" s="1"/>
  <c r="F43" i="122" s="1"/>
  <c r="G42" i="122" l="1"/>
  <c r="B29" i="145" s="1"/>
  <c r="G43" i="122"/>
  <c r="C29" i="145" s="1"/>
  <c r="K43" i="122"/>
  <c r="F44" i="122" s="1"/>
  <c r="K44" i="122" s="1"/>
  <c r="F45" i="122" s="1"/>
  <c r="G45" i="122" s="1"/>
  <c r="E29" i="145" s="1"/>
  <c r="K45" i="122" l="1"/>
  <c r="F46" i="122" s="1"/>
  <c r="G44" i="122"/>
  <c r="D29" i="145" s="1"/>
  <c r="F29" i="145" s="1"/>
  <c r="G46" i="122" l="1"/>
  <c r="K46" i="122"/>
  <c r="F47" i="122" s="1"/>
  <c r="K47" i="122" l="1"/>
  <c r="F48" i="122" s="1"/>
  <c r="G47" i="122"/>
  <c r="G48" i="122" l="1"/>
  <c r="K48" i="122"/>
  <c r="F49" i="122" s="1"/>
  <c r="K49" i="122" l="1"/>
  <c r="F50" i="122" s="1"/>
  <c r="G49" i="122"/>
  <c r="K50" i="122" l="1"/>
  <c r="F51" i="122" s="1"/>
  <c r="G50" i="122"/>
  <c r="K51" i="122" l="1"/>
  <c r="F52" i="122" s="1"/>
  <c r="G51" i="122"/>
  <c r="G52" i="122" l="1"/>
  <c r="K52" i="122"/>
  <c r="F53" i="122" s="1"/>
  <c r="K53" i="122" l="1"/>
  <c r="F54" i="122" s="1"/>
  <c r="G53" i="122"/>
  <c r="G54" i="122" l="1"/>
  <c r="K54" i="122"/>
  <c r="F55" i="122" s="1"/>
  <c r="K55" i="122" l="1"/>
  <c r="F56" i="122" s="1"/>
  <c r="G55" i="122"/>
  <c r="K56" i="122" l="1"/>
  <c r="F57" i="122" s="1"/>
  <c r="G56" i="122"/>
  <c r="G57" i="122" l="1"/>
  <c r="K57" i="122"/>
  <c r="F58" i="122" s="1"/>
  <c r="G58" i="122" l="1"/>
  <c r="K58" i="122"/>
  <c r="F59" i="122" s="1"/>
  <c r="K59" i="122" l="1"/>
  <c r="F60" i="122" s="1"/>
  <c r="G59" i="122"/>
  <c r="K60" i="122" l="1"/>
  <c r="G60" i="122"/>
  <c r="K39" i="124" l="1"/>
  <c r="F40" i="124" s="1"/>
  <c r="G40" i="124" s="1"/>
  <c r="K40" i="124" l="1"/>
  <c r="F41" i="124" s="1"/>
  <c r="K41" i="124" s="1"/>
  <c r="F42" i="124" s="1"/>
  <c r="K42" i="124" s="1"/>
  <c r="F43" i="124" s="1"/>
  <c r="G41" i="124" l="1"/>
  <c r="B19" i="134" s="1"/>
  <c r="G42" i="124"/>
  <c r="C19" i="134" s="1"/>
  <c r="G43" i="124"/>
  <c r="D19" i="134" s="1"/>
  <c r="K43" i="124"/>
  <c r="F44" i="124" s="1"/>
  <c r="K44" i="124" l="1"/>
  <c r="F45" i="124" s="1"/>
  <c r="G44" i="124"/>
  <c r="E19" i="134" s="1"/>
  <c r="F19" i="134" s="1"/>
  <c r="G45" i="124" l="1"/>
  <c r="B14" i="145" s="1"/>
  <c r="K45" i="124"/>
  <c r="F46" i="124" s="1"/>
  <c r="G46" i="124" l="1"/>
  <c r="C14" i="145" s="1"/>
  <c r="K46" i="124"/>
  <c r="F47" i="124" s="1"/>
  <c r="G47" i="124" l="1"/>
  <c r="D14" i="145" s="1"/>
  <c r="K47" i="124"/>
  <c r="F48" i="124" s="1"/>
  <c r="K48" i="124" l="1"/>
  <c r="F49" i="124" s="1"/>
  <c r="G48" i="124"/>
  <c r="E14" i="145" s="1"/>
  <c r="F14" i="145" l="1"/>
  <c r="K49" i="124"/>
  <c r="F50" i="124" s="1"/>
  <c r="G49" i="124"/>
  <c r="K50" i="124" l="1"/>
  <c r="F51" i="124" s="1"/>
  <c r="G50" i="124"/>
  <c r="G51" i="124" l="1"/>
  <c r="K51" i="124"/>
  <c r="F52" i="124" s="1"/>
  <c r="K52" i="124" l="1"/>
  <c r="F53" i="124" s="1"/>
  <c r="G52" i="124"/>
  <c r="K53" i="124" l="1"/>
  <c r="F54" i="124" s="1"/>
  <c r="G53" i="124"/>
  <c r="K54" i="124" l="1"/>
  <c r="F55" i="124" s="1"/>
  <c r="G54" i="124"/>
  <c r="K55" i="124" l="1"/>
  <c r="F56" i="124" s="1"/>
  <c r="G55" i="124"/>
  <c r="G56" i="124" l="1"/>
  <c r="K56" i="124"/>
  <c r="F57" i="124" s="1"/>
  <c r="G57" i="124" l="1"/>
  <c r="K57" i="124"/>
  <c r="F58" i="124" s="1"/>
  <c r="G58" i="124" l="1"/>
  <c r="K58" i="124"/>
  <c r="K40" i="120" l="1"/>
  <c r="F41" i="120" s="1"/>
  <c r="I41" i="120" l="1"/>
  <c r="K41" i="120" s="1"/>
  <c r="F42" i="120" s="1"/>
  <c r="I42" i="120" l="1"/>
  <c r="K42" i="120" s="1"/>
  <c r="F43" i="120" s="1"/>
  <c r="I43" i="120" s="1"/>
  <c r="J58" i="120" l="1"/>
  <c r="J55" i="120"/>
  <c r="J52" i="120"/>
  <c r="J59" i="120"/>
  <c r="J43" i="120"/>
  <c r="K43" i="120" s="1"/>
  <c r="F44" i="120" s="1"/>
  <c r="J53" i="120"/>
  <c r="J45" i="120"/>
  <c r="J46" i="120"/>
  <c r="J50" i="120"/>
  <c r="J44" i="120"/>
  <c r="J47" i="120"/>
  <c r="J48" i="120"/>
  <c r="J56" i="120"/>
  <c r="J51" i="120"/>
  <c r="J49" i="120"/>
  <c r="J54" i="120"/>
  <c r="J57" i="120"/>
  <c r="B29" i="134" l="1"/>
  <c r="K44" i="120"/>
  <c r="F45" i="120" s="1"/>
  <c r="G45" i="120" s="1"/>
  <c r="D29" i="134" s="1"/>
  <c r="G44" i="120"/>
  <c r="C29" i="134" s="1"/>
  <c r="K45" i="120" l="1"/>
  <c r="F46" i="120" s="1"/>
  <c r="K46" i="120" s="1"/>
  <c r="F47" i="120" s="1"/>
  <c r="G46" i="120" l="1"/>
  <c r="E29" i="134" s="1"/>
  <c r="F29" i="134" s="1"/>
  <c r="G47" i="120"/>
  <c r="B24" i="145" s="1"/>
  <c r="K47" i="120"/>
  <c r="F48" i="120" s="1"/>
  <c r="G48" i="120" l="1"/>
  <c r="C24" i="145" s="1"/>
  <c r="K48" i="120"/>
  <c r="F49" i="120" s="1"/>
  <c r="K49" i="120" l="1"/>
  <c r="F50" i="120" s="1"/>
  <c r="G49" i="120"/>
  <c r="D24" i="145" s="1"/>
  <c r="G50" i="120" l="1"/>
  <c r="E24" i="145" s="1"/>
  <c r="K50" i="120"/>
  <c r="F51" i="120" s="1"/>
  <c r="F24" i="145" l="1"/>
  <c r="G51" i="120"/>
  <c r="K51" i="120"/>
  <c r="F52" i="120" s="1"/>
  <c r="G52" i="120" l="1"/>
  <c r="K52" i="120"/>
  <c r="F53" i="120" s="1"/>
  <c r="G53" i="120" l="1"/>
  <c r="K53" i="120"/>
  <c r="F54" i="120" s="1"/>
  <c r="G54" i="120" l="1"/>
  <c r="K54" i="120"/>
  <c r="F55" i="120" s="1"/>
  <c r="G55" i="120" l="1"/>
  <c r="K55" i="120"/>
  <c r="F56" i="120" s="1"/>
  <c r="G56" i="120" l="1"/>
  <c r="K56" i="120"/>
  <c r="F57" i="120" s="1"/>
  <c r="K57" i="120" l="1"/>
  <c r="F58" i="120" s="1"/>
  <c r="G57" i="120"/>
  <c r="K58" i="120" l="1"/>
  <c r="F59" i="120" s="1"/>
  <c r="G58" i="120"/>
  <c r="K59" i="120" l="1"/>
  <c r="G59" i="120"/>
  <c r="J52" i="115"/>
  <c r="J61" i="115"/>
  <c r="J47" i="115"/>
  <c r="J49" i="115"/>
  <c r="J50" i="115"/>
  <c r="J54" i="115"/>
  <c r="J57" i="115"/>
  <c r="J55" i="115"/>
  <c r="J51" i="115"/>
  <c r="J59" i="115"/>
  <c r="J62" i="115"/>
  <c r="J44" i="115"/>
  <c r="J58" i="115"/>
  <c r="J48" i="115"/>
  <c r="J60" i="115"/>
  <c r="J63" i="115"/>
  <c r="J56" i="115"/>
  <c r="J53" i="115"/>
  <c r="J45" i="115"/>
  <c r="J64" i="115" l="1"/>
  <c r="K43" i="115"/>
  <c r="F44" i="115" s="1"/>
  <c r="K44" i="115" l="1"/>
  <c r="F45" i="115" s="1"/>
  <c r="G45" i="115" s="1"/>
  <c r="G44" i="115"/>
  <c r="B44" i="134" s="1"/>
  <c r="K45" i="115" l="1"/>
  <c r="F47" i="115" l="1"/>
  <c r="G47" i="115" s="1"/>
  <c r="D44" i="134" s="1"/>
  <c r="F46" i="115"/>
  <c r="K47" i="115" l="1"/>
  <c r="F48" i="115" s="1"/>
  <c r="G48" i="115" s="1"/>
  <c r="E44" i="134" s="1"/>
  <c r="K46" i="115"/>
  <c r="G46" i="115"/>
  <c r="C44" i="134" s="1"/>
  <c r="K48" i="115" l="1"/>
  <c r="F49" i="115" s="1"/>
  <c r="G49" i="115" s="1"/>
  <c r="B39" i="145" s="1"/>
  <c r="F44" i="134"/>
  <c r="K49" i="115" l="1"/>
  <c r="F50" i="115" s="1"/>
  <c r="K50" i="115" s="1"/>
  <c r="F51" i="115" s="1"/>
  <c r="G50" i="115"/>
  <c r="C39" i="145" s="1"/>
  <c r="G51" i="115" l="1"/>
  <c r="D39" i="145" s="1"/>
  <c r="K51" i="115"/>
  <c r="F52" i="115" s="1"/>
  <c r="K52" i="115" l="1"/>
  <c r="F53" i="115" s="1"/>
  <c r="G52" i="115"/>
  <c r="E39" i="145" s="1"/>
  <c r="F39" i="145" s="1"/>
  <c r="G53" i="115" l="1"/>
  <c r="K53" i="115"/>
  <c r="F54" i="115" s="1"/>
  <c r="G54" i="115" l="1"/>
  <c r="K54" i="115"/>
  <c r="F55" i="115" s="1"/>
  <c r="K55" i="115" l="1"/>
  <c r="F56" i="115" s="1"/>
  <c r="G55" i="115"/>
  <c r="K56" i="115" l="1"/>
  <c r="F57" i="115" s="1"/>
  <c r="G56" i="115"/>
  <c r="K57" i="115" l="1"/>
  <c r="F58" i="115" s="1"/>
  <c r="G57" i="115"/>
  <c r="G58" i="115" l="1"/>
  <c r="K58" i="115"/>
  <c r="F59" i="115" s="1"/>
  <c r="K59" i="115" l="1"/>
  <c r="F60" i="115" s="1"/>
  <c r="G59" i="115"/>
  <c r="K60" i="115" l="1"/>
  <c r="F61" i="115" s="1"/>
  <c r="G60" i="115"/>
  <c r="G61" i="115" l="1"/>
  <c r="K61" i="115"/>
  <c r="F62" i="115" s="1"/>
  <c r="G62" i="115" l="1"/>
  <c r="K62" i="115"/>
  <c r="F63" i="115" s="1"/>
  <c r="K63" i="115" l="1"/>
  <c r="G63" i="115"/>
  <c r="K130" i="120"/>
  <c r="F131" i="120" s="1"/>
  <c r="I131" i="120" s="1"/>
  <c r="C67" i="120" l="1"/>
  <c r="K131" i="120"/>
  <c r="F132" i="120" s="1"/>
  <c r="I132" i="120" s="1"/>
  <c r="C68" i="120" l="1"/>
  <c r="K132" i="120"/>
  <c r="F133" i="120" s="1"/>
  <c r="I133" i="120" s="1"/>
  <c r="J145" i="120" s="1"/>
  <c r="J143" i="120" l="1"/>
  <c r="J147" i="120"/>
  <c r="J142" i="120"/>
  <c r="J136" i="120"/>
  <c r="I150" i="120"/>
  <c r="J138" i="120"/>
  <c r="J135" i="120"/>
  <c r="J146" i="120"/>
  <c r="J144" i="120"/>
  <c r="J141" i="120"/>
  <c r="J137" i="120"/>
  <c r="J140" i="120"/>
  <c r="J149" i="120"/>
  <c r="J133" i="120"/>
  <c r="J134" i="120"/>
  <c r="J139" i="120"/>
  <c r="J148" i="120"/>
  <c r="K133" i="120"/>
  <c r="F134" i="120" s="1"/>
  <c r="J150" i="120" l="1"/>
  <c r="G134" i="120"/>
  <c r="K134" i="120"/>
  <c r="F135" i="120" s="1"/>
  <c r="K135" i="120" l="1"/>
  <c r="F136" i="120" s="1"/>
  <c r="G135" i="120"/>
  <c r="K136" i="120" l="1"/>
  <c r="F137" i="120" s="1"/>
  <c r="G136" i="120"/>
  <c r="G137" i="120" l="1"/>
  <c r="K137" i="120"/>
  <c r="F138" i="120" s="1"/>
  <c r="K138" i="120" l="1"/>
  <c r="F139" i="120" s="1"/>
  <c r="G138" i="120"/>
  <c r="G139" i="120" l="1"/>
  <c r="K139" i="120"/>
  <c r="F140" i="120" s="1"/>
  <c r="K140" i="120" l="1"/>
  <c r="F141" i="120" s="1"/>
  <c r="G140" i="120"/>
  <c r="K141" i="120" l="1"/>
  <c r="F142" i="120" s="1"/>
  <c r="G141" i="120"/>
  <c r="G142" i="120" l="1"/>
  <c r="K142" i="120"/>
  <c r="F143" i="120" s="1"/>
  <c r="G143" i="120" l="1"/>
  <c r="K143" i="120"/>
  <c r="F144" i="120" s="1"/>
  <c r="G144" i="120" l="1"/>
  <c r="K144" i="120"/>
  <c r="F145" i="120" s="1"/>
  <c r="K145" i="120" l="1"/>
  <c r="F146" i="120" s="1"/>
  <c r="G145" i="120"/>
  <c r="G146" i="120" l="1"/>
  <c r="K146" i="120"/>
  <c r="F147" i="120" s="1"/>
  <c r="G147" i="120" l="1"/>
  <c r="K147" i="120"/>
  <c r="F148" i="120" s="1"/>
  <c r="G148" i="120" l="1"/>
  <c r="K148" i="120"/>
  <c r="F149" i="120" s="1"/>
  <c r="K149" i="120" l="1"/>
  <c r="G149" i="120"/>
  <c r="E67" i="120"/>
  <c r="F67" i="120" s="1"/>
  <c r="E68" i="120"/>
  <c r="F68" i="120" s="1"/>
  <c r="E66" i="120"/>
  <c r="F66" i="120" s="1"/>
  <c r="K401" i="120"/>
  <c r="F402" i="120" s="1"/>
  <c r="I402" i="120" l="1"/>
  <c r="K402" i="120" l="1"/>
  <c r="F403" i="120" s="1"/>
  <c r="I403" i="120" s="1"/>
  <c r="K403" i="120" l="1"/>
  <c r="F404" i="120" s="1"/>
  <c r="I404" i="120" s="1"/>
  <c r="J411" i="120" l="1"/>
  <c r="E76" i="120" s="1"/>
  <c r="J410" i="120"/>
  <c r="E75" i="120" s="1"/>
  <c r="J416" i="120"/>
  <c r="E81" i="120" s="1"/>
  <c r="J415" i="120"/>
  <c r="E80" i="120" s="1"/>
  <c r="J412" i="120"/>
  <c r="E77" i="120" s="1"/>
  <c r="J413" i="120"/>
  <c r="E78" i="120" s="1"/>
  <c r="J414" i="120"/>
  <c r="E79" i="120" s="1"/>
  <c r="J419" i="120"/>
  <c r="E84" i="120" s="1"/>
  <c r="I421" i="120"/>
  <c r="J409" i="120"/>
  <c r="E74" i="120" s="1"/>
  <c r="J418" i="120"/>
  <c r="E83" i="120" s="1"/>
  <c r="J420" i="120"/>
  <c r="E85" i="120" s="1"/>
  <c r="J406" i="120"/>
  <c r="E71" i="120" s="1"/>
  <c r="J405" i="120"/>
  <c r="E70" i="120" s="1"/>
  <c r="J408" i="120"/>
  <c r="E73" i="120" s="1"/>
  <c r="J404" i="120"/>
  <c r="J407" i="120"/>
  <c r="E72" i="120" s="1"/>
  <c r="J417" i="120"/>
  <c r="E82" i="120" s="1"/>
  <c r="J421" i="120" l="1"/>
  <c r="E69" i="120"/>
  <c r="F69" i="120" s="1"/>
  <c r="B30" i="134" s="1"/>
  <c r="B55" i="134" s="1"/>
  <c r="K404" i="120"/>
  <c r="F405" i="120" s="1"/>
  <c r="G405" i="120" s="1"/>
  <c r="C70" i="120" s="1"/>
  <c r="F70" i="120" s="1"/>
  <c r="C30" i="134" s="1"/>
  <c r="B54" i="134" l="1"/>
  <c r="B53" i="134"/>
  <c r="K405" i="120"/>
  <c r="F406" i="120" s="1"/>
  <c r="K406" i="120" s="1"/>
  <c r="F407" i="120" s="1"/>
  <c r="C53" i="134"/>
  <c r="C54" i="134"/>
  <c r="C55" i="134"/>
  <c r="G406" i="120"/>
  <c r="C71" i="120" s="1"/>
  <c r="F71" i="120" s="1"/>
  <c r="D30" i="134" s="1"/>
  <c r="G407" i="120" l="1"/>
  <c r="C72" i="120" s="1"/>
  <c r="F72" i="120" s="1"/>
  <c r="E30" i="134" s="1"/>
  <c r="F30" i="134" s="1"/>
  <c r="K407" i="120"/>
  <c r="F408" i="120" s="1"/>
  <c r="D54" i="134"/>
  <c r="D55" i="134"/>
  <c r="D53" i="134"/>
  <c r="K408" i="120" l="1"/>
  <c r="F409" i="120" s="1"/>
  <c r="G408" i="120"/>
  <c r="C73" i="120" s="1"/>
  <c r="F73" i="120" s="1"/>
  <c r="B25" i="145" s="1"/>
  <c r="E53" i="134"/>
  <c r="F53" i="134" s="1"/>
  <c r="E54" i="134"/>
  <c r="F54" i="134" s="1"/>
  <c r="E55" i="134"/>
  <c r="F55" i="134" s="1"/>
  <c r="B60" i="145" l="1"/>
  <c r="B58" i="145"/>
  <c r="B59" i="145"/>
  <c r="G409" i="120"/>
  <c r="C74" i="120" s="1"/>
  <c r="F74" i="120" s="1"/>
  <c r="C25" i="145" s="1"/>
  <c r="K409" i="120"/>
  <c r="F410" i="120" s="1"/>
  <c r="C58" i="145" l="1"/>
  <c r="C59" i="145"/>
  <c r="C60" i="145"/>
  <c r="G410" i="120"/>
  <c r="C75" i="120" s="1"/>
  <c r="F75" i="120" s="1"/>
  <c r="D25" i="145" s="1"/>
  <c r="K410" i="120"/>
  <c r="F411" i="120" s="1"/>
  <c r="D58" i="145" l="1"/>
  <c r="D59" i="145"/>
  <c r="D60" i="145"/>
  <c r="G411" i="120"/>
  <c r="C76" i="120" s="1"/>
  <c r="F76" i="120" s="1"/>
  <c r="E25" i="145" s="1"/>
  <c r="K411" i="120"/>
  <c r="F412" i="120" s="1"/>
  <c r="E60" i="145" l="1"/>
  <c r="F60" i="145" s="1"/>
  <c r="E58" i="145"/>
  <c r="F58" i="145" s="1"/>
  <c r="E59" i="145"/>
  <c r="F59" i="145" s="1"/>
  <c r="F25" i="145"/>
  <c r="K412" i="120"/>
  <c r="F413" i="120" s="1"/>
  <c r="G412" i="120"/>
  <c r="C77" i="120" s="1"/>
  <c r="F77" i="120" s="1"/>
  <c r="K413" i="120" l="1"/>
  <c r="F414" i="120" s="1"/>
  <c r="G413" i="120"/>
  <c r="C78" i="120" s="1"/>
  <c r="F78" i="120" s="1"/>
  <c r="G414" i="120" l="1"/>
  <c r="C79" i="120" s="1"/>
  <c r="F79" i="120" s="1"/>
  <c r="K414" i="120"/>
  <c r="F415" i="120" s="1"/>
  <c r="G415" i="120" l="1"/>
  <c r="C80" i="120" s="1"/>
  <c r="F80" i="120" s="1"/>
  <c r="K415" i="120"/>
  <c r="F416" i="120" s="1"/>
  <c r="G416" i="120" l="1"/>
  <c r="C81" i="120" s="1"/>
  <c r="F81" i="120" s="1"/>
  <c r="K416" i="120"/>
  <c r="F417" i="120" s="1"/>
  <c r="G417" i="120" l="1"/>
  <c r="C82" i="120" s="1"/>
  <c r="F82" i="120" s="1"/>
  <c r="K417" i="120"/>
  <c r="F418" i="120" s="1"/>
  <c r="G418" i="120" l="1"/>
  <c r="C83" i="120" s="1"/>
  <c r="F83" i="120" s="1"/>
  <c r="K418" i="120"/>
  <c r="F419" i="120" s="1"/>
  <c r="G419" i="120" l="1"/>
  <c r="C84" i="120" s="1"/>
  <c r="F84" i="120" s="1"/>
  <c r="K419" i="120"/>
  <c r="F420" i="120" s="1"/>
  <c r="G420" i="120" l="1"/>
  <c r="C85" i="120" s="1"/>
  <c r="F85" i="120" s="1"/>
  <c r="K420" i="120"/>
</calcChain>
</file>

<file path=xl/comments1.xml><?xml version="1.0" encoding="utf-8"?>
<comments xmlns="http://schemas.openxmlformats.org/spreadsheetml/2006/main">
  <authors>
    <author>Mani, Concepcion Mendoza</author>
  </authors>
  <commentList>
    <comment ref="C46" authorId="0" shapeId="0">
      <text>
        <r>
          <rPr>
            <sz val="10"/>
            <color indexed="81"/>
            <rFont val="Tahoma"/>
            <family val="2"/>
          </rPr>
          <t xml:space="preserve">TC Refunds begin </t>
        </r>
      </text>
    </comment>
  </commentList>
</comments>
</file>

<file path=xl/comments2.xml><?xml version="1.0" encoding="utf-8"?>
<comments xmlns="http://schemas.openxmlformats.org/spreadsheetml/2006/main">
  <authors>
    <author>Mauleon, Gregory</author>
  </authors>
  <commentList>
    <comment ref="B4" authorId="0" shapeId="0">
      <text>
        <r>
          <rPr>
            <b/>
            <sz val="8"/>
            <color indexed="81"/>
            <rFont val="Tahoma"/>
            <family val="2"/>
          </rPr>
          <t>TC Refund Complete</t>
        </r>
      </text>
    </comment>
    <comment ref="B22" authorId="0" shapeId="0">
      <text>
        <r>
          <rPr>
            <b/>
            <sz val="8"/>
            <color indexed="81"/>
            <rFont val="Tahoma"/>
            <family val="2"/>
          </rPr>
          <t>TC Refunds Begin</t>
        </r>
      </text>
    </comment>
  </commentList>
</comments>
</file>

<file path=xl/comments3.xml><?xml version="1.0" encoding="utf-8"?>
<comments xmlns="http://schemas.openxmlformats.org/spreadsheetml/2006/main">
  <authors>
    <author>Mauleon, Gregory</author>
    <author>Mani, Concepcion Mendoza</author>
  </authors>
  <commentList>
    <comment ref="B3" authorId="0" shapeId="0">
      <text>
        <r>
          <rPr>
            <b/>
            <sz val="8"/>
            <color indexed="81"/>
            <rFont val="Tahoma"/>
            <family val="2"/>
          </rPr>
          <t>TC Refunds Complete</t>
        </r>
      </text>
    </comment>
    <comment ref="C9" authorId="0" shapeId="0">
      <text>
        <r>
          <rPr>
            <b/>
            <sz val="8"/>
            <color indexed="81"/>
            <rFont val="Tahoma"/>
            <family val="2"/>
          </rPr>
          <t>TC Refund Complete</t>
        </r>
      </text>
    </comment>
    <comment ref="D15" authorId="0" shapeId="0">
      <text>
        <r>
          <rPr>
            <b/>
            <sz val="8"/>
            <color indexed="81"/>
            <rFont val="Tahoma"/>
            <family val="2"/>
          </rPr>
          <t>TC Refund Complete</t>
        </r>
      </text>
    </comment>
    <comment ref="D28" authorId="1" shapeId="0">
      <text>
        <r>
          <rPr>
            <b/>
            <sz val="10"/>
            <color indexed="81"/>
            <rFont val="Tahoma"/>
            <family val="2"/>
          </rPr>
          <t xml:space="preserve">Sony Mani:  </t>
        </r>
        <r>
          <rPr>
            <sz val="10"/>
            <color indexed="81"/>
            <rFont val="Tahoma"/>
            <family val="2"/>
          </rPr>
          <t xml:space="preserve">Network upgrade cost was adjusted to reflect actual cost.  The 3rd Qtr TC refund to customer for $2,906,513.36 is the TC refund for the quarter for $1,209,463.36, plus the trueup cost adj. of 1,697,050. </t>
        </r>
      </text>
    </comment>
  </commentList>
</comments>
</file>

<file path=xl/comments4.xml><?xml version="1.0" encoding="utf-8"?>
<comments xmlns="http://schemas.openxmlformats.org/spreadsheetml/2006/main">
  <authors>
    <author>Mauleon, Gregory</author>
  </authors>
  <commentList>
    <comment ref="E4" authorId="0" shapeId="0">
      <text>
        <r>
          <rPr>
            <b/>
            <sz val="8"/>
            <color indexed="81"/>
            <rFont val="Tahoma"/>
            <family val="2"/>
          </rPr>
          <t>TC Refunds Completed</t>
        </r>
      </text>
    </comment>
    <comment ref="C10" authorId="0" shapeId="0">
      <text>
        <r>
          <rPr>
            <b/>
            <sz val="8"/>
            <color indexed="81"/>
            <rFont val="Tahoma"/>
            <family val="2"/>
          </rPr>
          <t>TC Refunds Complete</t>
        </r>
      </text>
    </comment>
    <comment ref="C40" authorId="0" shapeId="0">
      <text>
        <r>
          <rPr>
            <b/>
            <sz val="8"/>
            <color indexed="81"/>
            <rFont val="Tahoma"/>
            <family val="2"/>
          </rPr>
          <t>TC Refunds Complete</t>
        </r>
      </text>
    </comment>
  </commentList>
</comments>
</file>

<file path=xl/comments5.xml><?xml version="1.0" encoding="utf-8"?>
<comments xmlns="http://schemas.openxmlformats.org/spreadsheetml/2006/main">
  <authors>
    <author>Mauleon, Gregory</author>
  </authors>
  <commentList>
    <comment ref="C3" authorId="0" shapeId="0">
      <text>
        <r>
          <rPr>
            <b/>
            <sz val="8"/>
            <color indexed="81"/>
            <rFont val="Tahoma"/>
            <family val="2"/>
          </rPr>
          <t>TC Refunds Complete</t>
        </r>
      </text>
    </comment>
    <comment ref="B9" authorId="0" shapeId="0">
      <text>
        <r>
          <rPr>
            <b/>
            <sz val="8"/>
            <color indexed="81"/>
            <rFont val="Tahoma"/>
            <family val="2"/>
          </rPr>
          <t>TC Refunds Complete</t>
        </r>
      </text>
    </comment>
    <comment ref="C39" authorId="0" shapeId="0">
      <text>
        <r>
          <rPr>
            <b/>
            <sz val="8"/>
            <color indexed="81"/>
            <rFont val="Tahoma"/>
            <family val="2"/>
          </rPr>
          <t>TC Refunds Complete</t>
        </r>
      </text>
    </comment>
    <comment ref="D57" authorId="0" shapeId="0">
      <text>
        <r>
          <rPr>
            <b/>
            <sz val="8"/>
            <color indexed="81"/>
            <rFont val="Tahoma"/>
            <family val="2"/>
          </rPr>
          <t>TC Refunds Begin</t>
        </r>
      </text>
    </comment>
    <comment ref="B69" authorId="0" shapeId="0">
      <text>
        <r>
          <rPr>
            <b/>
            <sz val="8"/>
            <color indexed="81"/>
            <rFont val="Tahoma"/>
            <family val="2"/>
          </rPr>
          <t>TC Refunds Complete
One bulk payment</t>
        </r>
      </text>
    </comment>
  </commentList>
</comments>
</file>

<file path=xl/comments6.xml><?xml version="1.0" encoding="utf-8"?>
<comments xmlns="http://schemas.openxmlformats.org/spreadsheetml/2006/main">
  <authors>
    <author>Standard Configuration</author>
  </authors>
  <commentList>
    <comment ref="C3" authorId="0" shapeId="0">
      <text>
        <r>
          <rPr>
            <b/>
            <sz val="10"/>
            <color indexed="81"/>
            <rFont val="Tahoma"/>
            <family val="2"/>
          </rPr>
          <t xml:space="preserve">TC refunds completed.
</t>
        </r>
      </text>
    </comment>
    <comment ref="B9" authorId="0" shapeId="0">
      <text>
        <r>
          <rPr>
            <sz val="10"/>
            <color indexed="81"/>
            <rFont val="Tahoma"/>
            <family val="2"/>
          </rPr>
          <t xml:space="preserve">TC refunds completed.
</t>
        </r>
      </text>
    </comment>
    <comment ref="C15" authorId="0" shapeId="0">
      <text>
        <r>
          <rPr>
            <b/>
            <sz val="10"/>
            <color indexed="81"/>
            <rFont val="Tahoma"/>
            <family val="2"/>
          </rPr>
          <t xml:space="preserve">TC refunds completed. 
</t>
        </r>
        <r>
          <rPr>
            <sz val="10"/>
            <color indexed="81"/>
            <rFont val="Tahoma"/>
            <family val="2"/>
          </rPr>
          <t xml:space="preserve">
</t>
        </r>
      </text>
    </comment>
  </commentList>
</comments>
</file>

<file path=xl/comments7.xml><?xml version="1.0" encoding="utf-8"?>
<comments xmlns="http://schemas.openxmlformats.org/spreadsheetml/2006/main">
  <authors>
    <author>Sony Mani</author>
  </authors>
  <commentList>
    <comment ref="B43" authorId="0" shapeId="0">
      <text>
        <r>
          <rPr>
            <b/>
            <sz val="7"/>
            <color indexed="81"/>
            <rFont val="Tahoma"/>
            <family val="2"/>
          </rPr>
          <t>Sony Mani:</t>
        </r>
        <r>
          <rPr>
            <sz val="7"/>
            <color indexed="81"/>
            <rFont val="Tahoma"/>
            <family val="2"/>
          </rPr>
          <t xml:space="preserve">
1st and 2nd refunds not made due to pending issue with paperwork rec'd from customer.</t>
        </r>
      </text>
    </comment>
    <comment ref="C43" authorId="0" shapeId="0">
      <text>
        <r>
          <rPr>
            <b/>
            <sz val="7"/>
            <color indexed="81"/>
            <rFont val="Tahoma"/>
            <family val="2"/>
          </rPr>
          <t>Sony Mani:</t>
        </r>
        <r>
          <rPr>
            <sz val="7"/>
            <color indexed="81"/>
            <rFont val="Tahoma"/>
            <family val="2"/>
          </rPr>
          <t xml:space="preserve">
1st, 2nd, and 3rd refunds will be completed on Q2 2015.</t>
        </r>
      </text>
    </comment>
  </commentList>
</comments>
</file>

<file path=xl/comments8.xml><?xml version="1.0" encoding="utf-8"?>
<comments xmlns="http://schemas.openxmlformats.org/spreadsheetml/2006/main">
  <authors>
    <author>Sony Mani</author>
  </authors>
  <commentList>
    <comment ref="C18" authorId="0" shapeId="0">
      <text>
        <r>
          <rPr>
            <b/>
            <sz val="6"/>
            <color indexed="81"/>
            <rFont val="Tahoma"/>
            <family val="2"/>
          </rPr>
          <t>Sony Mani:</t>
        </r>
        <r>
          <rPr>
            <sz val="6"/>
            <color indexed="81"/>
            <rFont val="Tahoma"/>
            <family val="2"/>
          </rPr>
          <t xml:space="preserve">
1st, 2nd, and 3rd refunds were short by $50K/refund.  Total refund in Q2 2014 includes $50K * 3.</t>
        </r>
        <r>
          <rPr>
            <sz val="9"/>
            <color indexed="81"/>
            <rFont val="Tahoma"/>
            <family val="2"/>
          </rPr>
          <t xml:space="preserve">  </t>
        </r>
      </text>
    </comment>
    <comment ref="G18" authorId="0" shapeId="0">
      <text>
        <r>
          <rPr>
            <b/>
            <sz val="8"/>
            <color indexed="81"/>
            <rFont val="Tahoma"/>
            <family val="2"/>
          </rPr>
          <t xml:space="preserve">Sony Mani:
</t>
        </r>
        <r>
          <rPr>
            <sz val="8"/>
            <color indexed="81"/>
            <rFont val="Tahoma"/>
            <family val="2"/>
          </rPr>
          <t>Refunds due originally $16.891M; however, amt adjusted to $17.891M due to combined $1M fr FSA.  Adj made in Q2 2014.</t>
        </r>
      </text>
    </comment>
    <comment ref="B28" authorId="0" shapeId="0">
      <text>
        <r>
          <rPr>
            <b/>
            <sz val="9"/>
            <color indexed="81"/>
            <rFont val="Tahoma"/>
            <family val="2"/>
          </rPr>
          <t>Sony Mani:</t>
        </r>
        <r>
          <rPr>
            <sz val="9"/>
            <color indexed="81"/>
            <rFont val="Tahoma"/>
            <family val="2"/>
          </rPr>
          <t xml:space="preserve">
1st, 2nd, 3rd, and 4th refunds occurred in Q1 2014. </t>
        </r>
      </text>
    </comment>
    <comment ref="B43" authorId="0" shapeId="0">
      <text>
        <r>
          <rPr>
            <b/>
            <sz val="9"/>
            <color indexed="81"/>
            <rFont val="Tahoma"/>
            <family val="2"/>
          </rPr>
          <t>Sony Mani:</t>
        </r>
        <r>
          <rPr>
            <sz val="9"/>
            <color indexed="81"/>
            <rFont val="Tahoma"/>
            <family val="2"/>
          </rPr>
          <t xml:space="preserve">
1st refund happened in Q1 2014, not in Q4 2013.  Revised the 2013 and 2014 tabs on 6/5/15 to reflect such.</t>
        </r>
      </text>
    </comment>
    <comment ref="C43" authorId="0" shapeId="0">
      <text>
        <r>
          <rPr>
            <b/>
            <sz val="9"/>
            <color indexed="81"/>
            <rFont val="Tahoma"/>
            <family val="2"/>
          </rPr>
          <t>Sony Mani:</t>
        </r>
        <r>
          <rPr>
            <sz val="9"/>
            <color indexed="81"/>
            <rFont val="Tahoma"/>
            <family val="2"/>
          </rPr>
          <t xml:space="preserve">
2nd and 3rd refunds were made in Q2 2014.  Revised 2013 and 2014 tabs on 6/5/15 to reflect the correct refund date and amt.</t>
        </r>
      </text>
    </comment>
    <comment ref="I43" authorId="0" shapeId="0">
      <text>
        <r>
          <rPr>
            <b/>
            <sz val="8"/>
            <color indexed="81"/>
            <rFont val="Tahoma"/>
            <family val="2"/>
          </rPr>
          <t xml:space="preserve">Sony Mani:
</t>
        </r>
        <r>
          <rPr>
            <sz val="8"/>
            <color indexed="81"/>
            <rFont val="Tahoma"/>
            <family val="2"/>
          </rPr>
          <t>1st refund happened in Q12014 instead of Q42013.  2nd and 3rd refund occurred in Q2 2014.</t>
        </r>
        <r>
          <rPr>
            <b/>
            <sz val="9"/>
            <color indexed="81"/>
            <rFont val="Tahoma"/>
            <family val="2"/>
          </rPr>
          <t xml:space="preserve">
</t>
        </r>
      </text>
    </comment>
  </commentList>
</comments>
</file>

<file path=xl/comments9.xml><?xml version="1.0" encoding="utf-8"?>
<comments xmlns="http://schemas.openxmlformats.org/spreadsheetml/2006/main">
  <authors>
    <author>Sony Mani</author>
  </authors>
  <commentList>
    <comment ref="H42" authorId="0" shapeId="0">
      <text>
        <r>
          <rPr>
            <b/>
            <sz val="9"/>
            <color indexed="81"/>
            <rFont val="Tahoma"/>
            <family val="2"/>
          </rPr>
          <t>Sony Mani:</t>
        </r>
        <r>
          <rPr>
            <sz val="9"/>
            <color indexed="81"/>
            <rFont val="Tahoma"/>
            <family val="2"/>
          </rPr>
          <t xml:space="preserve">
1st, 2nd, and 3rd refunds were short by $50K/refund.  Total refund in Q2 2014 includes $50K * 3.</t>
        </r>
      </text>
    </comment>
  </commentList>
</comments>
</file>

<file path=xl/sharedStrings.xml><?xml version="1.0" encoding="utf-8"?>
<sst xmlns="http://schemas.openxmlformats.org/spreadsheetml/2006/main" count="1771" uniqueCount="127">
  <si>
    <t>Total</t>
  </si>
  <si>
    <t>ITCC</t>
  </si>
  <si>
    <t xml:space="preserve">All Totals </t>
  </si>
  <si>
    <t>Facility Credit</t>
  </si>
  <si>
    <t>One Time Cost Credit</t>
  </si>
  <si>
    <t>Facility - Interest Credit</t>
  </si>
  <si>
    <t>One Time Cost - Interest Credit</t>
  </si>
  <si>
    <t>Facility Cost</t>
  </si>
  <si>
    <t>Date Payment Received By SCE</t>
  </si>
  <si>
    <t>Period</t>
  </si>
  <si>
    <t>Start Date</t>
  </si>
  <si>
    <t>End Date</t>
  </si>
  <si>
    <t>Days</t>
  </si>
  <si>
    <t>APR Interest Rate (%)</t>
  </si>
  <si>
    <t>Principal Used For Interest Calculation ($)</t>
  </si>
  <si>
    <t>Running Balance ($)</t>
  </si>
  <si>
    <t>Principal Paid</t>
  </si>
  <si>
    <t xml:space="preserve">Total </t>
  </si>
  <si>
    <t>Payment #</t>
  </si>
  <si>
    <t xml:space="preserve"> - Facility Credit - Total payments made by SCE on the Facility </t>
  </si>
  <si>
    <t xml:space="preserve"> - Facility Interest Credit - Total payments made by SCE on Post-Construction interest (quarterly), calculation starts on the in-service date of the Facility</t>
  </si>
  <si>
    <t xml:space="preserve"> - One Time Cost Credit - Total payments made by SCE on One Time Costs</t>
  </si>
  <si>
    <t xml:space="preserve"> - One Time Cost Interest Credit - Total payments made by SCE on Pre and Post-Construction interest (accrued interest and quarterly interest, respectively) for One Time Costs, calculation starts once SCE receive the check from the customer </t>
  </si>
  <si>
    <t xml:space="preserve"> - When actual costs are determined (true-up), refund amounts are recalculated to reflect the new totals and adjustments are made for principal and accrued interest refunds for prior quarters to align the refund totals to the 1/20th per quarter criteria.</t>
  </si>
  <si>
    <t>One-Time Cost</t>
  </si>
  <si>
    <t>Facility Costs</t>
  </si>
  <si>
    <t>In-Service Date:</t>
  </si>
  <si>
    <t>Total Payments</t>
  </si>
  <si>
    <t>Huntington</t>
  </si>
  <si>
    <t>Inland Empire Energy Center</t>
  </si>
  <si>
    <t xml:space="preserve"> - Moenkopi Share is 58.25%</t>
  </si>
  <si>
    <t xml:space="preserve">Notes: </t>
  </si>
  <si>
    <t>Accrued / Quarterly Interest Amount ($)</t>
  </si>
  <si>
    <t>Accrued Interest Paid</t>
  </si>
  <si>
    <t xml:space="preserve"> - Lugo Share is 41.75% - Refunds for the Lugo series caps were to have commenced the 2nd Qtr '06.  As a result of the late refund,  the initial 3rd Qtr '06 refund will comprise of two of the 20 original quarterly refunds.</t>
  </si>
  <si>
    <t>1st Qtr</t>
  </si>
  <si>
    <t>2nd Qtr</t>
  </si>
  <si>
    <t>3rd Qtr</t>
  </si>
  <si>
    <t>4 Qtr</t>
  </si>
  <si>
    <t>Balance</t>
  </si>
  <si>
    <t>Total Payments ***</t>
  </si>
  <si>
    <t>Refunds to Date *</t>
  </si>
  <si>
    <t>Actual</t>
  </si>
  <si>
    <t>Estimate</t>
  </si>
  <si>
    <t>Lugo</t>
  </si>
  <si>
    <t>Moenkopi</t>
  </si>
  <si>
    <t>High Desert  (Estimate)</t>
  </si>
  <si>
    <t>LV Cogen - Breakers (Actual)</t>
  </si>
  <si>
    <t>Mirant - Breakers (Actual)</t>
  </si>
  <si>
    <t>NPC - Breakers (Actual)</t>
  </si>
  <si>
    <t>Reliant - Breakers (Actual)</t>
  </si>
  <si>
    <t>Whitewater Hill (Actual)</t>
  </si>
  <si>
    <t>NPC Lenzie - Breakers (Actual)</t>
  </si>
  <si>
    <t>Pastoria (Actual)</t>
  </si>
  <si>
    <t>SNWA - Breakers (Actual)</t>
  </si>
  <si>
    <t>Lugo Capacitors (Estimate)</t>
  </si>
  <si>
    <t>Moenkopi Capacitors (Estimate)</t>
  </si>
  <si>
    <t>Magnolia (Estimate/Final)</t>
  </si>
  <si>
    <t xml:space="preserve"> - Magnolia - The TC refunds will continue to be based on the Estimated cost since the Actual cost is higher and SCE will not be invoicing for the additional cost.</t>
  </si>
  <si>
    <t>Mountainview (Actual)</t>
  </si>
  <si>
    <t>Period 1 (Recorded 2008) - Transmission Credits</t>
  </si>
  <si>
    <r>
      <t xml:space="preserve">Blythe (Estimate) </t>
    </r>
    <r>
      <rPr>
        <b/>
        <vertAlign val="superscript"/>
        <sz val="10"/>
        <rFont val="Arial"/>
        <family val="2"/>
      </rPr>
      <t>1</t>
    </r>
  </si>
  <si>
    <r>
      <t>1</t>
    </r>
    <r>
      <rPr>
        <sz val="10"/>
        <rFont val="Arial"/>
        <family val="2"/>
      </rPr>
      <t xml:space="preserve"> Transmission Credit Refunds have not started.</t>
    </r>
  </si>
  <si>
    <r>
      <t>Inland Empire Energy Center (Estimate)</t>
    </r>
    <r>
      <rPr>
        <b/>
        <vertAlign val="superscript"/>
        <sz val="10"/>
        <rFont val="Arial"/>
        <family val="2"/>
      </rPr>
      <t>1</t>
    </r>
  </si>
  <si>
    <t>AES Huntington Beach (Actual)</t>
  </si>
  <si>
    <t>Forecast 2011 - Transmission Credits</t>
  </si>
  <si>
    <t>One-Time Cost Credit</t>
  </si>
  <si>
    <t>Mountain View IV Project</t>
  </si>
  <si>
    <t>Inland Empire Energy Center (TOT037)</t>
  </si>
  <si>
    <t>Mountain View IV Project (WDT213)</t>
  </si>
  <si>
    <t>NRG El Segundo (TOT041)</t>
  </si>
  <si>
    <t>One-Time Costs</t>
  </si>
  <si>
    <t>Period 2 (ACTUAL 2010) - Transmission Credits</t>
  </si>
  <si>
    <t>(ACTUAL 2009) - Transmission Credits</t>
  </si>
  <si>
    <r>
      <t xml:space="preserve">Blythe (Actual) </t>
    </r>
    <r>
      <rPr>
        <b/>
        <vertAlign val="superscript"/>
        <sz val="10"/>
        <rFont val="Arial"/>
        <family val="2"/>
      </rPr>
      <t>1</t>
    </r>
  </si>
  <si>
    <t>Antelope Power Plant (TOT427)</t>
  </si>
  <si>
    <t>Lugo Capacitors (Actual)</t>
  </si>
  <si>
    <t>Moenkopi Capacitors (Actual)</t>
  </si>
  <si>
    <t>Sentinel (TOT032)</t>
  </si>
  <si>
    <t>NRG Alta Vista SunTower (TOT278)</t>
  </si>
  <si>
    <t>Blythe (TOT094)</t>
  </si>
  <si>
    <t>Refunds to Date</t>
  </si>
  <si>
    <t>One-Time Costs (Summary)</t>
  </si>
  <si>
    <t>EME Walnut Creek (Actual)</t>
  </si>
  <si>
    <t>COD:</t>
  </si>
  <si>
    <t>Cumulative Accrued Interest Due</t>
  </si>
  <si>
    <t>TC Refund no longer applicable beginning Q2 2013 due to EKWRA</t>
  </si>
  <si>
    <t>RECORDED 2013 - Transmission Credits</t>
  </si>
  <si>
    <t>RECORDED  2012 - Transmission Credits</t>
  </si>
  <si>
    <t>TOT522: Blue Sky Ranch - Estimate</t>
  </si>
  <si>
    <t>True Up 1</t>
  </si>
  <si>
    <t>True Up 2</t>
  </si>
  <si>
    <t>TOT455: Catalina Solar - Estimate</t>
  </si>
  <si>
    <t>N/A</t>
  </si>
  <si>
    <t>Rate</t>
  </si>
  <si>
    <t>End Date Range</t>
  </si>
  <si>
    <t>Status</t>
  </si>
  <si>
    <t>TOT094: Blythe I (Buck-Hinds) - Actual</t>
  </si>
  <si>
    <t>Total Refunds Due</t>
  </si>
  <si>
    <t>Remaining Refunds Due</t>
  </si>
  <si>
    <t>Refunds Completed by Year-End</t>
  </si>
  <si>
    <t>Refund Date</t>
  </si>
  <si>
    <t>Facility Cost - Principal</t>
  </si>
  <si>
    <t>Facility Cost - Interest</t>
  </si>
  <si>
    <t>One-Time Cost - Interest</t>
  </si>
  <si>
    <t>TOT278: Alta Vista SunTower Gen - Estimate</t>
  </si>
  <si>
    <r>
      <rPr>
        <b/>
        <sz val="8"/>
        <rFont val="Times New Roman"/>
        <family val="1"/>
      </rPr>
      <t>Facility Cost - Principal</t>
    </r>
    <r>
      <rPr>
        <sz val="8"/>
        <rFont val="Times New Roman"/>
        <family val="1"/>
      </rPr>
      <t>: Total payments made by SCE on the Facility</t>
    </r>
  </si>
  <si>
    <r>
      <rPr>
        <b/>
        <sz val="8"/>
        <rFont val="Times New Roman"/>
        <family val="1"/>
      </rPr>
      <t>One-Time Cost - Principal</t>
    </r>
    <r>
      <rPr>
        <sz val="8"/>
        <rFont val="Times New Roman"/>
        <family val="1"/>
      </rPr>
      <t>: Total payments made by SCE on One-Time Costs</t>
    </r>
  </si>
  <si>
    <t>1) Definitions:</t>
  </si>
  <si>
    <r>
      <rPr>
        <b/>
        <sz val="8"/>
        <rFont val="Times New Roman"/>
        <family val="1"/>
      </rPr>
      <t>2)</t>
    </r>
    <r>
      <rPr>
        <sz val="8"/>
        <rFont val="Times New Roman"/>
        <family val="1"/>
      </rPr>
      <t xml:space="preserve"> When actual costs are determined (True Up), refund amounts are recalculated to reflect the new totals.  Adjustments are made for principal and accrued interest refunds for prior quarters to align the refund totals to the 1/20th per quarter criteria.</t>
    </r>
  </si>
  <si>
    <t>Payment</t>
  </si>
  <si>
    <t>Total Interest Paid</t>
  </si>
  <si>
    <t>TOT041: NRG El Segundo - Estimate</t>
  </si>
  <si>
    <t>TOT135: EME Walnut Creek - Estimate</t>
  </si>
  <si>
    <t>TOT175: Mojave Solar Project - Estimate</t>
  </si>
  <si>
    <t>TOT032: CPV Sentinel - Estimate</t>
  </si>
  <si>
    <t>TOT508: TA-Acacia - Estimate</t>
  </si>
  <si>
    <t>WDT1007: RE Columbia</t>
  </si>
  <si>
    <r>
      <rPr>
        <b/>
        <sz val="8"/>
        <rFont val="Times New Roman"/>
        <family val="1"/>
      </rPr>
      <t>Facility Cost - Interest</t>
    </r>
    <r>
      <rPr>
        <sz val="8"/>
        <rFont val="Times New Roman"/>
        <family val="1"/>
      </rPr>
      <t>: Total payments made by SCE on post-construction interest (quarterly) for Facility Costs.  Interest calculations begin on the in-service date of the Facility.</t>
    </r>
  </si>
  <si>
    <r>
      <rPr>
        <b/>
        <sz val="8"/>
        <rFont val="Times New Roman"/>
        <family val="1"/>
      </rPr>
      <t>One-Time Cost - Interest</t>
    </r>
    <r>
      <rPr>
        <sz val="8"/>
        <rFont val="Times New Roman"/>
        <family val="1"/>
      </rPr>
      <t>: Total payments made by SCE on pre- and post-construction interest (accrued interest and quarterly interest, respectively) for One-Time Costs.  Interest calculations begin upon receipt of payment from the customer.</t>
    </r>
  </si>
  <si>
    <t>TOT037: Inland Empire Energy Center - Estimate</t>
  </si>
  <si>
    <t>Q1 2014</t>
  </si>
  <si>
    <t xml:space="preserve"> 1st Refund </t>
  </si>
  <si>
    <t>True Up 1 (FSA)</t>
  </si>
  <si>
    <t>Grand Total</t>
  </si>
  <si>
    <t>RECORDED QUARTERLY 2015 - Network Upgrade Credits</t>
  </si>
  <si>
    <t>RECORDED QUARTERLY 2014 - Network Upgrade Credits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</si>
</sst>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_);[Red]\(&quot;$&quot;#,##0.00\)"/>
    <numFmt numFmtId="44" formatCode="_(&quot;$&quot;* #,##0.00_);_(&quot;$&quot;* \(#,##0.00\);_(&quot;$&quot;* &quot;-&quot;??_);_(@_)"/>
    <numFmt numFmtId="43" formatCode="_(* #,##0.00_);_(* \(#,##0.00\);_(* &quot;-&quot;??_);_(@_)"/>
    <numFmt numFmtId="164" formatCode="mm/dd/yy;@"/>
    <numFmt numFmtId="165" formatCode="0.000%"/>
  </numFmts>
  <fonts count="30" x14ac:knownFonts="1">
    <font>
      <sz val="10"/>
      <name val="Arial"/>
    </font>
    <font>
      <sz val="11"/>
      <color theme="1"/>
      <name val="Calibri"/>
      <family val="2"/>
      <scheme val="minor"/>
    </font>
    <font>
      <sz val="10"/>
      <name val="Arial"/>
      <family val="2"/>
    </font>
    <font>
      <sz val="8"/>
      <name val="Arial"/>
      <family val="2"/>
    </font>
    <font>
      <sz val="9"/>
      <name val="Arial"/>
      <family val="2"/>
    </font>
    <font>
      <b/>
      <sz val="10"/>
      <name val="Arial"/>
      <family val="2"/>
    </font>
    <font>
      <b/>
      <sz val="12"/>
      <name val="Arial"/>
      <family val="2"/>
    </font>
    <font>
      <sz val="10"/>
      <name val="Arial"/>
      <family val="2"/>
    </font>
    <font>
      <b/>
      <vertAlign val="superscript"/>
      <sz val="10"/>
      <name val="Arial"/>
      <family val="2"/>
    </font>
    <font>
      <b/>
      <sz val="9"/>
      <name val="Arial"/>
      <family val="2"/>
    </font>
    <font>
      <b/>
      <sz val="9"/>
      <name val="Arial"/>
      <family val="2"/>
    </font>
    <font>
      <sz val="10"/>
      <color indexed="81"/>
      <name val="Tahoma"/>
      <family val="2"/>
    </font>
    <font>
      <b/>
      <sz val="10"/>
      <color indexed="81"/>
      <name val="Tahoma"/>
      <family val="2"/>
    </font>
    <font>
      <vertAlign val="superscript"/>
      <sz val="10"/>
      <name val="Arial"/>
      <family val="2"/>
    </font>
    <font>
      <b/>
      <sz val="8"/>
      <color indexed="81"/>
      <name val="Tahoma"/>
      <family val="2"/>
    </font>
    <font>
      <i/>
      <sz val="10"/>
      <name val="Arial"/>
      <family val="2"/>
    </font>
    <font>
      <sz val="10"/>
      <color rgb="FFFF0000"/>
      <name val="Arial"/>
      <family val="2"/>
    </font>
    <font>
      <b/>
      <sz val="9"/>
      <color rgb="FFFF0000"/>
      <name val="Arial"/>
      <family val="2"/>
    </font>
    <font>
      <sz val="10"/>
      <name val="Times New Roman"/>
      <family val="1"/>
    </font>
    <font>
      <b/>
      <sz val="10"/>
      <name val="Times New Roman"/>
      <family val="1"/>
    </font>
    <font>
      <b/>
      <sz val="8"/>
      <name val="Times New Roman"/>
      <family val="1"/>
    </font>
    <font>
      <sz val="8"/>
      <name val="Times New Roman"/>
      <family val="1"/>
    </font>
    <font>
      <b/>
      <sz val="8"/>
      <color rgb="FFFF0000"/>
      <name val="Times New Roman"/>
      <family val="1"/>
    </font>
    <font>
      <sz val="9"/>
      <color indexed="81"/>
      <name val="Tahoma"/>
      <family val="2"/>
    </font>
    <font>
      <b/>
      <sz val="9"/>
      <color indexed="81"/>
      <name val="Tahoma"/>
      <family val="2"/>
    </font>
    <font>
      <sz val="8"/>
      <color indexed="81"/>
      <name val="Tahoma"/>
      <family val="2"/>
    </font>
    <font>
      <b/>
      <sz val="6"/>
      <color indexed="81"/>
      <name val="Tahoma"/>
      <family val="2"/>
    </font>
    <font>
      <sz val="6"/>
      <color indexed="81"/>
      <name val="Tahoma"/>
      <family val="2"/>
    </font>
    <font>
      <b/>
      <sz val="7"/>
      <color indexed="81"/>
      <name val="Tahoma"/>
      <family val="2"/>
    </font>
    <font>
      <sz val="7"/>
      <color indexed="81"/>
      <name val="Tahoma"/>
      <family val="2"/>
    </font>
  </fonts>
  <fills count="16">
    <fill>
      <patternFill patternType="none"/>
    </fill>
    <fill>
      <patternFill patternType="gray125"/>
    </fill>
    <fill>
      <patternFill patternType="solid">
        <fgColor indexed="22"/>
        <bgColor indexed="22"/>
      </patternFill>
    </fill>
    <fill>
      <patternFill patternType="solid">
        <fgColor indexed="22"/>
        <bgColor indexed="64"/>
      </patternFill>
    </fill>
    <fill>
      <patternFill patternType="solid">
        <fgColor indexed="45"/>
        <bgColor indexed="22"/>
      </patternFill>
    </fill>
    <fill>
      <patternFill patternType="solid">
        <fgColor rgb="FFFFFF0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249977111117893"/>
        <bgColor indexed="22"/>
      </patternFill>
    </fill>
    <fill>
      <patternFill patternType="solid">
        <fgColor theme="4" tint="0.399975585192419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style="thin">
        <color indexed="22"/>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55"/>
      </right>
      <top style="thin">
        <color indexed="64"/>
      </top>
      <bottom style="thin">
        <color indexed="55"/>
      </bottom>
      <diagonal/>
    </border>
    <border>
      <left style="thin">
        <color indexed="55"/>
      </left>
      <right style="thin">
        <color indexed="55"/>
      </right>
      <top style="thin">
        <color indexed="64"/>
      </top>
      <bottom style="thin">
        <color indexed="55"/>
      </bottom>
      <diagonal/>
    </border>
    <border>
      <left style="thin">
        <color indexed="64"/>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64"/>
      </right>
      <top style="thin">
        <color indexed="55"/>
      </top>
      <bottom style="thin">
        <color indexed="55"/>
      </bottom>
      <diagonal/>
    </border>
    <border>
      <left style="thin">
        <color indexed="64"/>
      </left>
      <right style="thin">
        <color indexed="55"/>
      </right>
      <top style="thin">
        <color indexed="55"/>
      </top>
      <bottom style="thin">
        <color indexed="64"/>
      </bottom>
      <diagonal/>
    </border>
    <border>
      <left style="thin">
        <color indexed="55"/>
      </left>
      <right style="thin">
        <color indexed="55"/>
      </right>
      <top style="thin">
        <color indexed="55"/>
      </top>
      <bottom style="thin">
        <color indexed="64"/>
      </bottom>
      <diagonal/>
    </border>
    <border>
      <left style="thin">
        <color indexed="55"/>
      </left>
      <right style="thin">
        <color indexed="64"/>
      </right>
      <top style="thin">
        <color indexed="55"/>
      </top>
      <bottom style="thin">
        <color indexed="64"/>
      </bottom>
      <diagonal/>
    </border>
    <border>
      <left style="thin">
        <color indexed="64"/>
      </left>
      <right style="thin">
        <color indexed="64"/>
      </right>
      <top/>
      <bottom style="thin">
        <color indexed="64"/>
      </bottom>
      <diagonal/>
    </border>
    <border>
      <left style="thin">
        <color indexed="55"/>
      </left>
      <right/>
      <top style="thin">
        <color indexed="64"/>
      </top>
      <bottom style="thin">
        <color indexed="55"/>
      </bottom>
      <diagonal/>
    </border>
    <border>
      <left/>
      <right/>
      <top style="thin">
        <color indexed="64"/>
      </top>
      <bottom style="thin">
        <color indexed="64"/>
      </bottom>
      <diagonal/>
    </border>
    <border>
      <left/>
      <right style="thin">
        <color indexed="22"/>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55"/>
      </right>
      <top style="thin">
        <color indexed="64"/>
      </top>
      <bottom style="thin">
        <color indexed="64"/>
      </bottom>
      <diagonal/>
    </border>
    <border>
      <left style="thin">
        <color indexed="55"/>
      </left>
      <right style="thin">
        <color indexed="55"/>
      </right>
      <top style="thin">
        <color indexed="64"/>
      </top>
      <bottom style="thin">
        <color indexed="64"/>
      </bottom>
      <diagonal/>
    </border>
    <border>
      <left style="thin">
        <color indexed="64"/>
      </left>
      <right style="thin">
        <color indexed="55"/>
      </right>
      <top style="thin">
        <color indexed="64"/>
      </top>
      <bottom style="thin">
        <color indexed="64"/>
      </bottom>
      <diagonal/>
    </border>
    <border>
      <left style="thin">
        <color indexed="22"/>
      </left>
      <right style="thin">
        <color indexed="22"/>
      </right>
      <top/>
      <bottom/>
      <diagonal/>
    </border>
    <border>
      <left style="thin">
        <color indexed="22"/>
      </left>
      <right/>
      <top/>
      <bottom/>
      <diagonal/>
    </border>
    <border>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right style="thin">
        <color indexed="22"/>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style="thin">
        <color indexed="64"/>
      </top>
      <bottom style="double">
        <color indexed="64"/>
      </bottom>
      <diagonal/>
    </border>
  </borders>
  <cellStyleXfs count="10">
    <xf numFmtId="0" fontId="0" fillId="0" borderId="0"/>
    <xf numFmtId="43" fontId="2" fillId="0" borderId="0" applyFont="0" applyFill="0" applyBorder="0" applyAlignment="0" applyProtection="0"/>
    <xf numFmtId="43" fontId="7" fillId="0" borderId="0" applyFont="0" applyFill="0" applyBorder="0" applyAlignment="0" applyProtection="0"/>
    <xf numFmtId="44" fontId="2" fillId="0" borderId="0" applyFont="0" applyFill="0" applyBorder="0" applyAlignment="0" applyProtection="0"/>
    <xf numFmtId="44" fontId="7" fillId="0" borderId="0" applyFont="0" applyFill="0" applyBorder="0" applyAlignment="0" applyProtection="0"/>
    <xf numFmtId="0" fontId="7" fillId="0" borderId="0"/>
    <xf numFmtId="9" fontId="2" fillId="0" borderId="0" applyFont="0" applyFill="0" applyBorder="0" applyAlignment="0" applyProtection="0"/>
    <xf numFmtId="9" fontId="7" fillId="0" borderId="0" applyFont="0" applyFill="0" applyBorder="0" applyAlignment="0" applyProtection="0"/>
    <xf numFmtId="0" fontId="2" fillId="0" borderId="0"/>
    <xf numFmtId="0" fontId="1" fillId="0" borderId="0"/>
  </cellStyleXfs>
  <cellXfs count="312">
    <xf numFmtId="0" fontId="0" fillId="0" borderId="0" xfId="0"/>
    <xf numFmtId="0" fontId="5" fillId="2" borderId="1" xfId="0" applyFont="1" applyFill="1" applyBorder="1"/>
    <xf numFmtId="0" fontId="7" fillId="0" borderId="0" xfId="0" applyFont="1" applyFill="1"/>
    <xf numFmtId="0" fontId="5" fillId="0" borderId="0" xfId="0" applyFont="1" applyFill="1" applyAlignment="1">
      <alignment horizontal="center" wrapText="1"/>
    </xf>
    <xf numFmtId="0" fontId="7" fillId="0" borderId="0" xfId="0" applyFont="1" applyFill="1" applyAlignment="1">
      <alignment horizontal="center"/>
    </xf>
    <xf numFmtId="0" fontId="7" fillId="0" borderId="0" xfId="0" applyFont="1" applyFill="1" applyBorder="1" applyAlignment="1">
      <alignment horizontal="center"/>
    </xf>
    <xf numFmtId="0" fontId="4" fillId="0" borderId="2" xfId="0" applyFont="1" applyBorder="1" applyAlignment="1">
      <alignment horizontal="right"/>
    </xf>
    <xf numFmtId="0" fontId="5" fillId="3" borderId="1" xfId="0" applyFont="1" applyFill="1" applyBorder="1"/>
    <xf numFmtId="0" fontId="0" fillId="0" borderId="0" xfId="0" applyAlignment="1">
      <alignment horizontal="left"/>
    </xf>
    <xf numFmtId="164" fontId="7" fillId="0" borderId="0" xfId="0" applyNumberFormat="1" applyFont="1" applyFill="1" applyAlignment="1">
      <alignment horizontal="center" wrapText="1"/>
    </xf>
    <xf numFmtId="44" fontId="7" fillId="0" borderId="0" xfId="3" applyFont="1" applyFill="1" applyAlignment="1">
      <alignment horizontal="center"/>
    </xf>
    <xf numFmtId="0" fontId="4" fillId="0" borderId="4" xfId="0" applyFont="1" applyBorder="1"/>
    <xf numFmtId="0" fontId="4" fillId="0" borderId="5" xfId="0" applyFont="1" applyBorder="1"/>
    <xf numFmtId="0" fontId="4" fillId="0" borderId="6" xfId="0" applyFont="1" applyBorder="1"/>
    <xf numFmtId="0" fontId="4" fillId="0" borderId="7" xfId="0" applyFont="1" applyBorder="1"/>
    <xf numFmtId="0" fontId="4" fillId="0" borderId="1" xfId="0" applyFont="1" applyBorder="1" applyAlignment="1">
      <alignment horizontal="right"/>
    </xf>
    <xf numFmtId="0" fontId="6" fillId="0" borderId="0" xfId="0" applyFont="1" applyAlignment="1">
      <alignment horizontal="center"/>
    </xf>
    <xf numFmtId="14" fontId="5" fillId="0" borderId="0" xfId="0" applyNumberFormat="1" applyFont="1" applyFill="1"/>
    <xf numFmtId="0" fontId="4" fillId="0" borderId="0" xfId="0" applyFont="1" applyBorder="1" applyAlignment="1">
      <alignment horizontal="right"/>
    </xf>
    <xf numFmtId="0" fontId="2" fillId="0" borderId="0" xfId="0" applyFont="1" applyFill="1"/>
    <xf numFmtId="0" fontId="10" fillId="0" borderId="0" xfId="0" applyFont="1" applyFill="1" applyBorder="1"/>
    <xf numFmtId="8" fontId="0" fillId="0" borderId="0" xfId="0" applyNumberFormat="1"/>
    <xf numFmtId="8" fontId="0" fillId="3" borderId="1" xfId="0" applyNumberFormat="1" applyFill="1" applyBorder="1" applyAlignment="1">
      <alignment horizontal="center"/>
    </xf>
    <xf numFmtId="8" fontId="4" fillId="0" borderId="0" xfId="0" applyNumberFormat="1" applyFont="1" applyFill="1" applyBorder="1" applyAlignment="1">
      <alignment horizontal="right"/>
    </xf>
    <xf numFmtId="0" fontId="0" fillId="0" borderId="8" xfId="0" applyBorder="1"/>
    <xf numFmtId="0" fontId="4" fillId="0" borderId="8" xfId="0" applyFont="1" applyBorder="1" applyAlignment="1">
      <alignment horizontal="right"/>
    </xf>
    <xf numFmtId="0" fontId="0" fillId="0" borderId="0" xfId="0" applyFill="1"/>
    <xf numFmtId="43" fontId="0" fillId="0" borderId="0" xfId="1" applyFont="1"/>
    <xf numFmtId="0" fontId="4" fillId="0" borderId="10" xfId="0" applyFont="1" applyBorder="1" applyAlignment="1">
      <alignment horizontal="right"/>
    </xf>
    <xf numFmtId="44" fontId="2" fillId="0" borderId="0" xfId="3" applyFont="1" applyFill="1" applyBorder="1"/>
    <xf numFmtId="44" fontId="2" fillId="0" borderId="0" xfId="0" applyNumberFormat="1" applyFont="1" applyFill="1"/>
    <xf numFmtId="43" fontId="2" fillId="0" borderId="0" xfId="1"/>
    <xf numFmtId="0" fontId="4" fillId="0" borderId="1" xfId="0" applyFont="1" applyBorder="1"/>
    <xf numFmtId="8" fontId="4" fillId="0" borderId="1" xfId="0" applyNumberFormat="1" applyFont="1" applyFill="1" applyBorder="1" applyAlignment="1">
      <alignment horizontal="right"/>
    </xf>
    <xf numFmtId="0" fontId="0" fillId="0" borderId="1" xfId="0" applyBorder="1"/>
    <xf numFmtId="43" fontId="4" fillId="0" borderId="1" xfId="0" applyNumberFormat="1" applyFont="1" applyFill="1" applyBorder="1" applyAlignment="1">
      <alignment horizontal="right"/>
    </xf>
    <xf numFmtId="0" fontId="4" fillId="0" borderId="1" xfId="0" applyFont="1" applyFill="1" applyBorder="1"/>
    <xf numFmtId="0" fontId="0" fillId="0" borderId="22" xfId="0" applyFill="1" applyBorder="1"/>
    <xf numFmtId="0" fontId="0" fillId="0" borderId="0" xfId="0" applyFill="1" applyBorder="1"/>
    <xf numFmtId="0" fontId="13" fillId="0" borderId="8" xfId="0" applyFont="1" applyBorder="1"/>
    <xf numFmtId="0" fontId="5" fillId="4" borderId="1" xfId="0" applyFont="1" applyFill="1" applyBorder="1"/>
    <xf numFmtId="14" fontId="7" fillId="0" borderId="0" xfId="0" applyNumberFormat="1" applyFont="1" applyFill="1" applyBorder="1" applyAlignment="1">
      <alignment horizontal="center"/>
    </xf>
    <xf numFmtId="0" fontId="2" fillId="0" borderId="0" xfId="0" applyNumberFormat="1" applyFont="1" applyFill="1" applyBorder="1" applyAlignment="1">
      <alignment horizontal="center"/>
    </xf>
    <xf numFmtId="0" fontId="2" fillId="0" borderId="0" xfId="0" applyFont="1" applyFill="1" applyBorder="1" applyAlignment="1">
      <alignment horizontal="center"/>
    </xf>
    <xf numFmtId="4" fontId="2" fillId="0" borderId="0" xfId="0" applyNumberFormat="1" applyFont="1" applyFill="1" applyBorder="1"/>
    <xf numFmtId="0" fontId="5" fillId="0" borderId="1" xfId="0" applyFont="1" applyFill="1" applyBorder="1"/>
    <xf numFmtId="0" fontId="4" fillId="0" borderId="1" xfId="0" applyFont="1" applyFill="1" applyBorder="1" applyAlignment="1">
      <alignment horizontal="right"/>
    </xf>
    <xf numFmtId="0" fontId="0" fillId="0" borderId="1" xfId="0" applyFill="1" applyBorder="1"/>
    <xf numFmtId="0" fontId="4" fillId="0" borderId="0" xfId="0" applyFont="1" applyFill="1" applyBorder="1" applyAlignment="1">
      <alignment horizontal="right"/>
    </xf>
    <xf numFmtId="0" fontId="4" fillId="0" borderId="22" xfId="0" applyFont="1" applyFill="1" applyBorder="1"/>
    <xf numFmtId="0" fontId="4" fillId="0" borderId="0" xfId="0" applyFont="1" applyFill="1" applyBorder="1"/>
    <xf numFmtId="0" fontId="4" fillId="0" borderId="8" xfId="0" applyFont="1" applyFill="1" applyBorder="1" applyAlignment="1">
      <alignment horizontal="right"/>
    </xf>
    <xf numFmtId="0" fontId="4" fillId="0" borderId="23" xfId="0" applyFont="1" applyFill="1" applyBorder="1" applyAlignment="1">
      <alignment horizontal="right"/>
    </xf>
    <xf numFmtId="0" fontId="4" fillId="3" borderId="1" xfId="0" applyFont="1" applyFill="1" applyBorder="1"/>
    <xf numFmtId="8" fontId="4" fillId="3" borderId="1" xfId="0" applyNumberFormat="1" applyFont="1" applyFill="1" applyBorder="1" applyAlignment="1"/>
    <xf numFmtId="0" fontId="5" fillId="7" borderId="1" xfId="0" applyFont="1" applyFill="1" applyBorder="1"/>
    <xf numFmtId="0" fontId="5" fillId="8" borderId="1" xfId="0" applyFont="1" applyFill="1" applyBorder="1"/>
    <xf numFmtId="44" fontId="5" fillId="0" borderId="0" xfId="0" applyNumberFormat="1" applyFont="1" applyFill="1"/>
    <xf numFmtId="4" fontId="7" fillId="0" borderId="0" xfId="1" applyNumberFormat="1" applyFont="1" applyFill="1" applyBorder="1"/>
    <xf numFmtId="44" fontId="4" fillId="0" borderId="1" xfId="3" applyFont="1" applyFill="1" applyBorder="1" applyAlignment="1">
      <alignment horizontal="right"/>
    </xf>
    <xf numFmtId="44" fontId="4" fillId="0" borderId="32" xfId="3" applyFont="1" applyFill="1" applyBorder="1" applyAlignment="1">
      <alignment horizontal="right"/>
    </xf>
    <xf numFmtId="44" fontId="4" fillId="0" borderId="33" xfId="3" applyFont="1" applyFill="1" applyBorder="1" applyAlignment="1">
      <alignment horizontal="right"/>
    </xf>
    <xf numFmtId="44" fontId="0" fillId="0" borderId="0" xfId="3" applyFont="1"/>
    <xf numFmtId="14" fontId="2" fillId="0" borderId="0" xfId="0" applyNumberFormat="1" applyFont="1" applyFill="1"/>
    <xf numFmtId="44" fontId="7" fillId="0" borderId="0" xfId="0" applyNumberFormat="1" applyFont="1" applyFill="1" applyAlignment="1">
      <alignment vertical="top" wrapText="1"/>
    </xf>
    <xf numFmtId="44" fontId="0" fillId="3" borderId="1" xfId="3" applyFont="1" applyFill="1" applyBorder="1" applyAlignment="1">
      <alignment horizontal="center"/>
    </xf>
    <xf numFmtId="44" fontId="6" fillId="0" borderId="0" xfId="3" applyFont="1" applyFill="1" applyBorder="1" applyAlignment="1">
      <alignment horizontal="center"/>
    </xf>
    <xf numFmtId="44" fontId="4" fillId="0" borderId="0" xfId="3" applyFont="1" applyFill="1" applyBorder="1" applyAlignment="1">
      <alignment horizontal="right"/>
    </xf>
    <xf numFmtId="44" fontId="0" fillId="3" borderId="28" xfId="3" applyFont="1" applyFill="1" applyBorder="1" applyAlignment="1">
      <alignment horizontal="center"/>
    </xf>
    <xf numFmtId="44" fontId="7" fillId="3" borderId="1" xfId="3" applyFont="1" applyFill="1" applyBorder="1" applyAlignment="1">
      <alignment horizontal="center"/>
    </xf>
    <xf numFmtId="44" fontId="4" fillId="0" borderId="32" xfId="3" applyFont="1" applyFill="1" applyBorder="1" applyAlignment="1"/>
    <xf numFmtId="44" fontId="4" fillId="0" borderId="0" xfId="3" applyFont="1" applyFill="1" applyBorder="1" applyAlignment="1"/>
    <xf numFmtId="44" fontId="0" fillId="0" borderId="0" xfId="3" applyFont="1" applyFill="1"/>
    <xf numFmtId="44" fontId="4" fillId="3" borderId="1" xfId="3" applyFont="1" applyFill="1" applyBorder="1" applyAlignment="1"/>
    <xf numFmtId="44" fontId="4" fillId="0" borderId="1" xfId="3" applyFont="1" applyFill="1" applyBorder="1" applyAlignment="1"/>
    <xf numFmtId="44" fontId="0" fillId="0" borderId="0" xfId="3" applyFont="1" applyBorder="1"/>
    <xf numFmtId="44" fontId="4" fillId="0" borderId="2" xfId="3" applyFont="1" applyFill="1" applyBorder="1" applyAlignment="1">
      <alignment horizontal="right"/>
    </xf>
    <xf numFmtId="44" fontId="4" fillId="0" borderId="33" xfId="3" applyFont="1" applyFill="1" applyBorder="1" applyAlignment="1"/>
    <xf numFmtId="44" fontId="4" fillId="3" borderId="9" xfId="3" applyFont="1" applyFill="1" applyBorder="1" applyAlignment="1"/>
    <xf numFmtId="44" fontId="4" fillId="3" borderId="0" xfId="3" applyFont="1" applyFill="1" applyBorder="1" applyAlignment="1"/>
    <xf numFmtId="44" fontId="0" fillId="0" borderId="1" xfId="3" applyFont="1" applyBorder="1"/>
    <xf numFmtId="44" fontId="4" fillId="0" borderId="1" xfId="3" applyFont="1" applyBorder="1" applyAlignment="1">
      <alignment horizontal="right"/>
    </xf>
    <xf numFmtId="44" fontId="4" fillId="0" borderId="1" xfId="3" applyFont="1" applyBorder="1" applyAlignment="1">
      <alignment horizontal="center"/>
    </xf>
    <xf numFmtId="44" fontId="4" fillId="0" borderId="0" xfId="3" applyFont="1" applyBorder="1" applyAlignment="1">
      <alignment horizontal="center"/>
    </xf>
    <xf numFmtId="44" fontId="4" fillId="0" borderId="1" xfId="3" applyFont="1" applyBorder="1" applyAlignment="1"/>
    <xf numFmtId="44" fontId="4" fillId="0" borderId="0" xfId="3" applyFont="1"/>
    <xf numFmtId="44" fontId="4" fillId="0" borderId="1" xfId="3" applyFont="1" applyFill="1" applyBorder="1" applyAlignment="1">
      <alignment horizontal="center"/>
    </xf>
    <xf numFmtId="44" fontId="4" fillId="0" borderId="3" xfId="3" applyFont="1" applyFill="1" applyBorder="1" applyAlignment="1">
      <alignment horizontal="center"/>
    </xf>
    <xf numFmtId="44" fontId="4" fillId="0" borderId="0" xfId="3" applyFont="1" applyFill="1" applyBorder="1" applyAlignment="1">
      <alignment horizontal="center"/>
    </xf>
    <xf numFmtId="44" fontId="6" fillId="0" borderId="22" xfId="3" applyFont="1" applyFill="1" applyBorder="1" applyAlignment="1">
      <alignment horizontal="center"/>
    </xf>
    <xf numFmtId="44" fontId="6" fillId="0" borderId="0" xfId="3" applyFont="1" applyAlignment="1">
      <alignment horizontal="center"/>
    </xf>
    <xf numFmtId="44" fontId="4" fillId="0" borderId="34" xfId="3" applyFont="1" applyBorder="1" applyAlignment="1">
      <alignment horizontal="right"/>
    </xf>
    <xf numFmtId="44" fontId="4" fillId="0" borderId="33" xfId="3" applyFont="1" applyBorder="1" applyAlignment="1">
      <alignment horizontal="right"/>
    </xf>
    <xf numFmtId="44" fontId="4" fillId="0" borderId="34" xfId="3" applyFont="1" applyFill="1" applyBorder="1" applyAlignment="1"/>
    <xf numFmtId="44" fontId="4" fillId="0" borderId="34" xfId="3" applyFont="1" applyFill="1" applyBorder="1" applyAlignment="1">
      <alignment horizontal="right"/>
    </xf>
    <xf numFmtId="44" fontId="4" fillId="0" borderId="1" xfId="3" applyFont="1" applyBorder="1"/>
    <xf numFmtId="44" fontId="4" fillId="0" borderId="8" xfId="3" applyFont="1" applyFill="1" applyBorder="1" applyAlignment="1">
      <alignment horizontal="right"/>
    </xf>
    <xf numFmtId="44" fontId="4" fillId="0" borderId="35" xfId="3" applyFont="1" applyFill="1" applyBorder="1" applyAlignment="1">
      <alignment horizontal="right"/>
    </xf>
    <xf numFmtId="44" fontId="4" fillId="0" borderId="36" xfId="3" applyFont="1" applyFill="1" applyBorder="1" applyAlignment="1">
      <alignment horizontal="right"/>
    </xf>
    <xf numFmtId="44" fontId="4" fillId="0" borderId="22" xfId="3" applyFont="1" applyFill="1" applyBorder="1" applyAlignment="1">
      <alignment horizontal="right"/>
    </xf>
    <xf numFmtId="44" fontId="0" fillId="3" borderId="10" xfId="3" applyFont="1" applyFill="1" applyBorder="1" applyAlignment="1">
      <alignment horizontal="center"/>
    </xf>
    <xf numFmtId="44" fontId="4" fillId="0" borderId="12" xfId="3" applyFont="1" applyFill="1" applyBorder="1" applyAlignment="1">
      <alignment horizontal="right"/>
    </xf>
    <xf numFmtId="44" fontId="4" fillId="0" borderId="13" xfId="3" applyFont="1" applyFill="1" applyBorder="1" applyAlignment="1">
      <alignment horizontal="right"/>
    </xf>
    <xf numFmtId="44" fontId="4" fillId="0" borderId="21" xfId="3" applyFont="1" applyFill="1" applyBorder="1" applyAlignment="1">
      <alignment horizontal="right"/>
    </xf>
    <xf numFmtId="44" fontId="4" fillId="0" borderId="14" xfId="3" applyFont="1" applyBorder="1" applyAlignment="1">
      <alignment horizontal="right"/>
    </xf>
    <xf numFmtId="44" fontId="4" fillId="0" borderId="15" xfId="3" applyFont="1" applyBorder="1" applyAlignment="1">
      <alignment horizontal="right"/>
    </xf>
    <xf numFmtId="44" fontId="4" fillId="0" borderId="16" xfId="3" applyFont="1" applyBorder="1" applyAlignment="1">
      <alignment horizontal="right"/>
    </xf>
    <xf numFmtId="44" fontId="4" fillId="0" borderId="14" xfId="3" applyFont="1" applyFill="1" applyBorder="1" applyAlignment="1">
      <alignment horizontal="right"/>
    </xf>
    <xf numFmtId="44" fontId="4" fillId="0" borderId="15" xfId="3" applyFont="1" applyFill="1" applyBorder="1" applyAlignment="1">
      <alignment horizontal="right"/>
    </xf>
    <xf numFmtId="44" fontId="4" fillId="0" borderId="16" xfId="3" applyFont="1" applyFill="1" applyBorder="1" applyAlignment="1">
      <alignment horizontal="right"/>
    </xf>
    <xf numFmtId="44" fontId="4" fillId="0" borderId="17" xfId="3" applyFont="1" applyFill="1" applyBorder="1" applyAlignment="1">
      <alignment horizontal="right"/>
    </xf>
    <xf numFmtId="44" fontId="4" fillId="0" borderId="18" xfId="3" applyFont="1" applyFill="1" applyBorder="1" applyAlignment="1">
      <alignment horizontal="right"/>
    </xf>
    <xf numFmtId="44" fontId="4" fillId="0" borderId="19" xfId="3" applyFont="1" applyFill="1" applyBorder="1" applyAlignment="1">
      <alignment horizontal="right"/>
    </xf>
    <xf numFmtId="44" fontId="4" fillId="0" borderId="37" xfId="3" applyFont="1" applyFill="1" applyBorder="1" applyAlignment="1">
      <alignment horizontal="right"/>
    </xf>
    <xf numFmtId="44" fontId="4" fillId="0" borderId="38" xfId="3" applyFont="1" applyFill="1" applyBorder="1" applyAlignment="1">
      <alignment horizontal="right"/>
    </xf>
    <xf numFmtId="44" fontId="4" fillId="0" borderId="39" xfId="3" applyFont="1" applyFill="1" applyBorder="1" applyAlignment="1">
      <alignment horizontal="right"/>
    </xf>
    <xf numFmtId="44" fontId="4" fillId="0" borderId="28" xfId="3" applyFont="1" applyFill="1" applyBorder="1" applyAlignment="1">
      <alignment horizontal="right"/>
    </xf>
    <xf numFmtId="44" fontId="4" fillId="0" borderId="40" xfId="3" applyFont="1" applyFill="1" applyBorder="1" applyAlignment="1">
      <alignment horizontal="right"/>
    </xf>
    <xf numFmtId="0" fontId="13" fillId="0" borderId="0" xfId="0" applyFont="1" applyBorder="1"/>
    <xf numFmtId="0" fontId="0" fillId="0" borderId="0" xfId="0" applyBorder="1"/>
    <xf numFmtId="44" fontId="7" fillId="3" borderId="28" xfId="3" applyFont="1" applyFill="1" applyBorder="1" applyAlignment="1">
      <alignment horizontal="center"/>
    </xf>
    <xf numFmtId="0" fontId="2" fillId="0" borderId="24" xfId="0" applyNumberFormat="1" applyFont="1" applyFill="1" applyBorder="1" applyAlignment="1">
      <alignment horizontal="center"/>
    </xf>
    <xf numFmtId="0" fontId="2" fillId="0" borderId="24" xfId="0" applyFont="1" applyFill="1" applyBorder="1" applyAlignment="1">
      <alignment horizontal="center"/>
    </xf>
    <xf numFmtId="4" fontId="2" fillId="0" borderId="24" xfId="0" applyNumberFormat="1" applyFont="1" applyFill="1" applyBorder="1"/>
    <xf numFmtId="4" fontId="2" fillId="0" borderId="31" xfId="0" applyNumberFormat="1" applyFont="1" applyFill="1" applyBorder="1"/>
    <xf numFmtId="44" fontId="0" fillId="0" borderId="0" xfId="0" applyNumberFormat="1"/>
    <xf numFmtId="44" fontId="7" fillId="0" borderId="0" xfId="0" applyNumberFormat="1" applyFont="1" applyFill="1" applyBorder="1" applyAlignment="1">
      <alignment horizontal="center" wrapText="1"/>
    </xf>
    <xf numFmtId="0" fontId="2" fillId="0" borderId="0" xfId="0" applyFont="1" applyFill="1" applyAlignment="1">
      <alignment horizontal="center"/>
    </xf>
    <xf numFmtId="44" fontId="2" fillId="0" borderId="25" xfId="0" applyNumberFormat="1" applyFont="1" applyFill="1" applyBorder="1" applyAlignment="1">
      <alignment horizontal="center" wrapText="1"/>
    </xf>
    <xf numFmtId="0" fontId="2" fillId="0" borderId="45" xfId="0" applyFont="1" applyFill="1" applyBorder="1" applyAlignment="1">
      <alignment horizontal="center"/>
    </xf>
    <xf numFmtId="44" fontId="2" fillId="0" borderId="47" xfId="3" applyFont="1" applyFill="1" applyBorder="1" applyAlignment="1">
      <alignment horizontal="center" wrapText="1"/>
    </xf>
    <xf numFmtId="44" fontId="2" fillId="0" borderId="11" xfId="3" applyFont="1" applyBorder="1" applyAlignment="1">
      <alignment vertical="center" wrapText="1"/>
    </xf>
    <xf numFmtId="44" fontId="2" fillId="0" borderId="8" xfId="3" applyFont="1" applyBorder="1" applyAlignment="1">
      <alignment vertical="center" wrapText="1"/>
    </xf>
    <xf numFmtId="44" fontId="2" fillId="0" borderId="9" xfId="3" applyFont="1" applyBorder="1" applyAlignment="1">
      <alignment vertical="center" wrapText="1"/>
    </xf>
    <xf numFmtId="44" fontId="2" fillId="0" borderId="0" xfId="3" applyFont="1" applyBorder="1" applyAlignment="1">
      <alignment vertical="center" wrapText="1"/>
    </xf>
    <xf numFmtId="44" fontId="9" fillId="5" borderId="1" xfId="3" applyFont="1" applyFill="1" applyBorder="1" applyAlignment="1"/>
    <xf numFmtId="44" fontId="17" fillId="5" borderId="32" xfId="3" applyFont="1" applyFill="1" applyBorder="1" applyAlignment="1"/>
    <xf numFmtId="14" fontId="2" fillId="0" borderId="0" xfId="0" applyNumberFormat="1" applyFont="1" applyFill="1" applyAlignment="1">
      <alignment horizontal="center"/>
    </xf>
    <xf numFmtId="0" fontId="5" fillId="0" borderId="0" xfId="0" applyFont="1" applyFill="1" applyAlignment="1">
      <alignment horizontal="right"/>
    </xf>
    <xf numFmtId="0" fontId="5" fillId="0" borderId="0" xfId="0" applyFont="1" applyFill="1" applyAlignment="1">
      <alignment horizontal="center"/>
    </xf>
    <xf numFmtId="0" fontId="5" fillId="0" borderId="0" xfId="0" applyFont="1" applyFill="1" applyAlignment="1">
      <alignment horizontal="right"/>
    </xf>
    <xf numFmtId="0" fontId="5" fillId="0" borderId="0" xfId="0" applyFont="1" applyFill="1" applyAlignment="1">
      <alignment horizontal="center"/>
    </xf>
    <xf numFmtId="0" fontId="2" fillId="0" borderId="1" xfId="0" applyFont="1" applyFill="1" applyBorder="1" applyAlignment="1">
      <alignment horizontal="center" wrapText="1"/>
    </xf>
    <xf numFmtId="14" fontId="2" fillId="0" borderId="1" xfId="0" applyNumberFormat="1" applyFont="1" applyFill="1" applyBorder="1" applyAlignment="1">
      <alignment horizontal="center" wrapText="1"/>
    </xf>
    <xf numFmtId="14" fontId="2" fillId="0" borderId="24" xfId="0" applyNumberFormat="1" applyFont="1" applyFill="1" applyBorder="1" applyAlignment="1">
      <alignment horizontal="center"/>
    </xf>
    <xf numFmtId="44" fontId="2" fillId="0" borderId="24" xfId="0" applyNumberFormat="1" applyFont="1" applyFill="1" applyBorder="1" applyAlignment="1">
      <alignment horizontal="center" wrapText="1"/>
    </xf>
    <xf numFmtId="4" fontId="2" fillId="0" borderId="24" xfId="1" applyNumberFormat="1" applyFont="1" applyFill="1" applyBorder="1"/>
    <xf numFmtId="44" fontId="2" fillId="0" borderId="1" xfId="0" applyNumberFormat="1" applyFont="1" applyFill="1" applyBorder="1" applyAlignment="1">
      <alignment horizontal="center" wrapText="1"/>
    </xf>
    <xf numFmtId="44" fontId="2" fillId="0" borderId="1" xfId="3" applyFont="1" applyFill="1" applyBorder="1" applyAlignment="1">
      <alignment horizontal="center" wrapText="1"/>
    </xf>
    <xf numFmtId="44" fontId="20" fillId="0" borderId="0" xfId="3" applyFont="1" applyFill="1" applyBorder="1" applyAlignment="1">
      <alignment horizontal="center"/>
    </xf>
    <xf numFmtId="0" fontId="21" fillId="0" borderId="0" xfId="0" applyFont="1" applyFill="1" applyBorder="1"/>
    <xf numFmtId="0" fontId="21" fillId="0" borderId="0" xfId="0" applyFont="1" applyBorder="1" applyAlignment="1">
      <alignment horizontal="right"/>
    </xf>
    <xf numFmtId="44" fontId="21" fillId="0" borderId="0" xfId="3" applyFont="1" applyFill="1" applyBorder="1" applyAlignment="1">
      <alignment horizontal="right"/>
    </xf>
    <xf numFmtId="0" fontId="21" fillId="0" borderId="0" xfId="0" applyFont="1" applyBorder="1"/>
    <xf numFmtId="44" fontId="21" fillId="0" borderId="0" xfId="3" applyFont="1" applyBorder="1"/>
    <xf numFmtId="0" fontId="20" fillId="0" borderId="0" xfId="0" applyFont="1" applyFill="1" applyBorder="1"/>
    <xf numFmtId="0" fontId="2" fillId="0" borderId="41" xfId="0" applyFont="1" applyFill="1" applyBorder="1" applyAlignment="1">
      <alignment horizontal="center" wrapText="1"/>
    </xf>
    <xf numFmtId="0" fontId="2" fillId="0" borderId="46" xfId="0" applyFont="1" applyFill="1" applyBorder="1" applyAlignment="1">
      <alignment horizontal="center" wrapText="1"/>
    </xf>
    <xf numFmtId="14" fontId="2" fillId="0" borderId="20" xfId="0" applyNumberFormat="1" applyFont="1" applyFill="1" applyBorder="1" applyAlignment="1">
      <alignment horizontal="center" wrapText="1"/>
    </xf>
    <xf numFmtId="0" fontId="2" fillId="0" borderId="20" xfId="0" applyFont="1" applyFill="1" applyBorder="1" applyAlignment="1">
      <alignment horizontal="center" wrapText="1"/>
    </xf>
    <xf numFmtId="165" fontId="2" fillId="0" borderId="20" xfId="6" applyNumberFormat="1" applyFont="1" applyFill="1" applyBorder="1" applyAlignment="1">
      <alignment horizontal="center" wrapText="1"/>
    </xf>
    <xf numFmtId="44" fontId="2" fillId="0" borderId="20" xfId="3" applyFont="1" applyFill="1" applyBorder="1" applyAlignment="1">
      <alignment horizontal="center" wrapText="1"/>
    </xf>
    <xf numFmtId="44" fontId="2" fillId="0" borderId="20" xfId="0" applyNumberFormat="1" applyFont="1" applyFill="1" applyBorder="1" applyAlignment="1">
      <alignment horizontal="center" wrapText="1"/>
    </xf>
    <xf numFmtId="0" fontId="5" fillId="11" borderId="43" xfId="0" applyFont="1" applyFill="1" applyBorder="1" applyAlignment="1">
      <alignment horizontal="center" wrapText="1"/>
    </xf>
    <xf numFmtId="0" fontId="5" fillId="11" borderId="26" xfId="0" applyFont="1" applyFill="1" applyBorder="1" applyAlignment="1">
      <alignment horizontal="center" wrapText="1"/>
    </xf>
    <xf numFmtId="0" fontId="5" fillId="11" borderId="44" xfId="0" applyFont="1" applyFill="1" applyBorder="1" applyAlignment="1">
      <alignment horizontal="center" wrapText="1"/>
    </xf>
    <xf numFmtId="164" fontId="2" fillId="0" borderId="20" xfId="0" applyNumberFormat="1" applyFont="1" applyFill="1" applyBorder="1" applyAlignment="1">
      <alignment horizontal="center" wrapText="1"/>
    </xf>
    <xf numFmtId="164" fontId="2" fillId="0" borderId="1" xfId="0" applyNumberFormat="1" applyFont="1" applyFill="1" applyBorder="1" applyAlignment="1">
      <alignment horizontal="center" wrapText="1"/>
    </xf>
    <xf numFmtId="164" fontId="2" fillId="0" borderId="24" xfId="0" applyNumberFormat="1" applyFont="1" applyFill="1" applyBorder="1" applyAlignment="1">
      <alignment horizontal="center"/>
    </xf>
    <xf numFmtId="0" fontId="2" fillId="0" borderId="42" xfId="0" applyFont="1" applyFill="1" applyBorder="1" applyAlignment="1">
      <alignment horizontal="center" wrapText="1"/>
    </xf>
    <xf numFmtId="0" fontId="20" fillId="0" borderId="0" xfId="0" applyFont="1" applyFill="1" applyBorder="1" applyAlignment="1"/>
    <xf numFmtId="0" fontId="20" fillId="0" borderId="0" xfId="0" applyFont="1" applyBorder="1" applyAlignment="1"/>
    <xf numFmtId="0" fontId="19" fillId="0" borderId="0" xfId="0" applyFont="1"/>
    <xf numFmtId="0" fontId="18" fillId="0" borderId="0" xfId="0" applyFont="1"/>
    <xf numFmtId="0" fontId="19" fillId="0" borderId="0" xfId="0" applyFont="1" applyAlignment="1">
      <alignment horizontal="center"/>
    </xf>
    <xf numFmtId="0" fontId="18" fillId="0" borderId="0" xfId="0" applyFont="1" applyAlignment="1">
      <alignment horizontal="center"/>
    </xf>
    <xf numFmtId="164" fontId="18" fillId="0" borderId="0" xfId="0" applyNumberFormat="1" applyFont="1" applyAlignment="1">
      <alignment horizontal="center"/>
    </xf>
    <xf numFmtId="165" fontId="18" fillId="0" borderId="0" xfId="6" applyNumberFormat="1" applyFont="1" applyAlignment="1">
      <alignment horizontal="center"/>
    </xf>
    <xf numFmtId="0" fontId="19" fillId="0" borderId="0" xfId="0" applyFont="1" applyAlignment="1">
      <alignment horizontal="center" vertical="center"/>
    </xf>
    <xf numFmtId="0" fontId="20" fillId="6" borderId="0" xfId="0" applyFont="1" applyFill="1" applyBorder="1"/>
    <xf numFmtId="14" fontId="20" fillId="6" borderId="0" xfId="3" applyNumberFormat="1" applyFont="1" applyFill="1" applyBorder="1" applyAlignment="1">
      <alignment horizontal="center"/>
    </xf>
    <xf numFmtId="44" fontId="20" fillId="6" borderId="0" xfId="3" applyFont="1" applyFill="1" applyBorder="1" applyAlignment="1">
      <alignment horizontal="center"/>
    </xf>
    <xf numFmtId="44" fontId="20" fillId="0" borderId="0" xfId="3" applyFont="1" applyFill="1" applyBorder="1" applyAlignment="1"/>
    <xf numFmtId="0" fontId="21" fillId="0" borderId="0" xfId="0" applyFont="1" applyFill="1" applyBorder="1" applyAlignment="1">
      <alignment horizontal="right"/>
    </xf>
    <xf numFmtId="14" fontId="20" fillId="0" borderId="0" xfId="3" applyNumberFormat="1" applyFont="1" applyFill="1" applyBorder="1" applyAlignment="1">
      <alignment horizontal="center"/>
    </xf>
    <xf numFmtId="0" fontId="5" fillId="12" borderId="27" xfId="0" applyFont="1" applyFill="1" applyBorder="1" applyAlignment="1">
      <alignment horizontal="center"/>
    </xf>
    <xf numFmtId="0" fontId="5" fillId="0" borderId="0" xfId="0" applyFont="1" applyFill="1" applyAlignment="1">
      <alignment horizontal="right"/>
    </xf>
    <xf numFmtId="0" fontId="5" fillId="0" borderId="0" xfId="0" applyFont="1" applyFill="1" applyAlignment="1">
      <alignment horizontal="center"/>
    </xf>
    <xf numFmtId="164" fontId="2" fillId="0" borderId="0" xfId="0" applyNumberFormat="1" applyFont="1" applyFill="1" applyAlignment="1">
      <alignment horizontal="center"/>
    </xf>
    <xf numFmtId="0" fontId="20" fillId="0" borderId="0" xfId="0" applyFont="1" applyFill="1" applyBorder="1" applyAlignment="1">
      <alignment horizontal="left" indent="1"/>
    </xf>
    <xf numFmtId="0" fontId="5" fillId="12" borderId="29" xfId="0" applyFont="1" applyFill="1" applyBorder="1" applyAlignment="1"/>
    <xf numFmtId="0" fontId="5" fillId="12" borderId="27" xfId="0" applyFont="1" applyFill="1" applyBorder="1" applyAlignment="1"/>
    <xf numFmtId="0" fontId="5" fillId="12" borderId="30" xfId="0" applyFont="1" applyFill="1" applyBorder="1" applyAlignment="1"/>
    <xf numFmtId="0" fontId="5" fillId="11" borderId="48" xfId="0" applyFont="1" applyFill="1" applyBorder="1" applyAlignment="1">
      <alignment horizontal="center" wrapText="1"/>
    </xf>
    <xf numFmtId="14" fontId="2" fillId="0" borderId="41" xfId="0" applyNumberFormat="1" applyFont="1" applyFill="1" applyBorder="1" applyAlignment="1">
      <alignment horizontal="center" wrapText="1"/>
    </xf>
    <xf numFmtId="14" fontId="2" fillId="0" borderId="45" xfId="0" applyNumberFormat="1" applyFont="1" applyFill="1" applyBorder="1" applyAlignment="1">
      <alignment horizontal="center"/>
    </xf>
    <xf numFmtId="0" fontId="0" fillId="0" borderId="0" xfId="0" quotePrefix="1" applyFont="1" applyFill="1" applyAlignment="1">
      <alignment vertical="top" wrapText="1"/>
    </xf>
    <xf numFmtId="0" fontId="2" fillId="0" borderId="0" xfId="0" quotePrefix="1" applyFont="1" applyFill="1" applyAlignment="1">
      <alignment vertical="top" wrapText="1"/>
    </xf>
    <xf numFmtId="44" fontId="22" fillId="0" borderId="0" xfId="3" applyFont="1" applyBorder="1"/>
    <xf numFmtId="0" fontId="20" fillId="0" borderId="0" xfId="0" applyFont="1" applyBorder="1"/>
    <xf numFmtId="44" fontId="20" fillId="0" borderId="0" xfId="3" applyFont="1" applyFill="1" applyBorder="1" applyAlignment="1">
      <alignment horizontal="right"/>
    </xf>
    <xf numFmtId="44" fontId="20" fillId="0" borderId="0" xfId="3" applyFont="1" applyBorder="1"/>
    <xf numFmtId="0" fontId="20" fillId="9" borderId="0" xfId="0" applyFont="1" applyFill="1" applyBorder="1"/>
    <xf numFmtId="14" fontId="20" fillId="9" borderId="0" xfId="3" applyNumberFormat="1" applyFont="1" applyFill="1" applyBorder="1" applyAlignment="1">
      <alignment horizontal="center"/>
    </xf>
    <xf numFmtId="44" fontId="20" fillId="9" borderId="0" xfId="3" applyFont="1" applyFill="1" applyBorder="1" applyAlignment="1">
      <alignment horizontal="center"/>
    </xf>
    <xf numFmtId="44" fontId="2" fillId="0" borderId="0" xfId="3" applyFont="1" applyFill="1" applyAlignment="1">
      <alignment horizontal="center"/>
    </xf>
    <xf numFmtId="0" fontId="2" fillId="0" borderId="0" xfId="0" applyFont="1" applyFill="1" applyAlignment="1">
      <alignment wrapText="1"/>
    </xf>
    <xf numFmtId="0" fontId="2" fillId="0" borderId="0" xfId="0" applyFont="1" applyFill="1" applyAlignment="1"/>
    <xf numFmtId="44" fontId="21" fillId="0" borderId="0" xfId="0" applyNumberFormat="1" applyFont="1" applyBorder="1"/>
    <xf numFmtId="0" fontId="5" fillId="0" borderId="0" xfId="8" applyFont="1" applyFill="1" applyAlignment="1">
      <alignment horizontal="center"/>
    </xf>
    <xf numFmtId="0" fontId="5" fillId="0" borderId="0" xfId="8" applyFont="1" applyFill="1" applyAlignment="1">
      <alignment horizontal="center" wrapText="1"/>
    </xf>
    <xf numFmtId="0" fontId="2" fillId="0" borderId="0" xfId="8" applyFont="1" applyFill="1"/>
    <xf numFmtId="0" fontId="2" fillId="0" borderId="0" xfId="8" applyFont="1" applyFill="1" applyAlignment="1">
      <alignment horizontal="center"/>
    </xf>
    <xf numFmtId="164" fontId="2" fillId="0" borderId="0" xfId="8" applyNumberFormat="1" applyFont="1" applyFill="1" applyAlignment="1">
      <alignment horizontal="center" wrapText="1"/>
    </xf>
    <xf numFmtId="14" fontId="2" fillId="0" borderId="0" xfId="8" applyNumberFormat="1" applyFont="1" applyFill="1" applyAlignment="1">
      <alignment horizontal="center"/>
    </xf>
    <xf numFmtId="44" fontId="2" fillId="0" borderId="0" xfId="8" applyNumberFormat="1" applyFont="1" applyFill="1" applyAlignment="1">
      <alignment vertical="top" wrapText="1"/>
    </xf>
    <xf numFmtId="44" fontId="5" fillId="0" borderId="0" xfId="8" applyNumberFormat="1" applyFont="1" applyFill="1"/>
    <xf numFmtId="44" fontId="2" fillId="0" borderId="0" xfId="8" applyNumberFormat="1" applyFont="1" applyFill="1"/>
    <xf numFmtId="0" fontId="5" fillId="0" borderId="0" xfId="8" applyFont="1" applyFill="1" applyAlignment="1">
      <alignment horizontal="right"/>
    </xf>
    <xf numFmtId="164" fontId="2" fillId="0" borderId="0" xfId="8" applyNumberFormat="1" applyFont="1" applyFill="1" applyAlignment="1">
      <alignment horizontal="center"/>
    </xf>
    <xf numFmtId="14" fontId="5" fillId="0" borderId="0" xfId="8" applyNumberFormat="1" applyFont="1" applyFill="1"/>
    <xf numFmtId="0" fontId="5" fillId="11" borderId="43" xfId="8" applyFont="1" applyFill="1" applyBorder="1" applyAlignment="1">
      <alignment horizontal="center" wrapText="1"/>
    </xf>
    <xf numFmtId="0" fontId="5" fillId="11" borderId="26" xfId="8" applyFont="1" applyFill="1" applyBorder="1" applyAlignment="1">
      <alignment horizontal="center" wrapText="1"/>
    </xf>
    <xf numFmtId="0" fontId="5" fillId="11" borderId="44" xfId="8" applyFont="1" applyFill="1" applyBorder="1" applyAlignment="1">
      <alignment horizontal="center" wrapText="1"/>
    </xf>
    <xf numFmtId="0" fontId="2" fillId="0" borderId="41" xfId="8" applyFont="1" applyFill="1" applyBorder="1" applyAlignment="1">
      <alignment horizontal="center" wrapText="1"/>
    </xf>
    <xf numFmtId="164" fontId="2" fillId="0" borderId="1" xfId="8" applyNumberFormat="1" applyFont="1" applyFill="1" applyBorder="1" applyAlignment="1">
      <alignment horizontal="center" wrapText="1"/>
    </xf>
    <xf numFmtId="0" fontId="2" fillId="0" borderId="1" xfId="8" applyFont="1" applyFill="1" applyBorder="1" applyAlignment="1">
      <alignment horizontal="center" wrapText="1"/>
    </xf>
    <xf numFmtId="44" fontId="2" fillId="0" borderId="1" xfId="8" applyNumberFormat="1" applyFont="1" applyFill="1" applyBorder="1" applyAlignment="1">
      <alignment horizontal="center" wrapText="1"/>
    </xf>
    <xf numFmtId="0" fontId="2" fillId="0" borderId="42" xfId="8" applyFont="1" applyFill="1" applyBorder="1" applyAlignment="1">
      <alignment horizontal="center" wrapText="1"/>
    </xf>
    <xf numFmtId="0" fontId="2" fillId="0" borderId="45" xfId="8" applyFont="1" applyFill="1" applyBorder="1" applyAlignment="1">
      <alignment horizontal="center"/>
    </xf>
    <xf numFmtId="14" fontId="2" fillId="0" borderId="24" xfId="8" applyNumberFormat="1" applyFont="1" applyFill="1" applyBorder="1" applyAlignment="1">
      <alignment horizontal="center"/>
    </xf>
    <xf numFmtId="0" fontId="2" fillId="0" borderId="24" xfId="8" applyNumberFormat="1" applyFont="1" applyFill="1" applyBorder="1" applyAlignment="1">
      <alignment horizontal="center"/>
    </xf>
    <xf numFmtId="0" fontId="2" fillId="0" borderId="24" xfId="8" applyFont="1" applyFill="1" applyBorder="1" applyAlignment="1">
      <alignment horizontal="center"/>
    </xf>
    <xf numFmtId="44" fontId="2" fillId="0" borderId="24" xfId="8" applyNumberFormat="1" applyFont="1" applyFill="1" applyBorder="1" applyAlignment="1">
      <alignment horizontal="center" wrapText="1"/>
    </xf>
    <xf numFmtId="4" fontId="2" fillId="0" borderId="24" xfId="8" applyNumberFormat="1" applyFont="1" applyFill="1" applyBorder="1"/>
    <xf numFmtId="44" fontId="2" fillId="0" borderId="25" xfId="8" applyNumberFormat="1" applyFont="1" applyFill="1" applyBorder="1" applyAlignment="1">
      <alignment horizontal="center" wrapText="1"/>
    </xf>
    <xf numFmtId="0" fontId="2" fillId="0" borderId="0" xfId="8" applyFont="1" applyFill="1" applyBorder="1" applyAlignment="1">
      <alignment horizontal="center"/>
    </xf>
    <xf numFmtId="14" fontId="2" fillId="0" borderId="0" xfId="8" applyNumberFormat="1" applyFont="1" applyFill="1" applyBorder="1" applyAlignment="1">
      <alignment horizontal="center"/>
    </xf>
    <xf numFmtId="0" fontId="2" fillId="0" borderId="0" xfId="8" applyNumberFormat="1" applyFont="1" applyFill="1" applyBorder="1" applyAlignment="1">
      <alignment horizontal="center"/>
    </xf>
    <xf numFmtId="44" fontId="2" fillId="0" borderId="0" xfId="8" applyNumberFormat="1" applyFont="1" applyFill="1" applyBorder="1" applyAlignment="1">
      <alignment horizontal="center" wrapText="1"/>
    </xf>
    <xf numFmtId="4" fontId="2" fillId="0" borderId="0" xfId="1" applyNumberFormat="1" applyFont="1" applyFill="1" applyBorder="1"/>
    <xf numFmtId="4" fontId="2" fillId="0" borderId="0" xfId="8" applyNumberFormat="1" applyFont="1" applyFill="1" applyBorder="1"/>
    <xf numFmtId="0" fontId="2" fillId="0" borderId="46" xfId="8" applyFont="1" applyFill="1" applyBorder="1" applyAlignment="1">
      <alignment horizontal="center" wrapText="1"/>
    </xf>
    <xf numFmtId="164" fontId="2" fillId="0" borderId="20" xfId="8" applyNumberFormat="1" applyFont="1" applyFill="1" applyBorder="1" applyAlignment="1">
      <alignment horizontal="center" wrapText="1"/>
    </xf>
    <xf numFmtId="0" fontId="2" fillId="0" borderId="20" xfId="8" applyFont="1" applyFill="1" applyBorder="1" applyAlignment="1">
      <alignment horizontal="center" wrapText="1"/>
    </xf>
    <xf numFmtId="44" fontId="2" fillId="0" borderId="20" xfId="8" applyNumberFormat="1" applyFont="1" applyFill="1" applyBorder="1" applyAlignment="1">
      <alignment horizontal="center" wrapText="1"/>
    </xf>
    <xf numFmtId="164" fontId="2" fillId="0" borderId="24" xfId="8" applyNumberFormat="1" applyFont="1" applyFill="1" applyBorder="1" applyAlignment="1">
      <alignment horizontal="center"/>
    </xf>
    <xf numFmtId="0" fontId="5" fillId="0" borderId="0" xfId="0" applyFont="1" applyFill="1" applyAlignment="1">
      <alignment horizontal="left"/>
    </xf>
    <xf numFmtId="0" fontId="21" fillId="10" borderId="0" xfId="0" applyFont="1" applyFill="1" applyBorder="1" applyAlignment="1">
      <alignment horizontal="right" wrapText="1"/>
    </xf>
    <xf numFmtId="14" fontId="20" fillId="10" borderId="0" xfId="3" applyNumberFormat="1" applyFont="1" applyFill="1" applyBorder="1" applyAlignment="1">
      <alignment horizontal="center" wrapText="1"/>
    </xf>
    <xf numFmtId="44" fontId="20" fillId="10" borderId="0" xfId="3" applyFont="1" applyFill="1" applyBorder="1" applyAlignment="1">
      <alignment horizontal="center" wrapText="1"/>
    </xf>
    <xf numFmtId="0" fontId="21" fillId="0" borderId="0" xfId="0" applyFont="1" applyBorder="1" applyAlignment="1">
      <alignment wrapText="1"/>
    </xf>
    <xf numFmtId="44" fontId="21" fillId="14" borderId="0" xfId="3" applyFont="1" applyFill="1" applyBorder="1" applyAlignment="1">
      <alignment horizontal="right"/>
    </xf>
    <xf numFmtId="44" fontId="20" fillId="14" borderId="0" xfId="3" applyFont="1" applyFill="1" applyBorder="1" applyAlignment="1">
      <alignment horizontal="right"/>
    </xf>
    <xf numFmtId="44" fontId="15" fillId="0" borderId="20" xfId="3" applyFont="1" applyFill="1" applyBorder="1" applyAlignment="1">
      <alignment horizontal="center" wrapText="1"/>
    </xf>
    <xf numFmtId="44" fontId="15" fillId="0" borderId="47" xfId="3" applyFont="1" applyFill="1" applyBorder="1" applyAlignment="1">
      <alignment horizontal="center" wrapText="1"/>
    </xf>
    <xf numFmtId="0" fontId="15" fillId="0" borderId="41" xfId="0" applyFont="1" applyFill="1" applyBorder="1" applyAlignment="1">
      <alignment horizontal="center" wrapText="1"/>
    </xf>
    <xf numFmtId="164" fontId="15" fillId="0" borderId="1" xfId="0" applyNumberFormat="1" applyFont="1" applyFill="1" applyBorder="1" applyAlignment="1">
      <alignment horizontal="center" wrapText="1"/>
    </xf>
    <xf numFmtId="0" fontId="15" fillId="0" borderId="1" xfId="0" applyFont="1" applyFill="1" applyBorder="1" applyAlignment="1">
      <alignment horizontal="center" wrapText="1"/>
    </xf>
    <xf numFmtId="165" fontId="15" fillId="0" borderId="20" xfId="6" applyNumberFormat="1" applyFont="1" applyFill="1" applyBorder="1" applyAlignment="1">
      <alignment horizontal="center" wrapText="1"/>
    </xf>
    <xf numFmtId="44" fontId="15" fillId="0" borderId="1" xfId="3" applyFont="1" applyFill="1" applyBorder="1" applyAlignment="1">
      <alignment horizontal="center" wrapText="1"/>
    </xf>
    <xf numFmtId="14" fontId="15" fillId="0" borderId="46" xfId="0" applyNumberFormat="1" applyFont="1" applyFill="1" applyBorder="1" applyAlignment="1">
      <alignment horizontal="center" wrapText="1"/>
    </xf>
    <xf numFmtId="14" fontId="15" fillId="0" borderId="20" xfId="0" applyNumberFormat="1" applyFont="1" applyFill="1" applyBorder="1" applyAlignment="1">
      <alignment horizontal="center" wrapText="1"/>
    </xf>
    <xf numFmtId="14" fontId="15" fillId="0" borderId="41" xfId="0" applyNumberFormat="1" applyFont="1" applyFill="1" applyBorder="1" applyAlignment="1">
      <alignment horizontal="center" wrapText="1"/>
    </xf>
    <xf numFmtId="14" fontId="15" fillId="0" borderId="1" xfId="0" applyNumberFormat="1" applyFont="1" applyFill="1" applyBorder="1" applyAlignment="1">
      <alignment horizontal="center" wrapText="1"/>
    </xf>
    <xf numFmtId="164" fontId="2" fillId="0" borderId="0" xfId="0" applyNumberFormat="1" applyFont="1" applyFill="1" applyAlignment="1">
      <alignment horizontal="center" wrapText="1"/>
    </xf>
    <xf numFmtId="0" fontId="15" fillId="0" borderId="46" xfId="0" applyFont="1" applyFill="1" applyBorder="1" applyAlignment="1">
      <alignment horizontal="center" wrapText="1"/>
    </xf>
    <xf numFmtId="164" fontId="15" fillId="0" borderId="20" xfId="0" applyNumberFormat="1" applyFont="1" applyFill="1" applyBorder="1" applyAlignment="1">
      <alignment horizontal="center" wrapText="1"/>
    </xf>
    <xf numFmtId="0" fontId="15" fillId="0" borderId="20" xfId="0" applyFont="1" applyFill="1" applyBorder="1" applyAlignment="1">
      <alignment horizontal="center" wrapText="1"/>
    </xf>
    <xf numFmtId="0" fontId="2" fillId="0" borderId="0" xfId="0" quotePrefix="1" applyFont="1" applyFill="1" applyAlignment="1">
      <alignment vertical="top"/>
    </xf>
    <xf numFmtId="44" fontId="5" fillId="0" borderId="49" xfId="0" applyNumberFormat="1" applyFont="1" applyFill="1" applyBorder="1"/>
    <xf numFmtId="14" fontId="5" fillId="0" borderId="0" xfId="0" applyNumberFormat="1" applyFont="1" applyFill="1" applyAlignment="1">
      <alignment horizontal="center"/>
    </xf>
    <xf numFmtId="44" fontId="15" fillId="0" borderId="1" xfId="0" applyNumberFormat="1" applyFont="1" applyFill="1" applyBorder="1" applyAlignment="1">
      <alignment horizontal="center" wrapText="1"/>
    </xf>
    <xf numFmtId="44" fontId="15" fillId="0" borderId="20" xfId="0" applyNumberFormat="1" applyFont="1" applyFill="1" applyBorder="1" applyAlignment="1">
      <alignment horizontal="center" wrapText="1"/>
    </xf>
    <xf numFmtId="0" fontId="15" fillId="0" borderId="46" xfId="8" applyFont="1" applyFill="1" applyBorder="1" applyAlignment="1">
      <alignment horizontal="center" wrapText="1"/>
    </xf>
    <xf numFmtId="164" fontId="15" fillId="0" borderId="20" xfId="8" applyNumberFormat="1" applyFont="1" applyFill="1" applyBorder="1" applyAlignment="1">
      <alignment horizontal="center" wrapText="1"/>
    </xf>
    <xf numFmtId="0" fontId="15" fillId="0" borderId="20" xfId="8" applyFont="1" applyFill="1" applyBorder="1" applyAlignment="1">
      <alignment horizontal="center" wrapText="1"/>
    </xf>
    <xf numFmtId="44" fontId="15" fillId="0" borderId="20" xfId="8" applyNumberFormat="1" applyFont="1" applyFill="1" applyBorder="1" applyAlignment="1">
      <alignment horizontal="center" wrapText="1"/>
    </xf>
    <xf numFmtId="0" fontId="19" fillId="0" borderId="0" xfId="0" applyFont="1" applyBorder="1" applyAlignment="1"/>
    <xf numFmtId="14" fontId="2" fillId="0" borderId="0" xfId="0" applyNumberFormat="1" applyFont="1" applyFill="1" applyBorder="1" applyAlignment="1">
      <alignment horizontal="center"/>
    </xf>
    <xf numFmtId="44" fontId="2" fillId="0" borderId="0" xfId="0" applyNumberFormat="1" applyFont="1" applyFill="1" applyBorder="1" applyAlignment="1">
      <alignment horizontal="center" wrapText="1"/>
    </xf>
    <xf numFmtId="0" fontId="4" fillId="0" borderId="0" xfId="0" applyFont="1" applyFill="1" applyBorder="1" applyAlignment="1">
      <alignment horizontal="left" wrapText="1"/>
    </xf>
    <xf numFmtId="0" fontId="4" fillId="0" borderId="0" xfId="0" applyFont="1" applyFill="1" applyBorder="1" applyAlignment="1">
      <alignment horizontal="left"/>
    </xf>
    <xf numFmtId="0" fontId="20" fillId="14" borderId="0" xfId="0" applyFont="1" applyFill="1" applyBorder="1"/>
    <xf numFmtId="14" fontId="20" fillId="14" borderId="0" xfId="3" applyNumberFormat="1" applyFont="1" applyFill="1" applyBorder="1" applyAlignment="1">
      <alignment horizontal="center"/>
    </xf>
    <xf numFmtId="44" fontId="20" fillId="14" borderId="0" xfId="3" applyFont="1" applyFill="1" applyBorder="1" applyAlignment="1">
      <alignment horizontal="center"/>
    </xf>
    <xf numFmtId="0" fontId="20" fillId="15" borderId="0" xfId="0" applyFont="1" applyFill="1" applyBorder="1"/>
    <xf numFmtId="14" fontId="20" fillId="15" borderId="0" xfId="3" applyNumberFormat="1" applyFont="1" applyFill="1" applyBorder="1" applyAlignment="1">
      <alignment horizontal="center"/>
    </xf>
    <xf numFmtId="44" fontId="20" fillId="15" borderId="0" xfId="3" applyFont="1" applyFill="1" applyBorder="1" applyAlignment="1">
      <alignment horizontal="center"/>
    </xf>
    <xf numFmtId="0" fontId="0" fillId="0" borderId="0" xfId="0" applyAlignment="1">
      <alignment horizontal="left" wrapText="1"/>
    </xf>
    <xf numFmtId="0" fontId="0" fillId="0" borderId="0" xfId="0" applyAlignment="1">
      <alignment horizontal="left"/>
    </xf>
    <xf numFmtId="0" fontId="4" fillId="0" borderId="0" xfId="0" applyFont="1" applyFill="1" applyBorder="1" applyAlignment="1">
      <alignment horizontal="left" wrapText="1"/>
    </xf>
    <xf numFmtId="0" fontId="6" fillId="0" borderId="0" xfId="0" applyFont="1" applyFill="1" applyBorder="1" applyAlignment="1">
      <alignment horizontal="center"/>
    </xf>
    <xf numFmtId="0" fontId="0" fillId="0" borderId="0" xfId="0" applyBorder="1" applyAlignment="1">
      <alignment horizontal="center"/>
    </xf>
    <xf numFmtId="0" fontId="4" fillId="0" borderId="0" xfId="0" applyFont="1" applyFill="1" applyBorder="1" applyAlignment="1">
      <alignment horizontal="left"/>
    </xf>
    <xf numFmtId="44" fontId="16" fillId="0" borderId="11" xfId="3" applyFont="1" applyBorder="1" applyAlignment="1">
      <alignment horizontal="left" vertical="center" wrapText="1"/>
    </xf>
    <xf numFmtId="44" fontId="16" fillId="0" borderId="8" xfId="3" applyFont="1" applyBorder="1" applyAlignment="1">
      <alignment horizontal="left" vertical="center" wrapText="1"/>
    </xf>
    <xf numFmtId="44" fontId="16" fillId="0" borderId="9" xfId="3" applyFont="1" applyBorder="1" applyAlignment="1">
      <alignment horizontal="left" vertical="center" wrapText="1"/>
    </xf>
    <xf numFmtId="44" fontId="16" fillId="0" borderId="0" xfId="3" applyFont="1" applyBorder="1" applyAlignment="1">
      <alignment horizontal="left" vertical="center" wrapText="1"/>
    </xf>
    <xf numFmtId="0" fontId="21" fillId="0" borderId="0" xfId="0" applyFont="1" applyFill="1" applyBorder="1" applyAlignment="1">
      <alignment horizontal="left" vertical="center" wrapText="1" indent="2"/>
    </xf>
    <xf numFmtId="0" fontId="21" fillId="0" borderId="0" xfId="0" applyFont="1" applyFill="1" applyBorder="1" applyAlignment="1">
      <alignment horizontal="left" vertical="top" wrapText="1" indent="1"/>
    </xf>
    <xf numFmtId="0" fontId="19" fillId="0" borderId="0" xfId="0" applyFont="1" applyFill="1" applyBorder="1" applyAlignment="1">
      <alignment horizontal="center"/>
    </xf>
    <xf numFmtId="44" fontId="20" fillId="13" borderId="0" xfId="3" applyFont="1" applyFill="1" applyBorder="1" applyAlignment="1">
      <alignment horizontal="center"/>
    </xf>
    <xf numFmtId="0" fontId="21" fillId="0" borderId="0" xfId="0" applyFont="1" applyFill="1" applyBorder="1" applyAlignment="1">
      <alignment horizontal="left" indent="2"/>
    </xf>
    <xf numFmtId="0" fontId="5" fillId="12" borderId="29" xfId="0" applyFont="1" applyFill="1" applyBorder="1" applyAlignment="1">
      <alignment horizontal="center"/>
    </xf>
    <xf numFmtId="0" fontId="5" fillId="12" borderId="27" xfId="0" applyFont="1" applyFill="1" applyBorder="1" applyAlignment="1">
      <alignment horizontal="center"/>
    </xf>
    <xf numFmtId="0" fontId="5" fillId="12" borderId="30" xfId="0" applyFont="1" applyFill="1" applyBorder="1" applyAlignment="1">
      <alignment horizontal="center"/>
    </xf>
    <xf numFmtId="0" fontId="2" fillId="0" borderId="0" xfId="0" applyFont="1" applyFill="1" applyAlignment="1">
      <alignment horizontal="left"/>
    </xf>
    <xf numFmtId="0" fontId="2" fillId="0" borderId="0" xfId="0" quotePrefix="1" applyFont="1" applyFill="1" applyAlignment="1">
      <alignment horizontal="left" vertical="top" wrapText="1"/>
    </xf>
    <xf numFmtId="0" fontId="5" fillId="12" borderId="29" xfId="8" applyFont="1" applyFill="1" applyBorder="1" applyAlignment="1">
      <alignment horizontal="center"/>
    </xf>
    <xf numFmtId="0" fontId="5" fillId="12" borderId="27" xfId="8" applyFont="1" applyFill="1" applyBorder="1" applyAlignment="1">
      <alignment horizontal="center"/>
    </xf>
    <xf numFmtId="0" fontId="5" fillId="12" borderId="30" xfId="8" applyFont="1" applyFill="1" applyBorder="1" applyAlignment="1">
      <alignment horizontal="center"/>
    </xf>
  </cellXfs>
  <cellStyles count="10">
    <cellStyle name="Comma" xfId="1" builtinId="3"/>
    <cellStyle name="Comma 2" xfId="2"/>
    <cellStyle name="Currency" xfId="3" builtinId="4"/>
    <cellStyle name="Currency 2" xfId="4"/>
    <cellStyle name="Normal" xfId="0" builtinId="0"/>
    <cellStyle name="Normal 2" xfId="5"/>
    <cellStyle name="Normal 2 2" xfId="8"/>
    <cellStyle name="Normal 3" xfId="9"/>
    <cellStyle name="Percent" xfId="6" builtinId="5"/>
    <cellStyle name="Percent 2" xfId="7"/>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276225</xdr:colOff>
      <xdr:row>89</xdr:row>
      <xdr:rowOff>104775</xdr:rowOff>
    </xdr:from>
    <xdr:to>
      <xdr:col>8</xdr:col>
      <xdr:colOff>695325</xdr:colOff>
      <xdr:row>92</xdr:row>
      <xdr:rowOff>123825</xdr:rowOff>
    </xdr:to>
    <xdr:sp macro="" textlink="">
      <xdr:nvSpPr>
        <xdr:cNvPr id="1026" name="Text Box 2"/>
        <xdr:cNvSpPr txBox="1">
          <a:spLocks noChangeArrowheads="1"/>
        </xdr:cNvSpPr>
      </xdr:nvSpPr>
      <xdr:spPr bwMode="auto">
        <a:xfrm>
          <a:off x="7143750" y="10925175"/>
          <a:ext cx="2590800" cy="0"/>
        </a:xfrm>
        <a:prstGeom prst="rect">
          <a:avLst/>
        </a:prstGeom>
        <a:solidFill>
          <a:srgbClr val="FFCC99"/>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IFA to be amended and expected to be filed 2nd Qtr 2008.</a:t>
          </a:r>
        </a:p>
      </xdr:txBody>
    </xdr:sp>
    <xdr:clientData/>
  </xdr:twoCellAnchor>
  <xdr:twoCellAnchor>
    <xdr:from>
      <xdr:col>6</xdr:col>
      <xdr:colOff>276225</xdr:colOff>
      <xdr:row>82</xdr:row>
      <xdr:rowOff>104775</xdr:rowOff>
    </xdr:from>
    <xdr:to>
      <xdr:col>8</xdr:col>
      <xdr:colOff>695325</xdr:colOff>
      <xdr:row>85</xdr:row>
      <xdr:rowOff>123825</xdr:rowOff>
    </xdr:to>
    <xdr:sp macro="" textlink="">
      <xdr:nvSpPr>
        <xdr:cNvPr id="1028" name="Text Box 4"/>
        <xdr:cNvSpPr txBox="1">
          <a:spLocks noChangeArrowheads="1"/>
        </xdr:cNvSpPr>
      </xdr:nvSpPr>
      <xdr:spPr bwMode="auto">
        <a:xfrm>
          <a:off x="7143750" y="10925175"/>
          <a:ext cx="2590800" cy="0"/>
        </a:xfrm>
        <a:prstGeom prst="rect">
          <a:avLst/>
        </a:prstGeom>
        <a:solidFill>
          <a:srgbClr val="FFCC99"/>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IFA expected to be amended by 6/30/08 to include the Actual facilities cost, reclassified facilities, and TC refund provisions.</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46383</xdr:colOff>
      <xdr:row>60</xdr:row>
      <xdr:rowOff>145676</xdr:rowOff>
    </xdr:from>
    <xdr:ext cx="1013791" cy="490327"/>
    <xdr:sp macro="" textlink="">
      <xdr:nvSpPr>
        <xdr:cNvPr id="11" name="TextBox 10"/>
        <xdr:cNvSpPr txBox="1"/>
      </xdr:nvSpPr>
      <xdr:spPr>
        <a:xfrm>
          <a:off x="6302403" y="8123816"/>
          <a:ext cx="1013791" cy="49032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900">
              <a:latin typeface="Arial" panose="020B0604020202020204" pitchFamily="34" charset="0"/>
              <a:cs typeface="Arial" panose="020B0604020202020204" pitchFamily="34" charset="0"/>
            </a:rPr>
            <a:t>Sum is input</a:t>
          </a:r>
          <a:r>
            <a:rPr lang="en-US" sz="900" baseline="0">
              <a:latin typeface="Arial" panose="020B0604020202020204" pitchFamily="34" charset="0"/>
              <a:cs typeface="Arial" panose="020B0604020202020204" pitchFamily="34" charset="0"/>
            </a:rPr>
            <a:t> to Schedule 22, Line 10</a:t>
          </a:r>
          <a:endParaRPr lang="en-US" sz="900">
            <a:latin typeface="Arial" panose="020B0604020202020204" pitchFamily="34" charset="0"/>
            <a:cs typeface="Arial" panose="020B0604020202020204" pitchFamily="34" charset="0"/>
          </a:endParaRPr>
        </a:p>
      </xdr:txBody>
    </xdr:sp>
    <xdr:clientData/>
  </xdr:oneCellAnchor>
  <xdr:oneCellAnchor>
    <xdr:from>
      <xdr:col>7</xdr:col>
      <xdr:colOff>477079</xdr:colOff>
      <xdr:row>60</xdr:row>
      <xdr:rowOff>132229</xdr:rowOff>
    </xdr:from>
    <xdr:ext cx="808382" cy="503875"/>
    <xdr:sp macro="" textlink="">
      <xdr:nvSpPr>
        <xdr:cNvPr id="12" name="TextBox 11"/>
        <xdr:cNvSpPr txBox="1"/>
      </xdr:nvSpPr>
      <xdr:spPr>
        <a:xfrm>
          <a:off x="7700839" y="8110369"/>
          <a:ext cx="808382" cy="50387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5</a:t>
          </a:r>
        </a:p>
      </xdr:txBody>
    </xdr:sp>
    <xdr:clientData/>
  </xdr:oneCellAnchor>
  <xdr:twoCellAnchor>
    <xdr:from>
      <xdr:col>6</xdr:col>
      <xdr:colOff>26505</xdr:colOff>
      <xdr:row>59</xdr:row>
      <xdr:rowOff>59633</xdr:rowOff>
    </xdr:from>
    <xdr:to>
      <xdr:col>6</xdr:col>
      <xdr:colOff>553279</xdr:colOff>
      <xdr:row>60</xdr:row>
      <xdr:rowOff>145676</xdr:rowOff>
    </xdr:to>
    <xdr:cxnSp macro="">
      <xdr:nvCxnSpPr>
        <xdr:cNvPr id="13" name="Straight Arrow Connector 12"/>
        <xdr:cNvCxnSpPr>
          <a:stCxn id="11" idx="0"/>
        </xdr:cNvCxnSpPr>
      </xdr:nvCxnSpPr>
      <xdr:spPr>
        <a:xfrm flipH="1" flipV="1">
          <a:off x="6281531" y="8070572"/>
          <a:ext cx="526774" cy="21856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854766</xdr:colOff>
      <xdr:row>58</xdr:row>
      <xdr:rowOff>26504</xdr:rowOff>
    </xdr:from>
    <xdr:to>
      <xdr:col>8</xdr:col>
      <xdr:colOff>496956</xdr:colOff>
      <xdr:row>60</xdr:row>
      <xdr:rowOff>152107</xdr:rowOff>
    </xdr:to>
    <xdr:cxnSp macro="">
      <xdr:nvCxnSpPr>
        <xdr:cNvPr id="14" name="Straight Arrow Connector 13"/>
        <xdr:cNvCxnSpPr/>
      </xdr:nvCxnSpPr>
      <xdr:spPr>
        <a:xfrm flipV="1">
          <a:off x="8077201" y="7904921"/>
          <a:ext cx="536712" cy="39064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6626</xdr:colOff>
      <xdr:row>58</xdr:row>
      <xdr:rowOff>46383</xdr:rowOff>
    </xdr:from>
    <xdr:to>
      <xdr:col>6</xdr:col>
      <xdr:colOff>546654</xdr:colOff>
      <xdr:row>60</xdr:row>
      <xdr:rowOff>125802</xdr:rowOff>
    </xdr:to>
    <xdr:cxnSp macro="">
      <xdr:nvCxnSpPr>
        <xdr:cNvPr id="15" name="Straight Arrow Connector 14"/>
        <xdr:cNvCxnSpPr/>
      </xdr:nvCxnSpPr>
      <xdr:spPr>
        <a:xfrm flipH="1" flipV="1">
          <a:off x="6261652" y="7924800"/>
          <a:ext cx="540028" cy="34446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46383</xdr:colOff>
      <xdr:row>55</xdr:row>
      <xdr:rowOff>145676</xdr:rowOff>
    </xdr:from>
    <xdr:ext cx="1013791" cy="490327"/>
    <xdr:sp macro="" textlink="">
      <xdr:nvSpPr>
        <xdr:cNvPr id="7" name="TextBox 6"/>
        <xdr:cNvSpPr txBox="1"/>
      </xdr:nvSpPr>
      <xdr:spPr>
        <a:xfrm>
          <a:off x="6302403" y="8123816"/>
          <a:ext cx="1013791" cy="49032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900">
              <a:latin typeface="Arial" panose="020B0604020202020204" pitchFamily="34" charset="0"/>
              <a:cs typeface="Arial" panose="020B0604020202020204" pitchFamily="34" charset="0"/>
            </a:rPr>
            <a:t>Sum is input</a:t>
          </a:r>
          <a:r>
            <a:rPr lang="en-US" sz="900" baseline="0">
              <a:latin typeface="Arial" panose="020B0604020202020204" pitchFamily="34" charset="0"/>
              <a:cs typeface="Arial" panose="020B0604020202020204" pitchFamily="34" charset="0"/>
            </a:rPr>
            <a:t> to Schedule 22, Line 10</a:t>
          </a:r>
          <a:endParaRPr lang="en-US" sz="900">
            <a:latin typeface="Arial" panose="020B0604020202020204" pitchFamily="34" charset="0"/>
            <a:cs typeface="Arial" panose="020B0604020202020204" pitchFamily="34" charset="0"/>
          </a:endParaRPr>
        </a:p>
      </xdr:txBody>
    </xdr:sp>
    <xdr:clientData/>
  </xdr:oneCellAnchor>
  <xdr:oneCellAnchor>
    <xdr:from>
      <xdr:col>7</xdr:col>
      <xdr:colOff>477079</xdr:colOff>
      <xdr:row>55</xdr:row>
      <xdr:rowOff>132229</xdr:rowOff>
    </xdr:from>
    <xdr:ext cx="808382" cy="503875"/>
    <xdr:sp macro="" textlink="">
      <xdr:nvSpPr>
        <xdr:cNvPr id="8" name="TextBox 7"/>
        <xdr:cNvSpPr txBox="1"/>
      </xdr:nvSpPr>
      <xdr:spPr>
        <a:xfrm>
          <a:off x="7700839" y="8110369"/>
          <a:ext cx="808382" cy="50387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en-US" sz="900">
              <a:latin typeface="Arial" panose="020B0604020202020204" pitchFamily="34" charset="0"/>
              <a:cs typeface="Arial" panose="020B0604020202020204" pitchFamily="34" charset="0"/>
            </a:rPr>
            <a:t>Input to Schedule 22, Line 5</a:t>
          </a:r>
        </a:p>
      </xdr:txBody>
    </xdr:sp>
    <xdr:clientData/>
  </xdr:oneCellAnchor>
  <xdr:twoCellAnchor>
    <xdr:from>
      <xdr:col>6</xdr:col>
      <xdr:colOff>1</xdr:colOff>
      <xdr:row>53</xdr:row>
      <xdr:rowOff>39756</xdr:rowOff>
    </xdr:from>
    <xdr:to>
      <xdr:col>6</xdr:col>
      <xdr:colOff>553279</xdr:colOff>
      <xdr:row>55</xdr:row>
      <xdr:rowOff>145676</xdr:rowOff>
    </xdr:to>
    <xdr:cxnSp macro="">
      <xdr:nvCxnSpPr>
        <xdr:cNvPr id="9" name="Straight Arrow Connector 8"/>
        <xdr:cNvCxnSpPr>
          <a:stCxn id="7" idx="0"/>
        </xdr:cNvCxnSpPr>
      </xdr:nvCxnSpPr>
      <xdr:spPr>
        <a:xfrm flipH="1" flipV="1">
          <a:off x="7096540" y="7255565"/>
          <a:ext cx="553278" cy="37096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894522</xdr:colOff>
      <xdr:row>53</xdr:row>
      <xdr:rowOff>39755</xdr:rowOff>
    </xdr:from>
    <xdr:to>
      <xdr:col>8</xdr:col>
      <xdr:colOff>536712</xdr:colOff>
      <xdr:row>55</xdr:row>
      <xdr:rowOff>165360</xdr:rowOff>
    </xdr:to>
    <xdr:cxnSp macro="">
      <xdr:nvCxnSpPr>
        <xdr:cNvPr id="10" name="Straight Arrow Connector 9"/>
        <xdr:cNvCxnSpPr/>
      </xdr:nvCxnSpPr>
      <xdr:spPr>
        <a:xfrm flipV="1">
          <a:off x="8925339" y="7255564"/>
          <a:ext cx="596347" cy="39064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987288</xdr:colOff>
      <xdr:row>54</xdr:row>
      <xdr:rowOff>26506</xdr:rowOff>
    </xdr:from>
    <xdr:to>
      <xdr:col>6</xdr:col>
      <xdr:colOff>553279</xdr:colOff>
      <xdr:row>55</xdr:row>
      <xdr:rowOff>145676</xdr:rowOff>
    </xdr:to>
    <xdr:cxnSp macro="">
      <xdr:nvCxnSpPr>
        <xdr:cNvPr id="11" name="Straight Arrow Connector 10"/>
        <xdr:cNvCxnSpPr>
          <a:stCxn id="7" idx="0"/>
        </xdr:cNvCxnSpPr>
      </xdr:nvCxnSpPr>
      <xdr:spPr>
        <a:xfrm flipH="1" flipV="1">
          <a:off x="7083288" y="7374836"/>
          <a:ext cx="566530" cy="25169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TDBU2\Grid%20Contracts\GCM\4.%20Financial\TC%20Forecasts\2015\~TC%20Forecast_2015%20Baseline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RC Interest Rate"/>
      <sheetName val="2015 Summary"/>
      <sheetName val="2014 Summary"/>
      <sheetName val="2013 Quarterly"/>
      <sheetName val="2012 Quarterly"/>
      <sheetName val="2011 Quarterly "/>
      <sheetName val="2010 Quarterly"/>
      <sheetName val="2009 Quarterly"/>
      <sheetName val="2008 Quarterly"/>
      <sheetName val="2013 Summary"/>
      <sheetName val="TOT032"/>
      <sheetName val="TOT037"/>
      <sheetName val="TOT041"/>
      <sheetName val="TOT094"/>
      <sheetName val="TOT135"/>
      <sheetName val="TOT175"/>
      <sheetName val="TOT278"/>
      <sheetName val="TOT427"/>
      <sheetName val="TOT455"/>
      <sheetName val="TOT508"/>
      <sheetName val="TOT516"/>
      <sheetName val="TOT522"/>
      <sheetName val="WDT1007"/>
      <sheetName val="Mountainview"/>
      <sheetName val="Antelope Power Plant"/>
      <sheetName val="Rising Tree Wind Farm"/>
      <sheetName val="Wildflower Energy"/>
      <sheetName val="Huntington"/>
      <sheetName val="High Desert"/>
      <sheetName val="LV Cogen"/>
      <sheetName val="Mirant"/>
      <sheetName val="NPC"/>
      <sheetName val="Reliant"/>
      <sheetName val="Whitewater Hill"/>
      <sheetName val="Magnolia"/>
      <sheetName val="NPC Lenzie - Breakers"/>
      <sheetName val="Pastoria"/>
      <sheetName val="SNWA"/>
      <sheetName val="Lugo"/>
      <sheetName val="Moenkopi"/>
      <sheetName val="GBU Grapeland"/>
      <sheetName val="PPM Desert Power"/>
      <sheetName val="Mountain View IV Project"/>
      <sheetName val="GreenBorders"/>
      <sheetName val="Calico Solar"/>
      <sheetName val="Desert Stateline PV"/>
      <sheetName val="Silver State Solar"/>
      <sheetName val="Mesa Wind Repower QFC"/>
    </sheetNames>
    <sheetDataSet>
      <sheetData sheetId="0">
        <row r="1">
          <cell r="A1" t="str">
            <v>End Date Range</v>
          </cell>
          <cell r="B1" t="str">
            <v>Rate</v>
          </cell>
        </row>
        <row r="2">
          <cell r="A2">
            <v>38442</v>
          </cell>
          <cell r="B2">
            <v>4.7500000000000001E-2</v>
          </cell>
        </row>
        <row r="3">
          <cell r="A3">
            <v>38533</v>
          </cell>
          <cell r="B3">
            <v>5.2999999999999999E-2</v>
          </cell>
        </row>
        <row r="4">
          <cell r="A4">
            <v>38625</v>
          </cell>
          <cell r="B4">
            <v>5.7700000000000001E-2</v>
          </cell>
        </row>
        <row r="5">
          <cell r="A5">
            <v>38717</v>
          </cell>
          <cell r="B5">
            <v>6.2300000000000001E-2</v>
          </cell>
        </row>
        <row r="6">
          <cell r="A6">
            <v>38807</v>
          </cell>
          <cell r="B6">
            <v>6.7799999999999999E-2</v>
          </cell>
        </row>
        <row r="7">
          <cell r="A7">
            <v>38898</v>
          </cell>
          <cell r="B7">
            <v>7.2999999999999995E-2</v>
          </cell>
        </row>
        <row r="8">
          <cell r="A8">
            <v>38990</v>
          </cell>
          <cell r="B8">
            <v>7.7399999999999997E-2</v>
          </cell>
        </row>
        <row r="9">
          <cell r="A9">
            <v>39082</v>
          </cell>
          <cell r="B9">
            <v>8.1699999999999995E-2</v>
          </cell>
        </row>
        <row r="10">
          <cell r="A10">
            <v>39172</v>
          </cell>
          <cell r="B10">
            <v>8.2500000000000004E-2</v>
          </cell>
        </row>
        <row r="11">
          <cell r="A11">
            <v>39263</v>
          </cell>
          <cell r="B11">
            <v>8.2500000000000004E-2</v>
          </cell>
        </row>
        <row r="12">
          <cell r="A12">
            <v>39355</v>
          </cell>
          <cell r="B12">
            <v>8.2500000000000004E-2</v>
          </cell>
        </row>
        <row r="13">
          <cell r="A13">
            <v>39447</v>
          </cell>
          <cell r="B13">
            <v>8.2500000000000004E-2</v>
          </cell>
        </row>
        <row r="14">
          <cell r="A14">
            <v>39538</v>
          </cell>
          <cell r="B14">
            <v>7.7600000000000002E-2</v>
          </cell>
        </row>
        <row r="15">
          <cell r="A15">
            <v>39629</v>
          </cell>
          <cell r="B15">
            <v>6.7699999999999996E-2</v>
          </cell>
        </row>
        <row r="16">
          <cell r="A16">
            <v>39721</v>
          </cell>
          <cell r="B16">
            <v>5.2999999999999999E-2</v>
          </cell>
        </row>
        <row r="17">
          <cell r="A17">
            <v>39813</v>
          </cell>
          <cell r="B17">
            <v>0.05</v>
          </cell>
        </row>
        <row r="18">
          <cell r="A18">
            <v>39903</v>
          </cell>
          <cell r="B18">
            <v>4.5199999999999997E-2</v>
          </cell>
        </row>
        <row r="19">
          <cell r="A19">
            <v>39994</v>
          </cell>
          <cell r="B19">
            <v>3.3700000000000001E-2</v>
          </cell>
        </row>
        <row r="20">
          <cell r="A20">
            <v>40086</v>
          </cell>
          <cell r="B20">
            <v>3.2500000000000001E-2</v>
          </cell>
        </row>
        <row r="21">
          <cell r="A21">
            <v>40178</v>
          </cell>
          <cell r="B21">
            <v>3.2500000000000001E-2</v>
          </cell>
        </row>
        <row r="22">
          <cell r="A22">
            <v>40268</v>
          </cell>
          <cell r="B22">
            <v>3.2500000000000001E-2</v>
          </cell>
        </row>
        <row r="23">
          <cell r="A23">
            <v>40359</v>
          </cell>
          <cell r="B23">
            <v>3.2500000000000001E-2</v>
          </cell>
        </row>
        <row r="24">
          <cell r="A24">
            <v>40451</v>
          </cell>
          <cell r="B24">
            <v>3.2500000000000001E-2</v>
          </cell>
        </row>
        <row r="25">
          <cell r="A25">
            <v>40543</v>
          </cell>
          <cell r="B25">
            <v>3.2500000000000001E-2</v>
          </cell>
        </row>
        <row r="26">
          <cell r="A26">
            <v>40633</v>
          </cell>
          <cell r="B26">
            <v>3.2500000000000001E-2</v>
          </cell>
        </row>
        <row r="27">
          <cell r="A27">
            <v>40724</v>
          </cell>
          <cell r="B27">
            <v>3.2500000000000001E-2</v>
          </cell>
        </row>
        <row r="28">
          <cell r="A28">
            <v>40816</v>
          </cell>
          <cell r="B28">
            <v>3.2500000000000001E-2</v>
          </cell>
        </row>
        <row r="29">
          <cell r="A29">
            <v>40908</v>
          </cell>
          <cell r="B29">
            <v>3.2500000000000001E-2</v>
          </cell>
        </row>
        <row r="30">
          <cell r="A30">
            <v>40999</v>
          </cell>
          <cell r="B30">
            <v>3.2500000000000001E-2</v>
          </cell>
        </row>
        <row r="31">
          <cell r="A31">
            <v>41090</v>
          </cell>
          <cell r="B31">
            <v>3.2500000000000001E-2</v>
          </cell>
        </row>
        <row r="32">
          <cell r="A32">
            <v>41182</v>
          </cell>
          <cell r="B32">
            <v>3.2500000000000001E-2</v>
          </cell>
        </row>
        <row r="33">
          <cell r="A33">
            <v>41274</v>
          </cell>
          <cell r="B33">
            <v>3.2500000000000001E-2</v>
          </cell>
        </row>
        <row r="34">
          <cell r="A34">
            <v>41364</v>
          </cell>
          <cell r="B34">
            <v>3.2500000000000001E-2</v>
          </cell>
        </row>
        <row r="35">
          <cell r="A35">
            <v>41455</v>
          </cell>
          <cell r="B35">
            <v>3.2500000000000001E-2</v>
          </cell>
        </row>
        <row r="36">
          <cell r="A36">
            <v>41547</v>
          </cell>
          <cell r="B36">
            <v>3.2500000000000001E-2</v>
          </cell>
        </row>
        <row r="37">
          <cell r="A37">
            <v>41639</v>
          </cell>
          <cell r="B37">
            <v>3.2500000000000001E-2</v>
          </cell>
        </row>
        <row r="38">
          <cell r="A38">
            <v>41729</v>
          </cell>
          <cell r="B38">
            <v>3.2500000000000001E-2</v>
          </cell>
        </row>
        <row r="39">
          <cell r="A39">
            <v>41820</v>
          </cell>
          <cell r="B39">
            <v>3.2500000000000001E-2</v>
          </cell>
        </row>
        <row r="40">
          <cell r="A40">
            <v>41912</v>
          </cell>
          <cell r="B40">
            <v>3.2500000000000001E-2</v>
          </cell>
        </row>
        <row r="41">
          <cell r="A41">
            <v>42004</v>
          </cell>
          <cell r="B41">
            <v>3.2500000000000001E-2</v>
          </cell>
        </row>
        <row r="42">
          <cell r="A42">
            <v>42094</v>
          </cell>
          <cell r="B42">
            <v>3.2500000000000001E-2</v>
          </cell>
        </row>
        <row r="43">
          <cell r="A43">
            <v>42185</v>
          </cell>
          <cell r="B43">
            <v>3.2500000000000001E-2</v>
          </cell>
        </row>
        <row r="44">
          <cell r="A44">
            <v>42277</v>
          </cell>
          <cell r="B44">
            <v>3.2870000000000003E-2</v>
          </cell>
        </row>
        <row r="45">
          <cell r="A45">
            <v>42369</v>
          </cell>
          <cell r="B45">
            <v>3.7100000000000001E-2</v>
          </cell>
        </row>
        <row r="46">
          <cell r="A46">
            <v>42460</v>
          </cell>
          <cell r="B46">
            <v>4.2070000000000003E-2</v>
          </cell>
        </row>
        <row r="47">
          <cell r="A47">
            <v>42551</v>
          </cell>
          <cell r="B47">
            <v>4.7E-2</v>
          </cell>
        </row>
        <row r="48">
          <cell r="A48">
            <v>42643</v>
          </cell>
          <cell r="B48">
            <v>5.2069999999999998E-2</v>
          </cell>
        </row>
        <row r="49">
          <cell r="A49">
            <v>42735</v>
          </cell>
          <cell r="B49">
            <v>5.7099999999999998E-2</v>
          </cell>
        </row>
        <row r="50">
          <cell r="A50">
            <v>42825</v>
          </cell>
          <cell r="B50">
            <v>6.207E-2</v>
          </cell>
        </row>
        <row r="51">
          <cell r="A51">
            <v>42916</v>
          </cell>
          <cell r="B51">
            <v>6.6699999999999995E-2</v>
          </cell>
        </row>
        <row r="52">
          <cell r="A52">
            <v>43008</v>
          </cell>
          <cell r="B52">
            <v>6.7500000000000004E-2</v>
          </cell>
        </row>
        <row r="53">
          <cell r="A53">
            <v>43100</v>
          </cell>
          <cell r="B53">
            <v>6.7500000000000004E-2</v>
          </cell>
        </row>
        <row r="54">
          <cell r="A54">
            <v>43190</v>
          </cell>
          <cell r="B54">
            <v>6.7500000000000004E-2</v>
          </cell>
        </row>
        <row r="55">
          <cell r="A55">
            <v>43281</v>
          </cell>
          <cell r="B55">
            <v>6.7500000000000004E-2</v>
          </cell>
        </row>
        <row r="56">
          <cell r="A56">
            <v>43373</v>
          </cell>
          <cell r="B56">
            <v>6.7500000000000004E-2</v>
          </cell>
        </row>
        <row r="57">
          <cell r="A57">
            <v>43465</v>
          </cell>
          <cell r="B57">
            <v>6.7500000000000004E-2</v>
          </cell>
        </row>
        <row r="58">
          <cell r="A58">
            <v>43555</v>
          </cell>
          <cell r="B58">
            <v>6.7500000000000004E-2</v>
          </cell>
        </row>
        <row r="59">
          <cell r="A59">
            <v>43646</v>
          </cell>
          <cell r="B59">
            <v>6.7500000000000004E-2</v>
          </cell>
        </row>
        <row r="60">
          <cell r="A60">
            <v>43738</v>
          </cell>
          <cell r="B60">
            <v>6.7500000000000004E-2</v>
          </cell>
        </row>
        <row r="61">
          <cell r="A61">
            <v>43830</v>
          </cell>
          <cell r="B61">
            <v>6.7500000000000004E-2</v>
          </cell>
        </row>
        <row r="62">
          <cell r="A62">
            <v>43921</v>
          </cell>
          <cell r="B62">
            <v>6.7500000000000004E-2</v>
          </cell>
        </row>
        <row r="63">
          <cell r="A63">
            <v>44012</v>
          </cell>
          <cell r="B63">
            <v>6.7500000000000004E-2</v>
          </cell>
        </row>
        <row r="64">
          <cell r="A64">
            <v>44104</v>
          </cell>
          <cell r="B64">
            <v>6.7500000000000004E-2</v>
          </cell>
        </row>
        <row r="65">
          <cell r="A65">
            <v>44196</v>
          </cell>
          <cell r="B65">
            <v>6.7500000000000004E-2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tabColor theme="0" tint="-4.9989318521683403E-2"/>
    <pageSetUpPr fitToPage="1"/>
  </sheetPr>
  <dimension ref="A1:J68"/>
  <sheetViews>
    <sheetView view="pageBreakPreview" zoomScale="85" zoomScaleNormal="100" zoomScaleSheetLayoutView="85" workbookViewId="0">
      <selection activeCell="G46" sqref="G46"/>
    </sheetView>
  </sheetViews>
  <sheetFormatPr defaultRowHeight="12.75" x14ac:dyDescent="0.2"/>
  <cols>
    <col min="1" max="1" width="41.28515625" bestFit="1" customWidth="1"/>
    <col min="2" max="5" width="14.5703125" style="62" bestFit="1" customWidth="1"/>
    <col min="6" max="6" width="15.5703125" style="62" customWidth="1"/>
    <col min="7" max="7" width="16.85546875" style="62" bestFit="1" customWidth="1"/>
    <col min="8" max="8" width="15.7109375" style="62" bestFit="1" customWidth="1"/>
    <col min="9" max="9" width="18.140625" style="62" bestFit="1" customWidth="1"/>
    <col min="10" max="10" width="15.28515625" bestFit="1" customWidth="1"/>
    <col min="11" max="12" width="14" bestFit="1" customWidth="1"/>
  </cols>
  <sheetData>
    <row r="1" spans="1:9" s="38" customFormat="1" ht="15.75" x14ac:dyDescent="0.25">
      <c r="A1" s="292" t="s">
        <v>87</v>
      </c>
      <c r="B1" s="293"/>
      <c r="C1" s="293"/>
      <c r="D1" s="293"/>
      <c r="E1" s="293"/>
      <c r="F1" s="293"/>
      <c r="G1" s="66"/>
      <c r="H1" s="66"/>
      <c r="I1" s="66"/>
    </row>
    <row r="2" spans="1:9" x14ac:dyDescent="0.2">
      <c r="A2" s="18"/>
      <c r="B2" s="67"/>
      <c r="C2" s="67"/>
      <c r="D2" s="67"/>
      <c r="E2" s="67"/>
      <c r="F2" s="67"/>
      <c r="G2" s="67"/>
      <c r="H2" s="67"/>
      <c r="I2" s="67"/>
    </row>
    <row r="3" spans="1:9" x14ac:dyDescent="0.2">
      <c r="A3" s="15"/>
      <c r="B3" s="59"/>
      <c r="C3" s="59"/>
      <c r="D3" s="59"/>
      <c r="E3" s="59"/>
      <c r="F3" s="59"/>
      <c r="G3" s="67"/>
      <c r="H3" s="67"/>
      <c r="I3" s="67"/>
    </row>
    <row r="4" spans="1:9" x14ac:dyDescent="0.2">
      <c r="A4" s="55" t="s">
        <v>80</v>
      </c>
      <c r="B4" s="65" t="s">
        <v>35</v>
      </c>
      <c r="C4" s="65" t="s">
        <v>36</v>
      </c>
      <c r="D4" s="65" t="s">
        <v>37</v>
      </c>
      <c r="E4" s="65" t="s">
        <v>38</v>
      </c>
      <c r="F4" s="65" t="s">
        <v>0</v>
      </c>
      <c r="G4" s="120" t="s">
        <v>27</v>
      </c>
      <c r="H4" s="69" t="s">
        <v>81</v>
      </c>
      <c r="I4" s="65" t="s">
        <v>39</v>
      </c>
    </row>
    <row r="5" spans="1:9" x14ac:dyDescent="0.2">
      <c r="A5" s="32" t="s">
        <v>3</v>
      </c>
      <c r="B5" s="59" t="e">
        <f>#REF!</f>
        <v>#REF!</v>
      </c>
      <c r="C5" s="59" t="e">
        <f>#REF!</f>
        <v>#REF!</v>
      </c>
      <c r="D5" s="59" t="e">
        <f>#REF!</f>
        <v>#REF!</v>
      </c>
      <c r="E5" s="59" t="e">
        <f>#REF!</f>
        <v>#REF!</v>
      </c>
      <c r="F5" s="59" t="e">
        <f t="shared" ref="F5:F50" si="0">SUM(B5:E5)</f>
        <v>#REF!</v>
      </c>
      <c r="G5" s="60" t="e">
        <f>#REF!</f>
        <v>#REF!</v>
      </c>
      <c r="H5" s="61" t="e">
        <f>SUM(#REF!)</f>
        <v>#REF!</v>
      </c>
      <c r="I5" s="61" t="e">
        <f>G5-H5</f>
        <v>#REF!</v>
      </c>
    </row>
    <row r="6" spans="1:9" x14ac:dyDescent="0.2">
      <c r="A6" s="32" t="s">
        <v>5</v>
      </c>
      <c r="B6" s="59" t="e">
        <f>#REF!</f>
        <v>#REF!</v>
      </c>
      <c r="C6" s="59" t="e">
        <f>#REF!</f>
        <v>#REF!</v>
      </c>
      <c r="D6" s="59" t="e">
        <f>#REF!</f>
        <v>#REF!</v>
      </c>
      <c r="E6" s="59" t="e">
        <f>#REF!</f>
        <v>#REF!</v>
      </c>
      <c r="F6" s="59" t="e">
        <f t="shared" si="0"/>
        <v>#REF!</v>
      </c>
    </row>
    <row r="7" spans="1:9" x14ac:dyDescent="0.2">
      <c r="A7" s="32" t="s">
        <v>4</v>
      </c>
      <c r="B7" s="59" t="e">
        <f>#REF!</f>
        <v>#REF!</v>
      </c>
      <c r="C7" s="59" t="e">
        <f>#REF!</f>
        <v>#REF!</v>
      </c>
      <c r="D7" s="59" t="e">
        <f>#REF!</f>
        <v>#REF!</v>
      </c>
      <c r="E7" s="59" t="e">
        <f>#REF!</f>
        <v>#REF!</v>
      </c>
      <c r="F7" s="59" t="e">
        <f t="shared" si="0"/>
        <v>#REF!</v>
      </c>
    </row>
    <row r="8" spans="1:9" x14ac:dyDescent="0.2">
      <c r="A8" s="32" t="s">
        <v>6</v>
      </c>
      <c r="B8" s="59" t="e">
        <f>#REF!+#REF!</f>
        <v>#REF!</v>
      </c>
      <c r="C8" s="59" t="e">
        <f>#REF!+#REF!</f>
        <v>#REF!</v>
      </c>
      <c r="D8" s="59" t="e">
        <f>#REF!+#REF!</f>
        <v>#REF!</v>
      </c>
      <c r="E8" s="59" t="e">
        <f>#REF!+#REF!</f>
        <v>#REF!</v>
      </c>
      <c r="F8" s="59" t="e">
        <f t="shared" si="0"/>
        <v>#REF!</v>
      </c>
    </row>
    <row r="9" spans="1:9" x14ac:dyDescent="0.2">
      <c r="A9" s="15"/>
      <c r="B9" s="59"/>
      <c r="C9" s="59"/>
      <c r="D9" s="59"/>
      <c r="E9" s="59"/>
      <c r="F9" s="59"/>
      <c r="G9" s="67"/>
      <c r="H9" s="67"/>
      <c r="I9" s="67"/>
    </row>
    <row r="10" spans="1:9" x14ac:dyDescent="0.2">
      <c r="A10" s="55" t="s">
        <v>75</v>
      </c>
      <c r="B10" s="65" t="s">
        <v>35</v>
      </c>
      <c r="C10" s="65" t="s">
        <v>36</v>
      </c>
      <c r="D10" s="65" t="s">
        <v>37</v>
      </c>
      <c r="E10" s="65" t="s">
        <v>38</v>
      </c>
      <c r="F10" s="65" t="s">
        <v>0</v>
      </c>
      <c r="G10" s="120" t="s">
        <v>27</v>
      </c>
      <c r="H10" s="69" t="s">
        <v>81</v>
      </c>
      <c r="I10" s="65" t="s">
        <v>39</v>
      </c>
    </row>
    <row r="11" spans="1:9" x14ac:dyDescent="0.2">
      <c r="A11" s="32" t="s">
        <v>3</v>
      </c>
      <c r="B11" s="59">
        <v>0</v>
      </c>
      <c r="C11" s="59">
        <v>0</v>
      </c>
      <c r="D11" s="59" t="e">
        <f>SUM(#REF!)</f>
        <v>#REF!</v>
      </c>
      <c r="E11" s="59" t="e">
        <f>SUM(#REF!)</f>
        <v>#REF!</v>
      </c>
      <c r="F11" s="59" t="e">
        <f>SUM(B11:E11)</f>
        <v>#REF!</v>
      </c>
      <c r="G11" s="60" t="e">
        <f>#REF!</f>
        <v>#REF!</v>
      </c>
      <c r="H11" s="61" t="e">
        <f>SUM(#REF!)</f>
        <v>#REF!</v>
      </c>
      <c r="I11" s="61" t="e">
        <f>G11-H11</f>
        <v>#REF!</v>
      </c>
    </row>
    <row r="12" spans="1:9" x14ac:dyDescent="0.2">
      <c r="A12" s="32" t="s">
        <v>5</v>
      </c>
      <c r="B12" s="59">
        <v>0</v>
      </c>
      <c r="C12" s="59">
        <v>0</v>
      </c>
      <c r="D12" s="59" t="e">
        <f>SUM(#REF!)+#REF!</f>
        <v>#REF!</v>
      </c>
      <c r="E12" s="59" t="e">
        <f>SUM(#REF!)</f>
        <v>#REF!</v>
      </c>
      <c r="F12" s="59" t="e">
        <f t="shared" si="0"/>
        <v>#REF!</v>
      </c>
    </row>
    <row r="13" spans="1:9" x14ac:dyDescent="0.2">
      <c r="A13" s="32" t="s">
        <v>4</v>
      </c>
      <c r="B13" s="59">
        <v>0</v>
      </c>
      <c r="C13" s="59">
        <v>0</v>
      </c>
      <c r="D13" s="59">
        <v>0</v>
      </c>
      <c r="E13" s="59">
        <v>0</v>
      </c>
      <c r="F13" s="59">
        <f t="shared" si="0"/>
        <v>0</v>
      </c>
    </row>
    <row r="14" spans="1:9" x14ac:dyDescent="0.2">
      <c r="A14" s="32" t="s">
        <v>6</v>
      </c>
      <c r="B14" s="59">
        <v>0</v>
      </c>
      <c r="C14" s="59">
        <v>0</v>
      </c>
      <c r="D14" s="59">
        <v>0</v>
      </c>
      <c r="E14" s="59">
        <v>0</v>
      </c>
      <c r="F14" s="59">
        <f t="shared" si="0"/>
        <v>0</v>
      </c>
    </row>
    <row r="15" spans="1:9" x14ac:dyDescent="0.2">
      <c r="A15" s="15"/>
      <c r="B15" s="59"/>
      <c r="C15" s="59"/>
      <c r="D15" s="59"/>
      <c r="E15" s="59"/>
      <c r="F15" s="59"/>
      <c r="G15" s="67"/>
      <c r="H15" s="67"/>
      <c r="I15" s="67"/>
    </row>
    <row r="16" spans="1:9" x14ac:dyDescent="0.2">
      <c r="A16" s="55" t="s">
        <v>68</v>
      </c>
      <c r="B16" s="65" t="s">
        <v>35</v>
      </c>
      <c r="C16" s="65" t="s">
        <v>36</v>
      </c>
      <c r="D16" s="65" t="s">
        <v>37</v>
      </c>
      <c r="E16" s="65" t="s">
        <v>38</v>
      </c>
      <c r="F16" s="65" t="s">
        <v>0</v>
      </c>
      <c r="G16" s="120" t="s">
        <v>27</v>
      </c>
      <c r="H16" s="69" t="s">
        <v>81</v>
      </c>
      <c r="I16" s="65" t="s">
        <v>39</v>
      </c>
    </row>
    <row r="17" spans="1:9" x14ac:dyDescent="0.2">
      <c r="A17" s="32" t="s">
        <v>3</v>
      </c>
      <c r="B17" s="59" t="e">
        <f>#REF!</f>
        <v>#REF!</v>
      </c>
      <c r="C17" s="59" t="e">
        <f>#REF!</f>
        <v>#REF!</v>
      </c>
      <c r="D17" s="59" t="e">
        <f>#REF!</f>
        <v>#REF!</v>
      </c>
      <c r="E17" s="59" t="e">
        <f>#REF!</f>
        <v>#REF!</v>
      </c>
      <c r="F17" s="59" t="e">
        <f>SUM(B17:E17)</f>
        <v>#REF!</v>
      </c>
      <c r="G17" s="60" t="e">
        <f>#REF!</f>
        <v>#REF!</v>
      </c>
      <c r="H17" s="61" t="e">
        <f>SUM(#REF!)</f>
        <v>#REF!</v>
      </c>
      <c r="I17" s="61" t="e">
        <f>G17-H17</f>
        <v>#REF!</v>
      </c>
    </row>
    <row r="18" spans="1:9" x14ac:dyDescent="0.2">
      <c r="A18" s="32" t="s">
        <v>5</v>
      </c>
      <c r="B18" s="59" t="e">
        <f>#REF!</f>
        <v>#REF!</v>
      </c>
      <c r="C18" s="59" t="e">
        <f>#REF!</f>
        <v>#REF!</v>
      </c>
      <c r="D18" s="59" t="e">
        <f>#REF!</f>
        <v>#REF!</v>
      </c>
      <c r="E18" s="59" t="e">
        <f>#REF!</f>
        <v>#REF!</v>
      </c>
      <c r="F18" s="59" t="e">
        <f t="shared" si="0"/>
        <v>#REF!</v>
      </c>
    </row>
    <row r="19" spans="1:9" x14ac:dyDescent="0.2">
      <c r="A19" s="32" t="s">
        <v>4</v>
      </c>
      <c r="B19" s="59">
        <v>0</v>
      </c>
      <c r="C19" s="59">
        <v>0</v>
      </c>
      <c r="D19" s="59">
        <v>0</v>
      </c>
      <c r="E19" s="59">
        <v>0</v>
      </c>
      <c r="F19" s="59">
        <f t="shared" si="0"/>
        <v>0</v>
      </c>
    </row>
    <row r="20" spans="1:9" x14ac:dyDescent="0.2">
      <c r="A20" s="32" t="s">
        <v>6</v>
      </c>
      <c r="B20" s="59">
        <v>0</v>
      </c>
      <c r="C20" s="59">
        <v>0</v>
      </c>
      <c r="D20" s="59">
        <v>0</v>
      </c>
      <c r="E20" s="59">
        <v>0</v>
      </c>
      <c r="F20" s="59">
        <f t="shared" si="0"/>
        <v>0</v>
      </c>
    </row>
    <row r="21" spans="1:9" x14ac:dyDescent="0.2">
      <c r="A21" s="15"/>
      <c r="B21" s="59"/>
      <c r="C21" s="59"/>
      <c r="D21" s="59"/>
      <c r="E21" s="59"/>
      <c r="F21" s="59"/>
      <c r="G21" s="67"/>
      <c r="H21" s="67"/>
      <c r="I21" s="67"/>
    </row>
    <row r="22" spans="1:9" x14ac:dyDescent="0.2">
      <c r="A22" s="55" t="s">
        <v>83</v>
      </c>
      <c r="B22" s="65" t="s">
        <v>35</v>
      </c>
      <c r="C22" s="69" t="s">
        <v>36</v>
      </c>
      <c r="D22" s="65" t="s">
        <v>37</v>
      </c>
      <c r="E22" s="65" t="s">
        <v>38</v>
      </c>
      <c r="F22" s="65" t="s">
        <v>0</v>
      </c>
      <c r="G22" s="120" t="s">
        <v>27</v>
      </c>
      <c r="H22" s="69" t="s">
        <v>81</v>
      </c>
      <c r="I22" s="65" t="s">
        <v>39</v>
      </c>
    </row>
    <row r="23" spans="1:9" x14ac:dyDescent="0.2">
      <c r="A23" s="32" t="s">
        <v>3</v>
      </c>
      <c r="B23" s="59">
        <v>0</v>
      </c>
      <c r="C23" s="59">
        <v>0</v>
      </c>
      <c r="D23" s="59">
        <v>0</v>
      </c>
      <c r="E23" s="59">
        <v>0</v>
      </c>
      <c r="F23" s="59">
        <f>SUM(B23:E23)</f>
        <v>0</v>
      </c>
      <c r="G23" s="60">
        <v>0</v>
      </c>
      <c r="H23" s="61">
        <v>0</v>
      </c>
      <c r="I23" s="61">
        <f>G23-H23</f>
        <v>0</v>
      </c>
    </row>
    <row r="24" spans="1:9" ht="12.75" customHeight="1" x14ac:dyDescent="0.2">
      <c r="A24" s="32" t="s">
        <v>5</v>
      </c>
      <c r="B24" s="59">
        <v>0</v>
      </c>
      <c r="C24" s="59">
        <v>0</v>
      </c>
      <c r="D24" s="59">
        <v>0</v>
      </c>
      <c r="E24" s="59">
        <v>0</v>
      </c>
      <c r="F24" s="59">
        <f t="shared" si="0"/>
        <v>0</v>
      </c>
      <c r="G24" s="131"/>
      <c r="H24" s="132"/>
      <c r="I24" s="132"/>
    </row>
    <row r="25" spans="1:9" x14ac:dyDescent="0.2">
      <c r="A25" s="32" t="s">
        <v>4</v>
      </c>
      <c r="B25" s="59">
        <v>0</v>
      </c>
      <c r="C25" s="59">
        <v>0</v>
      </c>
      <c r="D25" s="59">
        <v>0</v>
      </c>
      <c r="E25" s="59">
        <v>0</v>
      </c>
      <c r="F25" s="59">
        <f t="shared" si="0"/>
        <v>0</v>
      </c>
      <c r="G25" s="133"/>
      <c r="H25" s="134"/>
      <c r="I25" s="134"/>
    </row>
    <row r="26" spans="1:9" x14ac:dyDescent="0.2">
      <c r="A26" s="32" t="s">
        <v>6</v>
      </c>
      <c r="B26" s="59">
        <v>0</v>
      </c>
      <c r="C26" s="59">
        <v>0</v>
      </c>
      <c r="D26" s="59">
        <v>0</v>
      </c>
      <c r="E26" s="59">
        <v>0</v>
      </c>
      <c r="F26" s="59">
        <f t="shared" si="0"/>
        <v>0</v>
      </c>
    </row>
    <row r="27" spans="1:9" x14ac:dyDescent="0.2">
      <c r="A27" s="15"/>
      <c r="B27" s="59"/>
      <c r="C27" s="59"/>
      <c r="D27" s="59"/>
      <c r="E27" s="59"/>
      <c r="F27" s="59"/>
      <c r="G27" s="67"/>
      <c r="H27" s="67"/>
      <c r="I27" s="67"/>
    </row>
    <row r="28" spans="1:9" x14ac:dyDescent="0.2">
      <c r="A28" s="55" t="s">
        <v>70</v>
      </c>
      <c r="B28" s="65" t="s">
        <v>35</v>
      </c>
      <c r="C28" s="65" t="s">
        <v>36</v>
      </c>
      <c r="D28" s="65" t="s">
        <v>37</v>
      </c>
      <c r="E28" s="65" t="s">
        <v>38</v>
      </c>
      <c r="F28" s="65" t="s">
        <v>0</v>
      </c>
      <c r="G28" s="120" t="s">
        <v>27</v>
      </c>
      <c r="H28" s="69" t="s">
        <v>81</v>
      </c>
      <c r="I28" s="65" t="s">
        <v>39</v>
      </c>
    </row>
    <row r="29" spans="1:9" x14ac:dyDescent="0.2">
      <c r="A29" s="32" t="s">
        <v>3</v>
      </c>
      <c r="B29" s="59">
        <v>0</v>
      </c>
      <c r="C29" s="59" t="e">
        <f>#REF!</f>
        <v>#REF!</v>
      </c>
      <c r="D29" s="59" t="e">
        <f>#REF!</f>
        <v>#REF!</v>
      </c>
      <c r="E29" s="59" t="e">
        <f>#REF!</f>
        <v>#REF!</v>
      </c>
      <c r="F29" s="59" t="e">
        <f>SUM(B29:E29)</f>
        <v>#REF!</v>
      </c>
      <c r="G29" s="60" t="e">
        <f>#REF!</f>
        <v>#REF!</v>
      </c>
      <c r="H29" s="61" t="e">
        <f>SUM(#REF!)</f>
        <v>#REF!</v>
      </c>
      <c r="I29" s="61" t="e">
        <f>G29-H29</f>
        <v>#REF!</v>
      </c>
    </row>
    <row r="30" spans="1:9" x14ac:dyDescent="0.2">
      <c r="A30" s="32" t="s">
        <v>5</v>
      </c>
      <c r="B30" s="59">
        <v>0</v>
      </c>
      <c r="C30" s="59">
        <v>0</v>
      </c>
      <c r="D30" s="59" t="e">
        <f>#REF!+#REF!</f>
        <v>#REF!</v>
      </c>
      <c r="E30" s="59" t="e">
        <f>#REF!</f>
        <v>#REF!</v>
      </c>
      <c r="F30" s="59" t="e">
        <f t="shared" si="0"/>
        <v>#REF!</v>
      </c>
      <c r="I30" s="67"/>
    </row>
    <row r="31" spans="1:9" x14ac:dyDescent="0.2">
      <c r="A31" s="32" t="s">
        <v>4</v>
      </c>
      <c r="B31" s="59" t="e">
        <f>#REF!</f>
        <v>#REF!</v>
      </c>
      <c r="C31" s="59" t="e">
        <f>#REF!</f>
        <v>#REF!</v>
      </c>
      <c r="D31" s="59" t="e">
        <f>#REF!</f>
        <v>#REF!</v>
      </c>
      <c r="E31" s="59" t="e">
        <f>#REF!</f>
        <v>#REF!</v>
      </c>
      <c r="F31" s="59" t="e">
        <f t="shared" si="0"/>
        <v>#REF!</v>
      </c>
      <c r="I31" s="67"/>
    </row>
    <row r="32" spans="1:9" x14ac:dyDescent="0.2">
      <c r="A32" s="32" t="s">
        <v>6</v>
      </c>
      <c r="B32" s="59" t="e">
        <f>#REF!</f>
        <v>#REF!</v>
      </c>
      <c r="C32" s="59" t="e">
        <f>#REF!</f>
        <v>#REF!</v>
      </c>
      <c r="D32" s="59" t="e">
        <f>#REF!</f>
        <v>#REF!</v>
      </c>
      <c r="E32" s="59" t="e">
        <f>#REF!</f>
        <v>#REF!</v>
      </c>
      <c r="F32" s="59" t="e">
        <f t="shared" si="0"/>
        <v>#REF!</v>
      </c>
    </row>
    <row r="33" spans="1:10" x14ac:dyDescent="0.2">
      <c r="A33" s="32"/>
      <c r="B33" s="59"/>
      <c r="C33" s="59"/>
      <c r="D33" s="59"/>
      <c r="E33" s="59"/>
      <c r="F33" s="59"/>
    </row>
    <row r="34" spans="1:10" x14ac:dyDescent="0.2">
      <c r="A34" s="55" t="s">
        <v>78</v>
      </c>
      <c r="B34" s="65" t="s">
        <v>35</v>
      </c>
      <c r="C34" s="65" t="s">
        <v>36</v>
      </c>
      <c r="D34" s="65" t="s">
        <v>37</v>
      </c>
      <c r="E34" s="65" t="s">
        <v>38</v>
      </c>
      <c r="F34" s="65" t="s">
        <v>0</v>
      </c>
      <c r="G34" s="120" t="s">
        <v>27</v>
      </c>
      <c r="H34" s="69" t="s">
        <v>81</v>
      </c>
      <c r="I34" s="65" t="s">
        <v>39</v>
      </c>
    </row>
    <row r="35" spans="1:10" x14ac:dyDescent="0.2">
      <c r="A35" s="32" t="s">
        <v>3</v>
      </c>
      <c r="B35" s="59">
        <v>0</v>
      </c>
      <c r="C35" s="59">
        <v>0</v>
      </c>
      <c r="D35" s="59" t="e">
        <f>#REF!</f>
        <v>#REF!</v>
      </c>
      <c r="E35" s="59" t="e">
        <f>#REF!</f>
        <v>#REF!</v>
      </c>
      <c r="F35" s="59" t="e">
        <f>SUM(B35:E35)</f>
        <v>#REF!</v>
      </c>
      <c r="G35" s="60" t="e">
        <f>#REF!</f>
        <v>#REF!</v>
      </c>
      <c r="H35" s="61" t="e">
        <f>SUM(#REF!)</f>
        <v>#REF!</v>
      </c>
      <c r="I35" s="61" t="e">
        <f>G35-H35</f>
        <v>#REF!</v>
      </c>
    </row>
    <row r="36" spans="1:10" x14ac:dyDescent="0.2">
      <c r="A36" s="32" t="s">
        <v>5</v>
      </c>
      <c r="B36" s="59">
        <v>0</v>
      </c>
      <c r="C36" s="59">
        <v>0</v>
      </c>
      <c r="D36" s="59" t="e">
        <f>#REF!+#REF!</f>
        <v>#REF!</v>
      </c>
      <c r="E36" s="59" t="e">
        <f>#REF!</f>
        <v>#REF!</v>
      </c>
      <c r="F36" s="59" t="e">
        <f t="shared" si="0"/>
        <v>#REF!</v>
      </c>
      <c r="I36" s="67"/>
    </row>
    <row r="37" spans="1:10" x14ac:dyDescent="0.2">
      <c r="A37" s="32" t="s">
        <v>4</v>
      </c>
      <c r="B37" s="59">
        <v>0</v>
      </c>
      <c r="C37" s="59">
        <v>0</v>
      </c>
      <c r="D37" s="59">
        <v>0</v>
      </c>
      <c r="E37" s="59">
        <v>0</v>
      </c>
      <c r="F37" s="59">
        <f t="shared" si="0"/>
        <v>0</v>
      </c>
      <c r="I37" s="67"/>
    </row>
    <row r="38" spans="1:10" x14ac:dyDescent="0.2">
      <c r="A38" s="32" t="s">
        <v>6</v>
      </c>
      <c r="B38" s="59">
        <v>0</v>
      </c>
      <c r="C38" s="59">
        <v>0</v>
      </c>
      <c r="D38" s="59">
        <v>0</v>
      </c>
      <c r="E38" s="59">
        <v>0</v>
      </c>
      <c r="F38" s="59">
        <f t="shared" si="0"/>
        <v>0</v>
      </c>
    </row>
    <row r="39" spans="1:10" x14ac:dyDescent="0.2">
      <c r="A39" s="32"/>
      <c r="B39" s="59"/>
      <c r="C39" s="59"/>
      <c r="D39" s="59"/>
      <c r="E39" s="59"/>
      <c r="F39" s="59"/>
    </row>
    <row r="40" spans="1:10" x14ac:dyDescent="0.2">
      <c r="A40" s="56" t="s">
        <v>69</v>
      </c>
      <c r="B40" s="65" t="s">
        <v>35</v>
      </c>
      <c r="C40" s="65" t="s">
        <v>36</v>
      </c>
      <c r="D40" s="65" t="s">
        <v>37</v>
      </c>
      <c r="E40" s="65" t="s">
        <v>38</v>
      </c>
      <c r="F40" s="65" t="s">
        <v>0</v>
      </c>
      <c r="G40" s="120" t="s">
        <v>27</v>
      </c>
      <c r="H40" s="69" t="s">
        <v>81</v>
      </c>
      <c r="I40" s="65" t="s">
        <v>39</v>
      </c>
    </row>
    <row r="41" spans="1:10" s="26" customFormat="1" x14ac:dyDescent="0.2">
      <c r="A41" s="36" t="s">
        <v>3</v>
      </c>
      <c r="B41" s="59" t="e">
        <f>#REF!</f>
        <v>#REF!</v>
      </c>
      <c r="C41" s="59" t="e">
        <f>#REF!</f>
        <v>#REF!</v>
      </c>
      <c r="D41" s="59" t="e">
        <f>#REF!</f>
        <v>#REF!</v>
      </c>
      <c r="E41" s="59" t="e">
        <f>#REF!</f>
        <v>#REF!</v>
      </c>
      <c r="F41" s="59" t="e">
        <f>SUM(B41:E41)</f>
        <v>#REF!</v>
      </c>
      <c r="G41" s="60" t="e">
        <f>#REF!</f>
        <v>#REF!</v>
      </c>
      <c r="H41" s="61" t="e">
        <f>SUM(#REF!)</f>
        <v>#REF!</v>
      </c>
      <c r="I41" s="61">
        <v>0</v>
      </c>
    </row>
    <row r="42" spans="1:10" s="26" customFormat="1" x14ac:dyDescent="0.2">
      <c r="A42" s="36" t="s">
        <v>5</v>
      </c>
      <c r="B42" s="59" t="e">
        <f>#REF!</f>
        <v>#REF!</v>
      </c>
      <c r="C42" s="59" t="e">
        <f>#REF!</f>
        <v>#REF!</v>
      </c>
      <c r="D42" s="59" t="e">
        <f>#REF!</f>
        <v>#REF!</v>
      </c>
      <c r="E42" s="59" t="e">
        <f>#REF!</f>
        <v>#REF!</v>
      </c>
      <c r="F42" s="59" t="e">
        <f t="shared" si="0"/>
        <v>#REF!</v>
      </c>
      <c r="G42" s="295" t="s">
        <v>86</v>
      </c>
      <c r="H42" s="296"/>
      <c r="I42" s="296"/>
    </row>
    <row r="43" spans="1:10" s="26" customFormat="1" x14ac:dyDescent="0.2">
      <c r="A43" s="36" t="s">
        <v>4</v>
      </c>
      <c r="B43" s="59" t="e">
        <f>#REF!</f>
        <v>#REF!</v>
      </c>
      <c r="C43" s="59" t="e">
        <f>#REF!</f>
        <v>#REF!</v>
      </c>
      <c r="D43" s="59" t="e">
        <f>#REF!</f>
        <v>#REF!</v>
      </c>
      <c r="E43" s="59" t="e">
        <f>#REF!</f>
        <v>#REF!</v>
      </c>
      <c r="F43" s="59" t="e">
        <f t="shared" si="0"/>
        <v>#REF!</v>
      </c>
      <c r="G43" s="297"/>
      <c r="H43" s="298"/>
      <c r="I43" s="298"/>
    </row>
    <row r="44" spans="1:10" s="26" customFormat="1" x14ac:dyDescent="0.2">
      <c r="A44" s="36" t="s">
        <v>6</v>
      </c>
      <c r="B44" s="59" t="e">
        <f>#REF!</f>
        <v>#REF!</v>
      </c>
      <c r="C44" s="59" t="e">
        <f>#REF!</f>
        <v>#REF!</v>
      </c>
      <c r="D44" s="59" t="e">
        <f>#REF!</f>
        <v>#REF!</v>
      </c>
      <c r="E44" s="59" t="e">
        <f>#REF!</f>
        <v>#REF!</v>
      </c>
      <c r="F44" s="59" t="e">
        <f t="shared" si="0"/>
        <v>#REF!</v>
      </c>
      <c r="G44" s="72"/>
      <c r="H44" s="72"/>
      <c r="I44" s="72"/>
    </row>
    <row r="45" spans="1:10" x14ac:dyDescent="0.2">
      <c r="A45" s="15"/>
      <c r="B45" s="59"/>
      <c r="C45" s="59"/>
      <c r="D45" s="59"/>
      <c r="E45" s="59"/>
      <c r="F45" s="59"/>
      <c r="G45" s="67"/>
      <c r="H45" s="67"/>
      <c r="I45" s="67"/>
    </row>
    <row r="46" spans="1:10" x14ac:dyDescent="0.2">
      <c r="A46" s="55" t="s">
        <v>79</v>
      </c>
      <c r="B46" s="65" t="s">
        <v>35</v>
      </c>
      <c r="C46" s="65" t="s">
        <v>36</v>
      </c>
      <c r="D46" s="65" t="s">
        <v>37</v>
      </c>
      <c r="E46" s="65" t="s">
        <v>38</v>
      </c>
      <c r="F46" s="65" t="s">
        <v>0</v>
      </c>
      <c r="G46" s="120" t="s">
        <v>27</v>
      </c>
      <c r="H46" s="69" t="s">
        <v>81</v>
      </c>
      <c r="I46" s="65" t="s">
        <v>39</v>
      </c>
    </row>
    <row r="47" spans="1:10" x14ac:dyDescent="0.2">
      <c r="A47" s="32" t="s">
        <v>3</v>
      </c>
      <c r="B47" s="59" t="e">
        <f>#REF!</f>
        <v>#REF!</v>
      </c>
      <c r="C47" s="59">
        <v>0</v>
      </c>
      <c r="D47" s="59" t="e">
        <f>SUM(#REF!)</f>
        <v>#REF!</v>
      </c>
      <c r="E47" s="59" t="e">
        <f>#REF!</f>
        <v>#REF!</v>
      </c>
      <c r="F47" s="59" t="e">
        <f>SUM(B47:E47)</f>
        <v>#REF!</v>
      </c>
      <c r="G47" s="60" t="e">
        <f>#REF!</f>
        <v>#REF!</v>
      </c>
      <c r="H47" s="61" t="e">
        <f>SUM(#REF!)</f>
        <v>#REF!</v>
      </c>
      <c r="I47" s="61" t="e">
        <f>G47-H47</f>
        <v>#REF!</v>
      </c>
      <c r="J47" s="125"/>
    </row>
    <row r="48" spans="1:10" x14ac:dyDescent="0.2">
      <c r="A48" s="32" t="s">
        <v>5</v>
      </c>
      <c r="B48" s="59">
        <v>0</v>
      </c>
      <c r="C48" s="59">
        <v>0</v>
      </c>
      <c r="D48" s="59" t="e">
        <f>SUM(#REF!)</f>
        <v>#REF!</v>
      </c>
      <c r="E48" s="59" t="e">
        <f>#REF!</f>
        <v>#REF!</v>
      </c>
      <c r="F48" s="59" t="e">
        <f t="shared" si="0"/>
        <v>#REF!</v>
      </c>
    </row>
    <row r="49" spans="1:9" x14ac:dyDescent="0.2">
      <c r="A49" s="32" t="s">
        <v>66</v>
      </c>
      <c r="B49" s="59">
        <v>0</v>
      </c>
      <c r="C49" s="59">
        <v>0</v>
      </c>
      <c r="D49" s="59">
        <v>0</v>
      </c>
      <c r="E49" s="59">
        <v>0</v>
      </c>
      <c r="F49" s="59">
        <f t="shared" si="0"/>
        <v>0</v>
      </c>
    </row>
    <row r="50" spans="1:9" x14ac:dyDescent="0.2">
      <c r="A50" s="32" t="s">
        <v>6</v>
      </c>
      <c r="B50" s="59">
        <v>0</v>
      </c>
      <c r="C50" s="59">
        <v>0</v>
      </c>
      <c r="D50" s="59">
        <v>0</v>
      </c>
      <c r="E50" s="59">
        <v>0</v>
      </c>
      <c r="F50" s="59">
        <f t="shared" si="0"/>
        <v>0</v>
      </c>
    </row>
    <row r="51" spans="1:9" x14ac:dyDescent="0.2">
      <c r="A51" s="15"/>
      <c r="B51" s="59"/>
      <c r="C51" s="59"/>
      <c r="D51" s="59"/>
      <c r="E51" s="59"/>
      <c r="F51" s="59"/>
      <c r="G51" s="67"/>
      <c r="H51" s="67"/>
      <c r="I51" s="67"/>
    </row>
    <row r="52" spans="1:9" x14ac:dyDescent="0.2">
      <c r="A52" s="7" t="s">
        <v>2</v>
      </c>
      <c r="B52" s="65" t="s">
        <v>35</v>
      </c>
      <c r="C52" s="65" t="s">
        <v>36</v>
      </c>
      <c r="D52" s="65" t="s">
        <v>37</v>
      </c>
      <c r="E52" s="65" t="s">
        <v>38</v>
      </c>
      <c r="F52" s="65" t="s">
        <v>0</v>
      </c>
      <c r="G52" s="120" t="s">
        <v>27</v>
      </c>
      <c r="H52" s="69" t="s">
        <v>81</v>
      </c>
      <c r="I52" s="65" t="s">
        <v>39</v>
      </c>
    </row>
    <row r="53" spans="1:9" x14ac:dyDescent="0.2">
      <c r="A53" s="53" t="s">
        <v>3</v>
      </c>
      <c r="B53" s="73" t="e">
        <f>B5+B11+B17+B23+B29+B35+B41+B47</f>
        <v>#REF!</v>
      </c>
      <c r="C53" s="73" t="e">
        <f t="shared" ref="C53:E53" si="1">C5+C11+C17+C23+C29+C35+C41+C47</f>
        <v>#REF!</v>
      </c>
      <c r="D53" s="73" t="e">
        <f t="shared" si="1"/>
        <v>#REF!</v>
      </c>
      <c r="E53" s="73" t="e">
        <f t="shared" si="1"/>
        <v>#REF!</v>
      </c>
      <c r="F53" s="73" t="e">
        <f>SUM(B53:E53)</f>
        <v>#REF!</v>
      </c>
      <c r="G53" s="73" t="e">
        <f>SUM(G4:G52)</f>
        <v>#REF!</v>
      </c>
      <c r="H53" s="73" t="e">
        <f>SUM(H4:H52)</f>
        <v>#REF!</v>
      </c>
      <c r="I53" s="135" t="e">
        <f>SUM(I4:I52)</f>
        <v>#REF!</v>
      </c>
    </row>
    <row r="54" spans="1:9" x14ac:dyDescent="0.2">
      <c r="A54" s="53" t="s">
        <v>5</v>
      </c>
      <c r="B54" s="73" t="e">
        <f t="shared" ref="B54:E54" si="2">B6+B12+B18+B24+B30+B36+B42+B48</f>
        <v>#REF!</v>
      </c>
      <c r="C54" s="73" t="e">
        <f t="shared" si="2"/>
        <v>#REF!</v>
      </c>
      <c r="D54" s="73" t="e">
        <f t="shared" si="2"/>
        <v>#REF!</v>
      </c>
      <c r="E54" s="73" t="e">
        <f t="shared" si="2"/>
        <v>#REF!</v>
      </c>
      <c r="F54" s="73" t="e">
        <f>SUM(B54:E54)</f>
        <v>#REF!</v>
      </c>
    </row>
    <row r="55" spans="1:9" x14ac:dyDescent="0.2">
      <c r="A55" s="53" t="s">
        <v>4</v>
      </c>
      <c r="B55" s="73" t="e">
        <f t="shared" ref="B55:E55" si="3">B7+B13+B19+B25+B31+B37+B43+B49</f>
        <v>#REF!</v>
      </c>
      <c r="C55" s="73" t="e">
        <f t="shared" si="3"/>
        <v>#REF!</v>
      </c>
      <c r="D55" s="73" t="e">
        <f t="shared" si="3"/>
        <v>#REF!</v>
      </c>
      <c r="E55" s="73" t="e">
        <f t="shared" si="3"/>
        <v>#REF!</v>
      </c>
      <c r="F55" s="73" t="e">
        <f>SUM(B55:E55)</f>
        <v>#REF!</v>
      </c>
      <c r="G55" s="75"/>
    </row>
    <row r="56" spans="1:9" x14ac:dyDescent="0.2">
      <c r="A56" s="53" t="s">
        <v>6</v>
      </c>
      <c r="B56" s="73" t="e">
        <f t="shared" ref="B56:E56" si="4">B8+B14+B20+B26+B32+B38+B44+B50</f>
        <v>#REF!</v>
      </c>
      <c r="C56" s="73" t="e">
        <f t="shared" si="4"/>
        <v>#REF!</v>
      </c>
      <c r="D56" s="73" t="e">
        <f t="shared" si="4"/>
        <v>#REF!</v>
      </c>
      <c r="E56" s="73" t="e">
        <f t="shared" si="4"/>
        <v>#REF!</v>
      </c>
      <c r="F56" s="73" t="e">
        <f>SUM(B56:E56)</f>
        <v>#REF!</v>
      </c>
      <c r="G56" s="71"/>
    </row>
    <row r="57" spans="1:9" x14ac:dyDescent="0.2">
      <c r="A57" s="24"/>
      <c r="G57" s="75"/>
    </row>
    <row r="58" spans="1:9" x14ac:dyDescent="0.2">
      <c r="A58" s="20" t="s">
        <v>31</v>
      </c>
    </row>
    <row r="59" spans="1:9" x14ac:dyDescent="0.2">
      <c r="A59" s="294" t="s">
        <v>19</v>
      </c>
      <c r="B59" s="294"/>
      <c r="C59" s="294"/>
      <c r="D59" s="294"/>
      <c r="E59" s="294"/>
      <c r="F59" s="294"/>
      <c r="G59" s="294"/>
      <c r="H59" s="294"/>
      <c r="I59" s="294"/>
    </row>
    <row r="60" spans="1:9" x14ac:dyDescent="0.2">
      <c r="A60" s="291" t="s">
        <v>20</v>
      </c>
      <c r="B60" s="291"/>
      <c r="C60" s="291"/>
      <c r="D60" s="291"/>
      <c r="E60" s="291"/>
      <c r="F60" s="291"/>
      <c r="G60" s="291"/>
      <c r="H60" s="291"/>
      <c r="I60" s="291"/>
    </row>
    <row r="61" spans="1:9" x14ac:dyDescent="0.2">
      <c r="A61" s="294" t="s">
        <v>21</v>
      </c>
      <c r="B61" s="294"/>
      <c r="C61" s="294"/>
      <c r="D61" s="294"/>
      <c r="E61" s="294"/>
      <c r="F61" s="294"/>
      <c r="G61" s="294"/>
      <c r="H61" s="294"/>
      <c r="I61" s="294"/>
    </row>
    <row r="62" spans="1:9" ht="25.5" customHeight="1" x14ac:dyDescent="0.2">
      <c r="A62" s="291" t="s">
        <v>22</v>
      </c>
      <c r="B62" s="291"/>
      <c r="C62" s="291"/>
      <c r="D62" s="291"/>
      <c r="E62" s="291"/>
      <c r="F62" s="291"/>
      <c r="G62" s="291"/>
      <c r="H62" s="291"/>
      <c r="I62" s="291"/>
    </row>
    <row r="63" spans="1:9" s="8" customFormat="1" ht="27" customHeight="1" x14ac:dyDescent="0.2">
      <c r="A63" s="289" t="s">
        <v>23</v>
      </c>
      <c r="B63" s="289"/>
      <c r="C63" s="289"/>
      <c r="D63" s="289"/>
      <c r="E63" s="289"/>
      <c r="F63" s="289"/>
      <c r="G63" s="289"/>
      <c r="H63" s="289"/>
      <c r="I63" s="289"/>
    </row>
    <row r="64" spans="1:9" x14ac:dyDescent="0.2">
      <c r="A64" s="289" t="s">
        <v>58</v>
      </c>
      <c r="B64" s="289"/>
      <c r="C64" s="289"/>
      <c r="D64" s="289"/>
      <c r="E64" s="289"/>
      <c r="F64" s="289"/>
      <c r="G64" s="289"/>
      <c r="H64" s="289"/>
      <c r="I64" s="289"/>
    </row>
    <row r="65" spans="1:9" ht="25.5" customHeight="1" x14ac:dyDescent="0.2">
      <c r="A65" s="289" t="s">
        <v>34</v>
      </c>
      <c r="B65" s="289"/>
      <c r="C65" s="289"/>
      <c r="D65" s="289"/>
      <c r="E65" s="289"/>
      <c r="F65" s="289"/>
      <c r="G65" s="289"/>
      <c r="H65" s="289"/>
      <c r="I65" s="289"/>
    </row>
    <row r="66" spans="1:9" x14ac:dyDescent="0.2">
      <c r="A66" s="290" t="s">
        <v>30</v>
      </c>
      <c r="B66" s="290"/>
      <c r="C66" s="290"/>
      <c r="D66" s="290"/>
      <c r="E66" s="290"/>
      <c r="F66" s="290"/>
      <c r="G66" s="290"/>
      <c r="H66" s="290"/>
      <c r="I66" s="290"/>
    </row>
    <row r="67" spans="1:9" x14ac:dyDescent="0.2">
      <c r="A67" s="119"/>
    </row>
    <row r="68" spans="1:9" ht="14.25" x14ac:dyDescent="0.2">
      <c r="A68" s="118"/>
    </row>
  </sheetData>
  <mergeCells count="10">
    <mergeCell ref="A65:I65"/>
    <mergeCell ref="A66:I66"/>
    <mergeCell ref="A63:I63"/>
    <mergeCell ref="A62:I62"/>
    <mergeCell ref="A1:F1"/>
    <mergeCell ref="A60:I60"/>
    <mergeCell ref="A59:I59"/>
    <mergeCell ref="A64:I64"/>
    <mergeCell ref="A61:I61"/>
    <mergeCell ref="G42:I43"/>
  </mergeCells>
  <phoneticPr fontId="3" type="noConversion"/>
  <printOptions horizontalCentered="1"/>
  <pageMargins left="0.5" right="0.5" top="1" bottom="0.89" header="0.5" footer="0.5"/>
  <pageSetup scale="58" orientation="portrait" r:id="rId1"/>
  <headerFooter alignWithMargins="0">
    <oddFooter>Page &amp;P of &amp;N</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2"/>
  <sheetViews>
    <sheetView zoomScale="85" zoomScaleNormal="85" workbookViewId="0"/>
  </sheetViews>
  <sheetFormatPr defaultColWidth="9.140625" defaultRowHeight="12.75" x14ac:dyDescent="0.2"/>
  <cols>
    <col min="1" max="1" width="15.57031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8" ht="51" x14ac:dyDescent="0.2">
      <c r="A1" s="187" t="s">
        <v>18</v>
      </c>
      <c r="B1" s="3" t="s">
        <v>8</v>
      </c>
      <c r="C1" s="187" t="s">
        <v>7</v>
      </c>
      <c r="D1" s="187" t="s">
        <v>1</v>
      </c>
      <c r="E1" s="187" t="s">
        <v>24</v>
      </c>
      <c r="F1" s="3" t="s">
        <v>0</v>
      </c>
      <c r="H1"/>
    </row>
    <row r="2" spans="1:8" ht="12.75" customHeight="1" x14ac:dyDescent="0.2">
      <c r="A2" s="4">
        <v>1</v>
      </c>
      <c r="B2" s="265">
        <v>41605</v>
      </c>
      <c r="C2" s="205">
        <f>16891833</f>
        <v>16891833</v>
      </c>
      <c r="D2" s="10">
        <v>0</v>
      </c>
      <c r="E2" s="10">
        <v>0</v>
      </c>
      <c r="F2" s="29">
        <f>SUM(C2:E2)</f>
        <v>16891833</v>
      </c>
      <c r="H2"/>
    </row>
    <row r="3" spans="1:8" ht="12.75" customHeight="1" x14ac:dyDescent="0.2">
      <c r="A3" s="4">
        <v>2</v>
      </c>
      <c r="B3" s="265" t="s">
        <v>93</v>
      </c>
      <c r="C3" s="205">
        <v>0</v>
      </c>
      <c r="D3" s="205">
        <v>0</v>
      </c>
      <c r="E3" s="205">
        <v>0</v>
      </c>
      <c r="F3" s="29">
        <f t="shared" ref="F3:F25" si="0">SUM(C3:E3)</f>
        <v>0</v>
      </c>
      <c r="H3"/>
    </row>
    <row r="4" spans="1:8" ht="12.75" customHeight="1" x14ac:dyDescent="0.2">
      <c r="A4" s="4">
        <v>3</v>
      </c>
      <c r="B4" s="265" t="s">
        <v>93</v>
      </c>
      <c r="C4" s="205">
        <v>0</v>
      </c>
      <c r="D4" s="205">
        <v>0</v>
      </c>
      <c r="E4" s="205">
        <v>0</v>
      </c>
      <c r="F4" s="29">
        <f t="shared" si="0"/>
        <v>0</v>
      </c>
      <c r="H4"/>
    </row>
    <row r="5" spans="1:8" ht="12.75" customHeight="1" x14ac:dyDescent="0.2">
      <c r="A5" s="4">
        <v>4</v>
      </c>
      <c r="B5" s="265" t="s">
        <v>93</v>
      </c>
      <c r="C5" s="205">
        <v>0</v>
      </c>
      <c r="D5" s="205">
        <v>0</v>
      </c>
      <c r="E5" s="205">
        <v>0</v>
      </c>
      <c r="F5" s="29">
        <f t="shared" si="0"/>
        <v>0</v>
      </c>
      <c r="H5"/>
    </row>
    <row r="6" spans="1:8" ht="12.75" customHeight="1" x14ac:dyDescent="0.2">
      <c r="A6" s="4">
        <v>5</v>
      </c>
      <c r="B6" s="265" t="s">
        <v>93</v>
      </c>
      <c r="C6" s="205">
        <v>0</v>
      </c>
      <c r="D6" s="205">
        <v>0</v>
      </c>
      <c r="E6" s="205">
        <v>0</v>
      </c>
      <c r="F6" s="29">
        <f t="shared" si="0"/>
        <v>0</v>
      </c>
      <c r="H6"/>
    </row>
    <row r="7" spans="1:8" ht="12.75" customHeight="1" x14ac:dyDescent="0.2">
      <c r="A7" s="4">
        <v>6</v>
      </c>
      <c r="B7" s="265" t="s">
        <v>93</v>
      </c>
      <c r="C7" s="205">
        <v>0</v>
      </c>
      <c r="D7" s="205">
        <v>0</v>
      </c>
      <c r="E7" s="205">
        <v>0</v>
      </c>
      <c r="F7" s="29">
        <f t="shared" si="0"/>
        <v>0</v>
      </c>
      <c r="H7"/>
    </row>
    <row r="8" spans="1:8" ht="12.75" customHeight="1" x14ac:dyDescent="0.2">
      <c r="A8" s="4">
        <v>7</v>
      </c>
      <c r="B8" s="265" t="s">
        <v>93</v>
      </c>
      <c r="C8" s="205">
        <v>0</v>
      </c>
      <c r="D8" s="205">
        <v>0</v>
      </c>
      <c r="E8" s="205">
        <v>0</v>
      </c>
      <c r="F8" s="29">
        <f t="shared" si="0"/>
        <v>0</v>
      </c>
      <c r="H8"/>
    </row>
    <row r="9" spans="1:8" ht="12.75" customHeight="1" x14ac:dyDescent="0.2">
      <c r="A9" s="4">
        <v>8</v>
      </c>
      <c r="B9" s="265" t="s">
        <v>93</v>
      </c>
      <c r="C9" s="205">
        <v>0</v>
      </c>
      <c r="D9" s="205">
        <v>0</v>
      </c>
      <c r="E9" s="205">
        <v>0</v>
      </c>
      <c r="F9" s="29">
        <f t="shared" si="0"/>
        <v>0</v>
      </c>
      <c r="H9"/>
    </row>
    <row r="10" spans="1:8" ht="12.75" customHeight="1" x14ac:dyDescent="0.2">
      <c r="A10" s="4">
        <v>9</v>
      </c>
      <c r="B10" s="265" t="s">
        <v>93</v>
      </c>
      <c r="C10" s="205">
        <v>0</v>
      </c>
      <c r="D10" s="205">
        <v>0</v>
      </c>
      <c r="E10" s="205">
        <v>0</v>
      </c>
      <c r="F10" s="29">
        <f t="shared" si="0"/>
        <v>0</v>
      </c>
      <c r="H10"/>
    </row>
    <row r="11" spans="1:8" ht="12.75" customHeight="1" x14ac:dyDescent="0.2">
      <c r="A11" s="4">
        <v>10</v>
      </c>
      <c r="B11" s="265" t="s">
        <v>93</v>
      </c>
      <c r="C11" s="205">
        <v>0</v>
      </c>
      <c r="D11" s="205">
        <v>0</v>
      </c>
      <c r="E11" s="205">
        <v>0</v>
      </c>
      <c r="F11" s="29">
        <f t="shared" si="0"/>
        <v>0</v>
      </c>
      <c r="H11"/>
    </row>
    <row r="12" spans="1:8" ht="12.75" customHeight="1" x14ac:dyDescent="0.2">
      <c r="A12" s="4">
        <v>11</v>
      </c>
      <c r="B12" s="265" t="s">
        <v>93</v>
      </c>
      <c r="C12" s="205">
        <v>0</v>
      </c>
      <c r="D12" s="205">
        <v>0</v>
      </c>
      <c r="E12" s="205">
        <v>0</v>
      </c>
      <c r="F12" s="29">
        <f t="shared" si="0"/>
        <v>0</v>
      </c>
      <c r="H12"/>
    </row>
    <row r="13" spans="1:8" ht="12.75" customHeight="1" x14ac:dyDescent="0.2">
      <c r="A13" s="4">
        <v>12</v>
      </c>
      <c r="B13" s="265" t="s">
        <v>93</v>
      </c>
      <c r="C13" s="205">
        <v>0</v>
      </c>
      <c r="D13" s="205">
        <v>0</v>
      </c>
      <c r="E13" s="205">
        <v>0</v>
      </c>
      <c r="F13" s="29">
        <f t="shared" si="0"/>
        <v>0</v>
      </c>
      <c r="H13"/>
    </row>
    <row r="14" spans="1:8" ht="12.75" customHeight="1" x14ac:dyDescent="0.2">
      <c r="A14" s="4">
        <v>13</v>
      </c>
      <c r="B14" s="265" t="s">
        <v>93</v>
      </c>
      <c r="C14" s="205">
        <v>0</v>
      </c>
      <c r="D14" s="205">
        <v>0</v>
      </c>
      <c r="E14" s="205">
        <v>0</v>
      </c>
      <c r="F14" s="29">
        <f t="shared" si="0"/>
        <v>0</v>
      </c>
      <c r="H14"/>
    </row>
    <row r="15" spans="1:8" ht="12.75" customHeight="1" x14ac:dyDescent="0.2">
      <c r="A15" s="4">
        <v>14</v>
      </c>
      <c r="B15" s="265" t="s">
        <v>93</v>
      </c>
      <c r="C15" s="205">
        <v>0</v>
      </c>
      <c r="D15" s="205">
        <v>0</v>
      </c>
      <c r="E15" s="205">
        <v>0</v>
      </c>
      <c r="F15" s="29">
        <f t="shared" si="0"/>
        <v>0</v>
      </c>
      <c r="H15"/>
    </row>
    <row r="16" spans="1:8" ht="12.75" customHeight="1" x14ac:dyDescent="0.2">
      <c r="A16" s="4">
        <v>15</v>
      </c>
      <c r="B16" s="265" t="s">
        <v>93</v>
      </c>
      <c r="C16" s="205">
        <v>0</v>
      </c>
      <c r="D16" s="205">
        <v>0</v>
      </c>
      <c r="E16" s="205">
        <v>0</v>
      </c>
      <c r="F16" s="29">
        <f t="shared" si="0"/>
        <v>0</v>
      </c>
      <c r="H16"/>
    </row>
    <row r="17" spans="1:11" ht="12.75" customHeight="1" x14ac:dyDescent="0.2">
      <c r="A17" s="4">
        <v>16</v>
      </c>
      <c r="B17" s="265" t="s">
        <v>93</v>
      </c>
      <c r="C17" s="205">
        <v>0</v>
      </c>
      <c r="D17" s="205">
        <v>0</v>
      </c>
      <c r="E17" s="205">
        <v>0</v>
      </c>
      <c r="F17" s="29">
        <f t="shared" si="0"/>
        <v>0</v>
      </c>
      <c r="H17"/>
    </row>
    <row r="18" spans="1:11" ht="12.75" customHeight="1" x14ac:dyDescent="0.2">
      <c r="A18" s="4">
        <v>17</v>
      </c>
      <c r="B18" s="265" t="s">
        <v>93</v>
      </c>
      <c r="C18" s="205">
        <v>0</v>
      </c>
      <c r="D18" s="205">
        <v>0</v>
      </c>
      <c r="E18" s="205">
        <v>0</v>
      </c>
      <c r="F18" s="29">
        <f t="shared" si="0"/>
        <v>0</v>
      </c>
      <c r="H18"/>
    </row>
    <row r="19" spans="1:11" ht="12.75" customHeight="1" x14ac:dyDescent="0.2">
      <c r="A19" s="4">
        <v>18</v>
      </c>
      <c r="B19" s="265" t="s">
        <v>93</v>
      </c>
      <c r="C19" s="205">
        <v>0</v>
      </c>
      <c r="D19" s="205">
        <v>0</v>
      </c>
      <c r="E19" s="205">
        <v>0</v>
      </c>
      <c r="F19" s="29">
        <f t="shared" si="0"/>
        <v>0</v>
      </c>
      <c r="H19"/>
    </row>
    <row r="20" spans="1:11" ht="12.75" customHeight="1" x14ac:dyDescent="0.2">
      <c r="A20" s="4">
        <v>19</v>
      </c>
      <c r="B20" s="265" t="s">
        <v>93</v>
      </c>
      <c r="C20" s="205">
        <v>0</v>
      </c>
      <c r="D20" s="205">
        <v>0</v>
      </c>
      <c r="E20" s="205">
        <v>0</v>
      </c>
      <c r="F20" s="29">
        <f t="shared" si="0"/>
        <v>0</v>
      </c>
      <c r="H20"/>
    </row>
    <row r="21" spans="1:11" ht="12.75" customHeight="1" x14ac:dyDescent="0.2">
      <c r="A21" s="4">
        <v>20</v>
      </c>
      <c r="B21" s="265" t="s">
        <v>93</v>
      </c>
      <c r="C21" s="205">
        <v>0</v>
      </c>
      <c r="D21" s="205">
        <v>0</v>
      </c>
      <c r="E21" s="205">
        <v>0</v>
      </c>
      <c r="F21" s="29">
        <f t="shared" si="0"/>
        <v>0</v>
      </c>
      <c r="H21"/>
    </row>
    <row r="22" spans="1:11" ht="12.75" customHeight="1" x14ac:dyDescent="0.2">
      <c r="A22" s="4">
        <v>21</v>
      </c>
      <c r="B22" s="265" t="s">
        <v>93</v>
      </c>
      <c r="C22" s="205">
        <v>0</v>
      </c>
      <c r="D22" s="205">
        <v>0</v>
      </c>
      <c r="E22" s="205">
        <v>0</v>
      </c>
      <c r="F22" s="29">
        <f t="shared" si="0"/>
        <v>0</v>
      </c>
      <c r="H22"/>
    </row>
    <row r="23" spans="1:11" ht="12.75" customHeight="1" x14ac:dyDescent="0.2">
      <c r="A23" s="4">
        <v>22</v>
      </c>
      <c r="B23" s="265" t="s">
        <v>93</v>
      </c>
      <c r="C23" s="205">
        <v>0</v>
      </c>
      <c r="D23" s="205">
        <v>0</v>
      </c>
      <c r="E23" s="205">
        <v>0</v>
      </c>
      <c r="F23" s="29">
        <f t="shared" si="0"/>
        <v>0</v>
      </c>
      <c r="H23"/>
    </row>
    <row r="24" spans="1:11" ht="12.75" customHeight="1" x14ac:dyDescent="0.2">
      <c r="A24" s="4">
        <v>23</v>
      </c>
      <c r="B24" s="265" t="s">
        <v>93</v>
      </c>
      <c r="C24" s="205">
        <v>0</v>
      </c>
      <c r="D24" s="205">
        <v>0</v>
      </c>
      <c r="E24" s="205">
        <v>0</v>
      </c>
      <c r="F24" s="29">
        <f t="shared" si="0"/>
        <v>0</v>
      </c>
      <c r="H24"/>
    </row>
    <row r="25" spans="1:11" ht="12.75" customHeight="1" x14ac:dyDescent="0.2">
      <c r="A25" s="4">
        <v>24</v>
      </c>
      <c r="B25" s="265" t="s">
        <v>93</v>
      </c>
      <c r="C25" s="205">
        <v>0</v>
      </c>
      <c r="D25" s="205">
        <v>0</v>
      </c>
      <c r="E25" s="205">
        <v>0</v>
      </c>
      <c r="F25" s="29">
        <f t="shared" si="0"/>
        <v>0</v>
      </c>
      <c r="H25"/>
    </row>
    <row r="26" spans="1:11" ht="12.75" customHeight="1" x14ac:dyDescent="0.2">
      <c r="B26" s="187" t="s">
        <v>0</v>
      </c>
      <c r="C26" s="57">
        <f>SUM(C2:C25)</f>
        <v>16891833</v>
      </c>
      <c r="D26" s="57">
        <f t="shared" ref="D26:F26" si="1">SUM(D2:D25)</f>
        <v>0</v>
      </c>
      <c r="E26" s="57">
        <f t="shared" si="1"/>
        <v>0</v>
      </c>
      <c r="F26" s="57">
        <f t="shared" si="1"/>
        <v>16891833</v>
      </c>
      <c r="H26"/>
    </row>
    <row r="27" spans="1:11" ht="12.75" customHeight="1" x14ac:dyDescent="0.2">
      <c r="B27" s="187"/>
      <c r="C27" s="57"/>
      <c r="D27" s="57"/>
      <c r="E27" s="57"/>
      <c r="F27" s="57"/>
      <c r="H27"/>
    </row>
    <row r="28" spans="1:11" x14ac:dyDescent="0.2">
      <c r="A28" s="247" t="s">
        <v>123</v>
      </c>
      <c r="B28" s="137" t="s">
        <v>93</v>
      </c>
      <c r="C28" s="30">
        <v>1000000</v>
      </c>
      <c r="D28" s="30">
        <v>0</v>
      </c>
      <c r="E28" s="30">
        <v>0</v>
      </c>
      <c r="F28" s="30">
        <f>SUM(C28:E28)</f>
        <v>1000000</v>
      </c>
      <c r="H28"/>
    </row>
    <row r="29" spans="1:11" ht="13.15" customHeight="1" thickBot="1" x14ac:dyDescent="0.25">
      <c r="B29" s="271" t="s">
        <v>124</v>
      </c>
      <c r="C29" s="270">
        <f>C28+C26</f>
        <v>17891833</v>
      </c>
      <c r="D29" s="270"/>
      <c r="E29" s="270"/>
      <c r="F29" s="270">
        <f>F28+F26</f>
        <v>17891833</v>
      </c>
      <c r="H29"/>
      <c r="I29" s="197"/>
      <c r="J29" s="197"/>
      <c r="K29" s="197"/>
    </row>
    <row r="30" spans="1:11" ht="13.15" customHeight="1" thickTop="1" x14ac:dyDescent="0.2">
      <c r="B30" s="187"/>
      <c r="C30" s="57"/>
      <c r="D30" s="57"/>
      <c r="E30" s="57"/>
      <c r="F30" s="57"/>
      <c r="H30" s="269"/>
      <c r="I30" s="197"/>
      <c r="J30" s="197"/>
      <c r="K30" s="197"/>
    </row>
    <row r="31" spans="1:11" x14ac:dyDescent="0.2">
      <c r="C31" s="187" t="s">
        <v>43</v>
      </c>
      <c r="D31" s="187" t="s">
        <v>42</v>
      </c>
      <c r="G31"/>
      <c r="H31"/>
      <c r="I31"/>
      <c r="J31"/>
      <c r="K31"/>
    </row>
    <row r="32" spans="1:11" x14ac:dyDescent="0.2">
      <c r="B32" s="186" t="s">
        <v>26</v>
      </c>
      <c r="C32" s="188">
        <v>41306</v>
      </c>
      <c r="D32" s="188">
        <v>41278</v>
      </c>
      <c r="G32"/>
      <c r="H32"/>
      <c r="I32"/>
      <c r="J32"/>
      <c r="K32"/>
    </row>
    <row r="33" spans="1:11" x14ac:dyDescent="0.2">
      <c r="B33" s="186" t="s">
        <v>84</v>
      </c>
      <c r="C33" s="188">
        <v>41426</v>
      </c>
      <c r="D33" s="188">
        <v>41465</v>
      </c>
      <c r="G33"/>
      <c r="H33"/>
      <c r="I33"/>
      <c r="J33"/>
      <c r="K33"/>
    </row>
    <row r="34" spans="1:11" ht="13.5" thickBot="1" x14ac:dyDescent="0.25">
      <c r="B34" s="186"/>
      <c r="C34" s="17"/>
      <c r="D34" s="127"/>
      <c r="G34"/>
      <c r="H34"/>
      <c r="I34"/>
      <c r="J34"/>
      <c r="K34"/>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66"/>
      <c r="B37" s="267">
        <f>$D$32</f>
        <v>41278</v>
      </c>
      <c r="C37" s="267">
        <f>DATE(YEAR(B37),IF(MONTH(B37)&lt;=3,3,IF(MONTH(B37)&lt;=6,6,IF(MONTH(B37)&lt;=9,9,12))),IF(OR(MONTH(B37)&lt;=3,MONTH(B37)&gt;=10),31,30))</f>
        <v>41364</v>
      </c>
      <c r="D37" s="268">
        <f>C37-B37+1</f>
        <v>87</v>
      </c>
      <c r="E37" s="259">
        <f>VLOOKUP(C37,'FERC Interest Rate'!$A:$B,2,TRUE)</f>
        <v>3.2500000000000001E-2</v>
      </c>
      <c r="F37" s="254">
        <f>$C$26</f>
        <v>16891833</v>
      </c>
      <c r="G37" s="273">
        <v>0</v>
      </c>
      <c r="H37" s="273">
        <v>0</v>
      </c>
      <c r="I37" s="254">
        <f>F37*E37*(D37/(DATE(YEAR(C37),12,31)-DATE(YEAR(C37),1,1)+1))</f>
        <v>130853.85700684931</v>
      </c>
      <c r="J37" s="254">
        <v>0</v>
      </c>
      <c r="K37" s="255">
        <f>F37+I37-H37-J37</f>
        <v>17022686.857006848</v>
      </c>
    </row>
    <row r="38" spans="1:11" x14ac:dyDescent="0.2">
      <c r="A38" s="256"/>
      <c r="B38" s="257">
        <f>C37+1</f>
        <v>41365</v>
      </c>
      <c r="C38" s="257">
        <f>EOMONTH(C37,3)</f>
        <v>41455</v>
      </c>
      <c r="D38" s="258">
        <f t="shared" ref="D38:D58" si="2">C38-B38+1</f>
        <v>91</v>
      </c>
      <c r="E38" s="259">
        <f>VLOOKUP(C38,'FERC Interest Rate'!$A:$B,2,TRUE)</f>
        <v>3.2500000000000001E-2</v>
      </c>
      <c r="F38" s="260">
        <f>K37</f>
        <v>17022686.857006848</v>
      </c>
      <c r="G38" s="273">
        <v>0</v>
      </c>
      <c r="H38" s="272">
        <v>0</v>
      </c>
      <c r="I38" s="254">
        <f t="shared" ref="I38:I39" si="3">F38*E38*(D38/(DATE(YEAR(C38),12,31)-DATE(YEAR(C38),1,1)+1))</f>
        <v>137930.40103999386</v>
      </c>
      <c r="J38" s="260">
        <v>0</v>
      </c>
      <c r="K38" s="255">
        <f t="shared" ref="K38:K58" si="4">F38+I38-H38-J38</f>
        <v>17160617.258046843</v>
      </c>
    </row>
    <row r="39" spans="1:11" x14ac:dyDescent="0.2">
      <c r="A39" s="156"/>
      <c r="B39" s="167">
        <f t="shared" ref="B39:B42" si="5">C38+1</f>
        <v>41456</v>
      </c>
      <c r="C39" s="167">
        <f t="shared" ref="C39:C58" si="6">EOMONTH(C38,3)</f>
        <v>41547</v>
      </c>
      <c r="D39" s="142">
        <f t="shared" ref="D39:D42" si="7">C39-B39+1</f>
        <v>92</v>
      </c>
      <c r="E39" s="160">
        <f>VLOOKUP(C39,'FERC Interest Rate'!$A:$B,2,TRUE)</f>
        <v>3.2500000000000001E-2</v>
      </c>
      <c r="F39" s="148">
        <f t="shared" ref="F39:F42" si="8">K38</f>
        <v>17160617.258046843</v>
      </c>
      <c r="G39" s="273">
        <v>0</v>
      </c>
      <c r="H39" s="147">
        <f>$C$2/20</f>
        <v>844591.65</v>
      </c>
      <c r="I39" s="254">
        <f t="shared" si="3"/>
        <v>140576.01534673991</v>
      </c>
      <c r="J39" s="148">
        <f>SUM($I$37:$I$58)/20</f>
        <v>20468.013669679152</v>
      </c>
      <c r="K39" s="130">
        <f t="shared" ref="K39:K41" si="9">F39+I39-H39-J39</f>
        <v>16436133.609723903</v>
      </c>
    </row>
    <row r="40" spans="1:11" x14ac:dyDescent="0.2">
      <c r="A40" s="156"/>
      <c r="B40" s="167">
        <f t="shared" si="5"/>
        <v>41548</v>
      </c>
      <c r="C40" s="167">
        <f t="shared" si="6"/>
        <v>41639</v>
      </c>
      <c r="D40" s="142">
        <f t="shared" si="7"/>
        <v>92</v>
      </c>
      <c r="E40" s="160">
        <f>VLOOKUP(C40,'FERC Interest Rate'!$A:$B,2,TRUE)</f>
        <v>3.2500000000000001E-2</v>
      </c>
      <c r="F40" s="148">
        <f t="shared" si="8"/>
        <v>16436133.609723903</v>
      </c>
      <c r="G40" s="147">
        <f>F40*E40*(D40/(DATE(YEAR(C40),12,31)-DATE(YEAR(C40),1,1)+1))</f>
        <v>134641.20409061501</v>
      </c>
      <c r="H40" s="147">
        <f>$C$2/20</f>
        <v>844591.65</v>
      </c>
      <c r="I40" s="148">
        <v>0</v>
      </c>
      <c r="J40" s="148">
        <f>SUM($I$37:$I$58)/20</f>
        <v>20468.013669679152</v>
      </c>
      <c r="K40" s="130">
        <f t="shared" si="9"/>
        <v>15571073.946054224</v>
      </c>
    </row>
    <row r="41" spans="1:11" x14ac:dyDescent="0.2">
      <c r="A41" s="156"/>
      <c r="B41" s="167">
        <f t="shared" si="5"/>
        <v>41640</v>
      </c>
      <c r="C41" s="167">
        <f t="shared" si="6"/>
        <v>41729</v>
      </c>
      <c r="D41" s="142">
        <f t="shared" si="7"/>
        <v>90</v>
      </c>
      <c r="E41" s="160">
        <f>VLOOKUP(C41,'FERC Interest Rate'!$A:$B,2,TRUE)</f>
        <v>3.2500000000000001E-2</v>
      </c>
      <c r="F41" s="148">
        <f t="shared" si="8"/>
        <v>15571073.946054224</v>
      </c>
      <c r="G41" s="147">
        <f t="shared" ref="G41:G42" si="10">F41*E41*(D41/(DATE(YEAR(C41),12,31)-DATE(YEAR(C41),1,1)+1))</f>
        <v>124781.89395125645</v>
      </c>
      <c r="H41" s="147">
        <f>$C$2/20</f>
        <v>844591.65</v>
      </c>
      <c r="I41" s="148">
        <v>0</v>
      </c>
      <c r="J41" s="148">
        <f t="shared" ref="J41:J58" si="11">SUM($I$37:$I$58)/20</f>
        <v>20468.013669679152</v>
      </c>
      <c r="K41" s="130">
        <f t="shared" si="9"/>
        <v>14706014.282384545</v>
      </c>
    </row>
    <row r="42" spans="1:11" x14ac:dyDescent="0.2">
      <c r="A42" s="156"/>
      <c r="B42" s="167">
        <f t="shared" si="5"/>
        <v>41730</v>
      </c>
      <c r="C42" s="167">
        <f t="shared" si="6"/>
        <v>41820</v>
      </c>
      <c r="D42" s="142">
        <f t="shared" si="7"/>
        <v>91</v>
      </c>
      <c r="E42" s="160">
        <f>VLOOKUP(C42,'FERC Interest Rate'!$A:$B,2,TRUE)</f>
        <v>3.2500000000000001E-2</v>
      </c>
      <c r="F42" s="148">
        <f t="shared" si="8"/>
        <v>14706014.282384545</v>
      </c>
      <c r="G42" s="147">
        <f t="shared" si="10"/>
        <v>119159.00613740354</v>
      </c>
      <c r="H42" s="147">
        <f>($C$29)/20+(50000*3)</f>
        <v>1044591.65</v>
      </c>
      <c r="I42" s="148">
        <v>0</v>
      </c>
      <c r="J42" s="148">
        <f t="shared" si="11"/>
        <v>20468.013669679152</v>
      </c>
      <c r="K42" s="130">
        <f>F42+I42-H42-J42+1000000</f>
        <v>14640954.618714865</v>
      </c>
    </row>
    <row r="43" spans="1:11" x14ac:dyDescent="0.2">
      <c r="A43" s="156"/>
      <c r="B43" s="167">
        <f t="shared" ref="B43:B58" si="12">C42+1</f>
        <v>41821</v>
      </c>
      <c r="C43" s="167">
        <f t="shared" si="6"/>
        <v>41912</v>
      </c>
      <c r="D43" s="142">
        <f t="shared" si="2"/>
        <v>92</v>
      </c>
      <c r="E43" s="160">
        <f>VLOOKUP(C43,'FERC Interest Rate'!$A:$B,2,TRUE)</f>
        <v>3.2500000000000001E-2</v>
      </c>
      <c r="F43" s="148">
        <f t="shared" ref="F43:F58" si="13">K42</f>
        <v>14640954.618714865</v>
      </c>
      <c r="G43" s="147">
        <f t="shared" ref="G43:G58" si="14">F43*E43*(D43/(DATE(YEAR(C43),12,31)-DATE(YEAR(C43),1,1)+1))</f>
        <v>119935.4912601574</v>
      </c>
      <c r="H43" s="147">
        <f>($C$29)/20</f>
        <v>894591.65</v>
      </c>
      <c r="I43" s="148">
        <v>0</v>
      </c>
      <c r="J43" s="148">
        <f t="shared" si="11"/>
        <v>20468.013669679152</v>
      </c>
      <c r="K43" s="130">
        <f t="shared" si="4"/>
        <v>13725894.955045186</v>
      </c>
    </row>
    <row r="44" spans="1:11" x14ac:dyDescent="0.2">
      <c r="A44" s="156"/>
      <c r="B44" s="167">
        <f t="shared" si="12"/>
        <v>41913</v>
      </c>
      <c r="C44" s="167">
        <f t="shared" si="6"/>
        <v>42004</v>
      </c>
      <c r="D44" s="142">
        <f t="shared" si="2"/>
        <v>92</v>
      </c>
      <c r="E44" s="160">
        <f>VLOOKUP(C44,'FERC Interest Rate'!$A:$B,2,TRUE)</f>
        <v>3.2500000000000001E-2</v>
      </c>
      <c r="F44" s="148">
        <f t="shared" si="13"/>
        <v>13725894.955045186</v>
      </c>
      <c r="G44" s="147">
        <f t="shared" si="14"/>
        <v>112439.52305639756</v>
      </c>
      <c r="H44" s="147">
        <f t="shared" ref="H44:H58" si="15">($C$29)/20</f>
        <v>894591.65</v>
      </c>
      <c r="I44" s="148">
        <v>0</v>
      </c>
      <c r="J44" s="148">
        <f t="shared" si="11"/>
        <v>20468.013669679152</v>
      </c>
      <c r="K44" s="130">
        <f t="shared" si="4"/>
        <v>12810835.291375507</v>
      </c>
    </row>
    <row r="45" spans="1:11" x14ac:dyDescent="0.2">
      <c r="A45" s="156"/>
      <c r="B45" s="167">
        <f t="shared" si="12"/>
        <v>42005</v>
      </c>
      <c r="C45" s="167">
        <f t="shared" si="6"/>
        <v>42094</v>
      </c>
      <c r="D45" s="142">
        <f t="shared" si="2"/>
        <v>90</v>
      </c>
      <c r="E45" s="160">
        <f>VLOOKUP(C45,'FERC Interest Rate'!$A:$B,2,TRUE)</f>
        <v>3.2500000000000001E-2</v>
      </c>
      <c r="F45" s="148">
        <f t="shared" si="13"/>
        <v>12810835.291375507</v>
      </c>
      <c r="G45" s="147">
        <f t="shared" si="14"/>
        <v>102662.17322540646</v>
      </c>
      <c r="H45" s="147">
        <f t="shared" si="15"/>
        <v>894591.65</v>
      </c>
      <c r="I45" s="148">
        <v>0</v>
      </c>
      <c r="J45" s="148">
        <f t="shared" si="11"/>
        <v>20468.013669679152</v>
      </c>
      <c r="K45" s="130">
        <f t="shared" si="4"/>
        <v>11895775.627705827</v>
      </c>
    </row>
    <row r="46" spans="1:11" x14ac:dyDescent="0.2">
      <c r="A46" s="156"/>
      <c r="B46" s="167">
        <f t="shared" si="12"/>
        <v>42095</v>
      </c>
      <c r="C46" s="167">
        <f t="shared" si="6"/>
        <v>42185</v>
      </c>
      <c r="D46" s="142">
        <f t="shared" si="2"/>
        <v>91</v>
      </c>
      <c r="E46" s="160">
        <f>VLOOKUP(C46,'FERC Interest Rate'!$A:$B,2,TRUE)</f>
        <v>3.2500000000000001E-2</v>
      </c>
      <c r="F46" s="148">
        <f t="shared" si="13"/>
        <v>11895775.627705827</v>
      </c>
      <c r="G46" s="147">
        <f t="shared" si="14"/>
        <v>96388.373750520506</v>
      </c>
      <c r="H46" s="147">
        <f t="shared" si="15"/>
        <v>894591.65</v>
      </c>
      <c r="I46" s="148">
        <v>0</v>
      </c>
      <c r="J46" s="148">
        <f t="shared" si="11"/>
        <v>20468.013669679152</v>
      </c>
      <c r="K46" s="130">
        <f t="shared" si="4"/>
        <v>10980715.964036148</v>
      </c>
    </row>
    <row r="47" spans="1:11" x14ac:dyDescent="0.2">
      <c r="A47" s="156"/>
      <c r="B47" s="167">
        <f t="shared" si="12"/>
        <v>42186</v>
      </c>
      <c r="C47" s="167">
        <f t="shared" si="6"/>
        <v>42277</v>
      </c>
      <c r="D47" s="142">
        <f t="shared" si="2"/>
        <v>92</v>
      </c>
      <c r="E47" s="160">
        <f>VLOOKUP(C47,'FERC Interest Rate'!$A:$B,2,TRUE)</f>
        <v>3.2500000000000001E-2</v>
      </c>
      <c r="F47" s="148">
        <f t="shared" si="13"/>
        <v>10980715.964036148</v>
      </c>
      <c r="G47" s="147">
        <f t="shared" si="14"/>
        <v>89951.618445118045</v>
      </c>
      <c r="H47" s="147">
        <f t="shared" si="15"/>
        <v>894591.65</v>
      </c>
      <c r="I47" s="148">
        <v>0</v>
      </c>
      <c r="J47" s="148">
        <f t="shared" si="11"/>
        <v>20468.013669679152</v>
      </c>
      <c r="K47" s="130">
        <f t="shared" si="4"/>
        <v>10065656.300366469</v>
      </c>
    </row>
    <row r="48" spans="1:11" x14ac:dyDescent="0.2">
      <c r="A48" s="156"/>
      <c r="B48" s="167">
        <f t="shared" si="12"/>
        <v>42278</v>
      </c>
      <c r="C48" s="167">
        <f t="shared" si="6"/>
        <v>42369</v>
      </c>
      <c r="D48" s="142">
        <f t="shared" si="2"/>
        <v>92</v>
      </c>
      <c r="E48" s="160">
        <f>VLOOKUP(C48,'FERC Interest Rate'!$A:$B,2,TRUE)</f>
        <v>3.2500000000000001E-2</v>
      </c>
      <c r="F48" s="148">
        <f t="shared" si="13"/>
        <v>10065656.300366469</v>
      </c>
      <c r="G48" s="147">
        <f t="shared" si="14"/>
        <v>82455.650241358206</v>
      </c>
      <c r="H48" s="147">
        <f t="shared" si="15"/>
        <v>894591.65</v>
      </c>
      <c r="I48" s="148">
        <v>0</v>
      </c>
      <c r="J48" s="148">
        <f t="shared" si="11"/>
        <v>20468.013669679152</v>
      </c>
      <c r="K48" s="130">
        <f t="shared" si="4"/>
        <v>9150596.6366967894</v>
      </c>
    </row>
    <row r="49" spans="1:11" x14ac:dyDescent="0.2">
      <c r="A49" s="156"/>
      <c r="B49" s="167">
        <f t="shared" si="12"/>
        <v>42370</v>
      </c>
      <c r="C49" s="167">
        <f t="shared" si="6"/>
        <v>42460</v>
      </c>
      <c r="D49" s="142">
        <f t="shared" si="2"/>
        <v>91</v>
      </c>
      <c r="E49" s="160">
        <f>VLOOKUP(C49,'FERC Interest Rate'!$A:$B,2,TRUE)</f>
        <v>3.2500000000000001E-2</v>
      </c>
      <c r="F49" s="148">
        <f t="shared" si="13"/>
        <v>9150596.6366967894</v>
      </c>
      <c r="G49" s="147">
        <f t="shared" si="14"/>
        <v>73942.321183144144</v>
      </c>
      <c r="H49" s="147">
        <f t="shared" si="15"/>
        <v>894591.65</v>
      </c>
      <c r="I49" s="148">
        <v>0</v>
      </c>
      <c r="J49" s="148">
        <f t="shared" si="11"/>
        <v>20468.013669679152</v>
      </c>
      <c r="K49" s="130">
        <f t="shared" si="4"/>
        <v>8235536.9730271101</v>
      </c>
    </row>
    <row r="50" spans="1:11" x14ac:dyDescent="0.2">
      <c r="A50" s="156"/>
      <c r="B50" s="167">
        <f t="shared" si="12"/>
        <v>42461</v>
      </c>
      <c r="C50" s="167">
        <f t="shared" si="6"/>
        <v>42551</v>
      </c>
      <c r="D50" s="142">
        <f t="shared" si="2"/>
        <v>91</v>
      </c>
      <c r="E50" s="160">
        <f>VLOOKUP(C50,'FERC Interest Rate'!$A:$B,2,TRUE)</f>
        <v>3.2500000000000001E-2</v>
      </c>
      <c r="F50" s="148">
        <f t="shared" si="13"/>
        <v>8235536.9730271101</v>
      </c>
      <c r="G50" s="147">
        <f t="shared" si="14"/>
        <v>66548.089064829735</v>
      </c>
      <c r="H50" s="147">
        <f t="shared" si="15"/>
        <v>894591.65</v>
      </c>
      <c r="I50" s="148">
        <v>0</v>
      </c>
      <c r="J50" s="148">
        <f t="shared" si="11"/>
        <v>20468.013669679152</v>
      </c>
      <c r="K50" s="130">
        <f t="shared" si="4"/>
        <v>7320477.3093574308</v>
      </c>
    </row>
    <row r="51" spans="1:11" x14ac:dyDescent="0.2">
      <c r="A51" s="156"/>
      <c r="B51" s="167">
        <f t="shared" si="12"/>
        <v>42552</v>
      </c>
      <c r="C51" s="167">
        <f t="shared" si="6"/>
        <v>42643</v>
      </c>
      <c r="D51" s="142">
        <f t="shared" si="2"/>
        <v>92</v>
      </c>
      <c r="E51" s="160">
        <f>VLOOKUP(C51,'FERC Interest Rate'!$A:$B,2,TRUE)</f>
        <v>4.0333330000000001E-2</v>
      </c>
      <c r="F51" s="148">
        <f t="shared" si="13"/>
        <v>7320477.3093574308</v>
      </c>
      <c r="G51" s="147">
        <f t="shared" si="14"/>
        <v>74218.166368786697</v>
      </c>
      <c r="H51" s="147">
        <f t="shared" si="15"/>
        <v>894591.65</v>
      </c>
      <c r="I51" s="148">
        <v>0</v>
      </c>
      <c r="J51" s="148">
        <f t="shared" si="11"/>
        <v>20468.013669679152</v>
      </c>
      <c r="K51" s="130">
        <f t="shared" si="4"/>
        <v>6405417.6456877515</v>
      </c>
    </row>
    <row r="52" spans="1:11" x14ac:dyDescent="0.2">
      <c r="A52" s="156"/>
      <c r="B52" s="167">
        <f t="shared" si="12"/>
        <v>42644</v>
      </c>
      <c r="C52" s="167">
        <f t="shared" si="6"/>
        <v>42735</v>
      </c>
      <c r="D52" s="142">
        <f t="shared" si="2"/>
        <v>92</v>
      </c>
      <c r="E52" s="160">
        <f>VLOOKUP(C52,'FERC Interest Rate'!$A:$B,2,TRUE)</f>
        <v>4.2833329999999996E-2</v>
      </c>
      <c r="F52" s="148">
        <f t="shared" si="13"/>
        <v>6405417.6456877515</v>
      </c>
      <c r="G52" s="147">
        <f t="shared" si="14"/>
        <v>68966.158027628742</v>
      </c>
      <c r="H52" s="147">
        <f t="shared" si="15"/>
        <v>894591.65</v>
      </c>
      <c r="I52" s="148">
        <v>0</v>
      </c>
      <c r="J52" s="148">
        <f t="shared" si="11"/>
        <v>20468.013669679152</v>
      </c>
      <c r="K52" s="130">
        <f t="shared" si="4"/>
        <v>5490357.9820180722</v>
      </c>
    </row>
    <row r="53" spans="1:11" x14ac:dyDescent="0.2">
      <c r="A53" s="156"/>
      <c r="B53" s="167">
        <f t="shared" si="12"/>
        <v>42736</v>
      </c>
      <c r="C53" s="167">
        <f t="shared" si="6"/>
        <v>42825</v>
      </c>
      <c r="D53" s="142">
        <f t="shared" si="2"/>
        <v>90</v>
      </c>
      <c r="E53" s="160">
        <f>VLOOKUP(C53,'FERC Interest Rate'!$A:$B,2,TRUE)</f>
        <v>4.7066670000000005E-2</v>
      </c>
      <c r="F53" s="148">
        <f t="shared" si="13"/>
        <v>5490357.9820180722</v>
      </c>
      <c r="G53" s="147">
        <f t="shared" si="14"/>
        <v>63718.241257358764</v>
      </c>
      <c r="H53" s="147">
        <f t="shared" si="15"/>
        <v>894591.65</v>
      </c>
      <c r="I53" s="148">
        <v>0</v>
      </c>
      <c r="J53" s="148">
        <f t="shared" si="11"/>
        <v>20468.013669679152</v>
      </c>
      <c r="K53" s="130">
        <f t="shared" si="4"/>
        <v>4575298.3183483928</v>
      </c>
    </row>
    <row r="54" spans="1:11" x14ac:dyDescent="0.2">
      <c r="A54" s="156"/>
      <c r="B54" s="167">
        <f t="shared" si="12"/>
        <v>42826</v>
      </c>
      <c r="C54" s="167">
        <f t="shared" si="6"/>
        <v>42916</v>
      </c>
      <c r="D54" s="142">
        <f t="shared" si="2"/>
        <v>91</v>
      </c>
      <c r="E54" s="160">
        <f>VLOOKUP(C54,'FERC Interest Rate'!$A:$B,2,TRUE)</f>
        <v>5.21E-2</v>
      </c>
      <c r="F54" s="148">
        <f t="shared" si="13"/>
        <v>4575298.3183483928</v>
      </c>
      <c r="G54" s="147">
        <f t="shared" si="14"/>
        <v>59429.991389374154</v>
      </c>
      <c r="H54" s="147">
        <f t="shared" si="15"/>
        <v>894591.65</v>
      </c>
      <c r="I54" s="148">
        <v>0</v>
      </c>
      <c r="J54" s="148">
        <f t="shared" si="11"/>
        <v>20468.013669679152</v>
      </c>
      <c r="K54" s="130">
        <f t="shared" si="4"/>
        <v>3660238.654678714</v>
      </c>
    </row>
    <row r="55" spans="1:11" x14ac:dyDescent="0.2">
      <c r="A55" s="156"/>
      <c r="B55" s="167">
        <f t="shared" si="12"/>
        <v>42917</v>
      </c>
      <c r="C55" s="167">
        <f t="shared" si="6"/>
        <v>43008</v>
      </c>
      <c r="D55" s="142">
        <f t="shared" si="2"/>
        <v>92</v>
      </c>
      <c r="E55" s="160">
        <f>VLOOKUP(C55,'FERC Interest Rate'!$A:$B,2,TRUE)</f>
        <v>5.7066670000000007E-2</v>
      </c>
      <c r="F55" s="148">
        <f t="shared" si="13"/>
        <v>3660238.654678714</v>
      </c>
      <c r="G55" s="147">
        <f t="shared" si="14"/>
        <v>52648.608469471401</v>
      </c>
      <c r="H55" s="147">
        <f t="shared" si="15"/>
        <v>894591.65</v>
      </c>
      <c r="I55" s="148">
        <v>0</v>
      </c>
      <c r="J55" s="148">
        <f t="shared" si="11"/>
        <v>20468.013669679152</v>
      </c>
      <c r="K55" s="130">
        <f t="shared" si="4"/>
        <v>2745178.9910090351</v>
      </c>
    </row>
    <row r="56" spans="1:11" x14ac:dyDescent="0.2">
      <c r="A56" s="156"/>
      <c r="B56" s="167">
        <f t="shared" si="12"/>
        <v>43009</v>
      </c>
      <c r="C56" s="167">
        <f t="shared" si="6"/>
        <v>43100</v>
      </c>
      <c r="D56" s="142">
        <f t="shared" si="2"/>
        <v>92</v>
      </c>
      <c r="E56" s="160">
        <f>VLOOKUP(C56,'FERC Interest Rate'!$A:$B,2,TRUE)</f>
        <v>6.2033329999999998E-2</v>
      </c>
      <c r="F56" s="148">
        <f t="shared" si="13"/>
        <v>2745178.9910090351</v>
      </c>
      <c r="G56" s="147">
        <f t="shared" si="14"/>
        <v>42923.064854154538</v>
      </c>
      <c r="H56" s="147">
        <f t="shared" si="15"/>
        <v>894591.65</v>
      </c>
      <c r="I56" s="148">
        <v>0</v>
      </c>
      <c r="J56" s="148">
        <f t="shared" si="11"/>
        <v>20468.013669679152</v>
      </c>
      <c r="K56" s="130">
        <f t="shared" si="4"/>
        <v>1830119.3273393561</v>
      </c>
    </row>
    <row r="57" spans="1:11" x14ac:dyDescent="0.2">
      <c r="A57" s="169"/>
      <c r="B57" s="167">
        <f t="shared" si="12"/>
        <v>43101</v>
      </c>
      <c r="C57" s="167">
        <f t="shared" si="6"/>
        <v>43190</v>
      </c>
      <c r="D57" s="142">
        <f t="shared" si="2"/>
        <v>90</v>
      </c>
      <c r="E57" s="160">
        <f>VLOOKUP(C57,'FERC Interest Rate'!$A:$B,2,TRUE)</f>
        <v>6.6699999999999995E-2</v>
      </c>
      <c r="F57" s="148">
        <f t="shared" si="13"/>
        <v>1830119.3273393561</v>
      </c>
      <c r="G57" s="147">
        <f t="shared" si="14"/>
        <v>30099.195402789461</v>
      </c>
      <c r="H57" s="147">
        <f t="shared" si="15"/>
        <v>894591.65</v>
      </c>
      <c r="I57" s="148">
        <v>0</v>
      </c>
      <c r="J57" s="148">
        <f t="shared" si="11"/>
        <v>20468.013669679152</v>
      </c>
      <c r="K57" s="130">
        <f t="shared" si="4"/>
        <v>915059.66366967687</v>
      </c>
    </row>
    <row r="58" spans="1:11" x14ac:dyDescent="0.2">
      <c r="A58" s="169"/>
      <c r="B58" s="167">
        <f t="shared" si="12"/>
        <v>43191</v>
      </c>
      <c r="C58" s="167">
        <f t="shared" si="6"/>
        <v>43281</v>
      </c>
      <c r="D58" s="142">
        <f t="shared" si="2"/>
        <v>91</v>
      </c>
      <c r="E58" s="160">
        <f>VLOOKUP(C58,'FERC Interest Rate'!$A:$B,2,TRUE)</f>
        <v>6.7500000000000004E-2</v>
      </c>
      <c r="F58" s="148">
        <f t="shared" si="13"/>
        <v>915059.66366967687</v>
      </c>
      <c r="G58" s="147">
        <f t="shared" si="14"/>
        <v>15399.325983810933</v>
      </c>
      <c r="H58" s="147">
        <f t="shared" si="15"/>
        <v>894591.65</v>
      </c>
      <c r="I58" s="148">
        <v>0</v>
      </c>
      <c r="J58" s="148">
        <f t="shared" si="11"/>
        <v>20468.013669679152</v>
      </c>
      <c r="K58" s="130">
        <f t="shared" si="4"/>
        <v>-2.306478563696146E-9</v>
      </c>
    </row>
    <row r="59" spans="1:11" ht="13.5" thickBot="1" x14ac:dyDescent="0.25">
      <c r="A59" s="129"/>
      <c r="B59" s="144"/>
      <c r="C59" s="144"/>
      <c r="D59" s="121"/>
      <c r="E59" s="122"/>
      <c r="F59" s="145"/>
      <c r="G59" s="145"/>
      <c r="H59" s="146"/>
      <c r="I59" s="123"/>
      <c r="J59" s="123"/>
      <c r="K59" s="128"/>
    </row>
    <row r="60" spans="1:11" x14ac:dyDescent="0.2">
      <c r="A60" s="5"/>
      <c r="B60" s="41"/>
      <c r="C60" s="41"/>
      <c r="D60" s="42"/>
      <c r="E60" s="43"/>
      <c r="F60" s="126"/>
      <c r="G60" s="126"/>
      <c r="H60" s="58"/>
      <c r="I60" s="58"/>
      <c r="J60" s="44"/>
    </row>
    <row r="61" spans="1:11" ht="13.5" thickBot="1" x14ac:dyDescent="0.25"/>
    <row r="62" spans="1:11" ht="13.5" thickBot="1" x14ac:dyDescent="0.25">
      <c r="A62" s="304" t="s">
        <v>71</v>
      </c>
      <c r="B62" s="305"/>
      <c r="C62" s="305"/>
      <c r="D62" s="305"/>
      <c r="E62" s="305"/>
      <c r="F62" s="305"/>
      <c r="G62" s="305"/>
      <c r="H62" s="305"/>
      <c r="I62" s="305"/>
      <c r="J62" s="305"/>
      <c r="K62" s="306"/>
    </row>
    <row r="63" spans="1:11" ht="51.75" thickBot="1" x14ac:dyDescent="0.25">
      <c r="A63" s="163" t="s">
        <v>9</v>
      </c>
      <c r="B63" s="164" t="s">
        <v>10</v>
      </c>
      <c r="C63" s="164" t="s">
        <v>11</v>
      </c>
      <c r="D63" s="164" t="s">
        <v>12</v>
      </c>
      <c r="E63" s="164" t="s">
        <v>13</v>
      </c>
      <c r="F63" s="164" t="s">
        <v>14</v>
      </c>
      <c r="G63" s="164" t="s">
        <v>32</v>
      </c>
      <c r="H63" s="164" t="s">
        <v>16</v>
      </c>
      <c r="I63" s="164" t="s">
        <v>85</v>
      </c>
      <c r="J63" s="164" t="s">
        <v>33</v>
      </c>
      <c r="K63" s="165" t="s">
        <v>15</v>
      </c>
    </row>
    <row r="64" spans="1:11" x14ac:dyDescent="0.2">
      <c r="A64" s="157"/>
      <c r="B64" s="166">
        <f>$B$2</f>
        <v>41605</v>
      </c>
      <c r="C64" s="166">
        <f>DATE(YEAR(B64),IF(MONTH(B64)&lt;=3,3,IF(MONTH(B64)&lt;=6,6,IF(MONTH(B64)&lt;=9,9,12))),IF(OR(MONTH(B64)&lt;=3,MONTH(B64)&gt;=10),31,30))</f>
        <v>41639</v>
      </c>
      <c r="D64" s="159">
        <f>C64-B64+1</f>
        <v>35</v>
      </c>
      <c r="E64" s="160">
        <f>VLOOKUP(C64,'FERC Interest Rate'!$A:$B,2,TRUE)</f>
        <v>3.2500000000000001E-2</v>
      </c>
      <c r="F64" s="161">
        <f>$E$2</f>
        <v>0</v>
      </c>
      <c r="G64" s="147">
        <v>0</v>
      </c>
      <c r="H64" s="162">
        <v>0</v>
      </c>
      <c r="I64" s="161">
        <f>F64*E64*(D64/(DATE(YEAR(C64),12,31)-DATE(YEAR(C64),1,1)+1))</f>
        <v>0</v>
      </c>
      <c r="J64" s="161">
        <v>0</v>
      </c>
      <c r="K64" s="130">
        <f>F64+I64-H64-J64</f>
        <v>0</v>
      </c>
    </row>
    <row r="65" spans="1:11" x14ac:dyDescent="0.2">
      <c r="A65" s="156"/>
      <c r="B65" s="167">
        <f>C64+1</f>
        <v>41640</v>
      </c>
      <c r="C65" s="167">
        <f>EOMONTH(C64,3)</f>
        <v>41729</v>
      </c>
      <c r="D65" s="142">
        <f t="shared" ref="D65:D91" si="16">C65-B65+1</f>
        <v>90</v>
      </c>
      <c r="E65" s="160">
        <f>VLOOKUP(C65,'FERC Interest Rate'!$A:$B,2,TRUE)</f>
        <v>3.2500000000000001E-2</v>
      </c>
      <c r="F65" s="148">
        <f>K64</f>
        <v>0</v>
      </c>
      <c r="G65" s="147">
        <v>0</v>
      </c>
      <c r="H65" s="147">
        <v>0</v>
      </c>
      <c r="I65" s="161">
        <f t="shared" ref="I65:I71" si="17">F65*E65*(D65/(DATE(YEAR(C65),12,31)-DATE(YEAR(C65),1,1)+1))</f>
        <v>0</v>
      </c>
      <c r="J65" s="148">
        <v>0</v>
      </c>
      <c r="K65" s="130">
        <f t="shared" ref="K65:K91" si="18">F65+I65-H65-J65</f>
        <v>0</v>
      </c>
    </row>
    <row r="66" spans="1:11" x14ac:dyDescent="0.2">
      <c r="A66" s="156"/>
      <c r="B66" s="167">
        <f t="shared" ref="B66:B91" si="19">C65+1</f>
        <v>41730</v>
      </c>
      <c r="C66" s="167">
        <f t="shared" ref="C66:C91" si="20">EOMONTH(C65,3)</f>
        <v>41820</v>
      </c>
      <c r="D66" s="142">
        <f t="shared" si="16"/>
        <v>91</v>
      </c>
      <c r="E66" s="160">
        <f>VLOOKUP(C66,'FERC Interest Rate'!$A:$B,2,TRUE)</f>
        <v>3.2500000000000001E-2</v>
      </c>
      <c r="F66" s="148">
        <f t="shared" ref="F66:F91" si="21">K65</f>
        <v>0</v>
      </c>
      <c r="G66" s="147">
        <v>0</v>
      </c>
      <c r="H66" s="147">
        <v>0</v>
      </c>
      <c r="I66" s="161">
        <f t="shared" si="17"/>
        <v>0</v>
      </c>
      <c r="J66" s="148">
        <v>0</v>
      </c>
      <c r="K66" s="130">
        <f t="shared" si="18"/>
        <v>0</v>
      </c>
    </row>
    <row r="67" spans="1:11" x14ac:dyDescent="0.2">
      <c r="A67" s="156"/>
      <c r="B67" s="167">
        <f t="shared" si="19"/>
        <v>41821</v>
      </c>
      <c r="C67" s="167">
        <f t="shared" si="20"/>
        <v>41912</v>
      </c>
      <c r="D67" s="142">
        <f t="shared" si="16"/>
        <v>92</v>
      </c>
      <c r="E67" s="160">
        <f>VLOOKUP(C67,'FERC Interest Rate'!$A:$B,2,TRUE)</f>
        <v>3.2500000000000001E-2</v>
      </c>
      <c r="F67" s="148">
        <f t="shared" si="21"/>
        <v>0</v>
      </c>
      <c r="G67" s="147">
        <v>0</v>
      </c>
      <c r="H67" s="147">
        <v>0</v>
      </c>
      <c r="I67" s="161">
        <f t="shared" si="17"/>
        <v>0</v>
      </c>
      <c r="J67" s="148">
        <v>0</v>
      </c>
      <c r="K67" s="130">
        <f t="shared" si="18"/>
        <v>0</v>
      </c>
    </row>
    <row r="68" spans="1:11" x14ac:dyDescent="0.2">
      <c r="A68" s="156"/>
      <c r="B68" s="167">
        <f t="shared" si="19"/>
        <v>41913</v>
      </c>
      <c r="C68" s="167">
        <f t="shared" si="20"/>
        <v>42004</v>
      </c>
      <c r="D68" s="142">
        <f t="shared" si="16"/>
        <v>92</v>
      </c>
      <c r="E68" s="160">
        <f>VLOOKUP(C68,'FERC Interest Rate'!$A:$B,2,TRUE)</f>
        <v>3.2500000000000001E-2</v>
      </c>
      <c r="F68" s="148">
        <f t="shared" si="21"/>
        <v>0</v>
      </c>
      <c r="G68" s="147">
        <v>0</v>
      </c>
      <c r="H68" s="147">
        <v>0</v>
      </c>
      <c r="I68" s="161">
        <f t="shared" si="17"/>
        <v>0</v>
      </c>
      <c r="J68" s="148">
        <v>0</v>
      </c>
      <c r="K68" s="130">
        <f t="shared" si="18"/>
        <v>0</v>
      </c>
    </row>
    <row r="69" spans="1:11" x14ac:dyDescent="0.2">
      <c r="A69" s="156"/>
      <c r="B69" s="167">
        <f t="shared" si="19"/>
        <v>42005</v>
      </c>
      <c r="C69" s="167">
        <f t="shared" si="20"/>
        <v>42094</v>
      </c>
      <c r="D69" s="142">
        <f t="shared" si="16"/>
        <v>90</v>
      </c>
      <c r="E69" s="160">
        <f>VLOOKUP(C69,'FERC Interest Rate'!$A:$B,2,TRUE)</f>
        <v>3.2500000000000001E-2</v>
      </c>
      <c r="F69" s="148">
        <f t="shared" si="21"/>
        <v>0</v>
      </c>
      <c r="G69" s="147">
        <v>0</v>
      </c>
      <c r="H69" s="147">
        <v>0</v>
      </c>
      <c r="I69" s="161">
        <f t="shared" si="17"/>
        <v>0</v>
      </c>
      <c r="J69" s="148">
        <v>0</v>
      </c>
      <c r="K69" s="130">
        <f t="shared" si="18"/>
        <v>0</v>
      </c>
    </row>
    <row r="70" spans="1:11" x14ac:dyDescent="0.2">
      <c r="A70" s="156"/>
      <c r="B70" s="167">
        <f t="shared" si="19"/>
        <v>42095</v>
      </c>
      <c r="C70" s="167">
        <f t="shared" si="20"/>
        <v>42185</v>
      </c>
      <c r="D70" s="142">
        <f t="shared" si="16"/>
        <v>91</v>
      </c>
      <c r="E70" s="160">
        <f>VLOOKUP(C70,'FERC Interest Rate'!$A:$B,2,TRUE)</f>
        <v>3.2500000000000001E-2</v>
      </c>
      <c r="F70" s="148">
        <f t="shared" si="21"/>
        <v>0</v>
      </c>
      <c r="G70" s="147">
        <v>0</v>
      </c>
      <c r="H70" s="147">
        <v>0</v>
      </c>
      <c r="I70" s="161">
        <f t="shared" si="17"/>
        <v>0</v>
      </c>
      <c r="J70" s="148">
        <v>0</v>
      </c>
      <c r="K70" s="130">
        <f t="shared" si="18"/>
        <v>0</v>
      </c>
    </row>
    <row r="71" spans="1:11" x14ac:dyDescent="0.2">
      <c r="A71" s="156"/>
      <c r="B71" s="167">
        <f t="shared" si="19"/>
        <v>42186</v>
      </c>
      <c r="C71" s="167">
        <f t="shared" si="20"/>
        <v>42277</v>
      </c>
      <c r="D71" s="142">
        <f t="shared" si="16"/>
        <v>92</v>
      </c>
      <c r="E71" s="160">
        <f>VLOOKUP(C71,'FERC Interest Rate'!$A:$B,2,TRUE)</f>
        <v>3.2500000000000001E-2</v>
      </c>
      <c r="F71" s="148">
        <f t="shared" si="21"/>
        <v>0</v>
      </c>
      <c r="G71" s="147">
        <v>0</v>
      </c>
      <c r="H71" s="147">
        <v>0</v>
      </c>
      <c r="I71" s="161">
        <f t="shared" si="17"/>
        <v>0</v>
      </c>
      <c r="J71" s="148">
        <v>0</v>
      </c>
      <c r="K71" s="130">
        <f t="shared" si="18"/>
        <v>0</v>
      </c>
    </row>
    <row r="72" spans="1:11" x14ac:dyDescent="0.2">
      <c r="A72" s="156"/>
      <c r="B72" s="167">
        <f t="shared" si="19"/>
        <v>42278</v>
      </c>
      <c r="C72" s="167">
        <f t="shared" si="20"/>
        <v>42369</v>
      </c>
      <c r="D72" s="142">
        <f t="shared" si="16"/>
        <v>92</v>
      </c>
      <c r="E72" s="160">
        <f>VLOOKUP(C72,'FERC Interest Rate'!$A:$B,2,TRUE)</f>
        <v>3.2500000000000001E-2</v>
      </c>
      <c r="F72" s="148">
        <f>K71</f>
        <v>0</v>
      </c>
      <c r="G72" s="147">
        <f t="shared" ref="G72:G89" si="22">F72*E72*(D72/(DATE(YEAR(C72),12,31)-DATE(YEAR(C72),1,1)+1))</f>
        <v>0</v>
      </c>
      <c r="H72" s="147">
        <f>$F$64/20</f>
        <v>0</v>
      </c>
      <c r="I72" s="148">
        <v>0</v>
      </c>
      <c r="J72" s="148">
        <f>SUM($I$64:$I$92)/20</f>
        <v>0</v>
      </c>
      <c r="K72" s="130">
        <f t="shared" si="18"/>
        <v>0</v>
      </c>
    </row>
    <row r="73" spans="1:11" x14ac:dyDescent="0.2">
      <c r="A73" s="156"/>
      <c r="B73" s="167">
        <f t="shared" si="19"/>
        <v>42370</v>
      </c>
      <c r="C73" s="167">
        <f t="shared" si="20"/>
        <v>42460</v>
      </c>
      <c r="D73" s="142">
        <f t="shared" si="16"/>
        <v>91</v>
      </c>
      <c r="E73" s="160">
        <f>VLOOKUP(C73,'FERC Interest Rate'!$A:$B,2,TRUE)</f>
        <v>3.2500000000000001E-2</v>
      </c>
      <c r="F73" s="148">
        <f>K72</f>
        <v>0</v>
      </c>
      <c r="G73" s="147">
        <f t="shared" si="22"/>
        <v>0</v>
      </c>
      <c r="H73" s="147">
        <f t="shared" ref="H73:H91" si="23">$F$64/20</f>
        <v>0</v>
      </c>
      <c r="I73" s="148">
        <v>0</v>
      </c>
      <c r="J73" s="148">
        <f t="shared" ref="J73:J91" si="24">SUM($I$64:$I$92)/20</f>
        <v>0</v>
      </c>
      <c r="K73" s="130">
        <f t="shared" si="18"/>
        <v>0</v>
      </c>
    </row>
    <row r="74" spans="1:11" x14ac:dyDescent="0.2">
      <c r="A74" s="156"/>
      <c r="B74" s="167">
        <f t="shared" si="19"/>
        <v>42461</v>
      </c>
      <c r="C74" s="167">
        <f t="shared" si="20"/>
        <v>42551</v>
      </c>
      <c r="D74" s="142">
        <f t="shared" si="16"/>
        <v>91</v>
      </c>
      <c r="E74" s="160">
        <f>VLOOKUP(C74,'FERC Interest Rate'!$A:$B,2,TRUE)</f>
        <v>3.2500000000000001E-2</v>
      </c>
      <c r="F74" s="148">
        <f t="shared" si="21"/>
        <v>0</v>
      </c>
      <c r="G74" s="147">
        <f t="shared" si="22"/>
        <v>0</v>
      </c>
      <c r="H74" s="147">
        <f t="shared" si="23"/>
        <v>0</v>
      </c>
      <c r="I74" s="148">
        <v>0</v>
      </c>
      <c r="J74" s="148">
        <f t="shared" si="24"/>
        <v>0</v>
      </c>
      <c r="K74" s="130">
        <f t="shared" si="18"/>
        <v>0</v>
      </c>
    </row>
    <row r="75" spans="1:11" x14ac:dyDescent="0.2">
      <c r="A75" s="156"/>
      <c r="B75" s="167">
        <f t="shared" si="19"/>
        <v>42552</v>
      </c>
      <c r="C75" s="167">
        <f t="shared" si="20"/>
        <v>42643</v>
      </c>
      <c r="D75" s="142">
        <f t="shared" si="16"/>
        <v>92</v>
      </c>
      <c r="E75" s="160">
        <f>VLOOKUP(C75,'FERC Interest Rate'!$A:$B,2,TRUE)</f>
        <v>4.0333330000000001E-2</v>
      </c>
      <c r="F75" s="148">
        <f t="shared" si="21"/>
        <v>0</v>
      </c>
      <c r="G75" s="147">
        <f t="shared" si="22"/>
        <v>0</v>
      </c>
      <c r="H75" s="147">
        <f t="shared" si="23"/>
        <v>0</v>
      </c>
      <c r="I75" s="148">
        <v>0</v>
      </c>
      <c r="J75" s="148">
        <f t="shared" si="24"/>
        <v>0</v>
      </c>
      <c r="K75" s="130">
        <f t="shared" si="18"/>
        <v>0</v>
      </c>
    </row>
    <row r="76" spans="1:11" x14ac:dyDescent="0.2">
      <c r="A76" s="156"/>
      <c r="B76" s="167">
        <f t="shared" si="19"/>
        <v>42644</v>
      </c>
      <c r="C76" s="167">
        <f t="shared" si="20"/>
        <v>42735</v>
      </c>
      <c r="D76" s="142">
        <f t="shared" si="16"/>
        <v>92</v>
      </c>
      <c r="E76" s="160">
        <f>VLOOKUP(C76,'FERC Interest Rate'!$A:$B,2,TRUE)</f>
        <v>4.2833329999999996E-2</v>
      </c>
      <c r="F76" s="148">
        <f t="shared" si="21"/>
        <v>0</v>
      </c>
      <c r="G76" s="147">
        <f t="shared" si="22"/>
        <v>0</v>
      </c>
      <c r="H76" s="147">
        <f t="shared" si="23"/>
        <v>0</v>
      </c>
      <c r="I76" s="148">
        <v>0</v>
      </c>
      <c r="J76" s="148">
        <f t="shared" si="24"/>
        <v>0</v>
      </c>
      <c r="K76" s="130">
        <f t="shared" si="18"/>
        <v>0</v>
      </c>
    </row>
    <row r="77" spans="1:11" x14ac:dyDescent="0.2">
      <c r="A77" s="156"/>
      <c r="B77" s="167">
        <f t="shared" si="19"/>
        <v>42736</v>
      </c>
      <c r="C77" s="167">
        <f t="shared" si="20"/>
        <v>42825</v>
      </c>
      <c r="D77" s="142">
        <f t="shared" si="16"/>
        <v>90</v>
      </c>
      <c r="E77" s="160">
        <f>VLOOKUP(C77,'FERC Interest Rate'!$A:$B,2,TRUE)</f>
        <v>4.7066670000000005E-2</v>
      </c>
      <c r="F77" s="148">
        <f t="shared" si="21"/>
        <v>0</v>
      </c>
      <c r="G77" s="147">
        <f t="shared" si="22"/>
        <v>0</v>
      </c>
      <c r="H77" s="147">
        <f t="shared" si="23"/>
        <v>0</v>
      </c>
      <c r="I77" s="148">
        <v>0</v>
      </c>
      <c r="J77" s="148">
        <f t="shared" si="24"/>
        <v>0</v>
      </c>
      <c r="K77" s="130">
        <f t="shared" si="18"/>
        <v>0</v>
      </c>
    </row>
    <row r="78" spans="1:11" x14ac:dyDescent="0.2">
      <c r="A78" s="156"/>
      <c r="B78" s="167">
        <f t="shared" si="19"/>
        <v>42826</v>
      </c>
      <c r="C78" s="167">
        <f t="shared" si="20"/>
        <v>42916</v>
      </c>
      <c r="D78" s="142">
        <f t="shared" si="16"/>
        <v>91</v>
      </c>
      <c r="E78" s="160">
        <f>VLOOKUP(C78,'FERC Interest Rate'!$A:$B,2,TRUE)</f>
        <v>5.21E-2</v>
      </c>
      <c r="F78" s="148">
        <f t="shared" si="21"/>
        <v>0</v>
      </c>
      <c r="G78" s="147">
        <f t="shared" si="22"/>
        <v>0</v>
      </c>
      <c r="H78" s="147">
        <f t="shared" si="23"/>
        <v>0</v>
      </c>
      <c r="I78" s="148">
        <v>0</v>
      </c>
      <c r="J78" s="148">
        <f t="shared" si="24"/>
        <v>0</v>
      </c>
      <c r="K78" s="130">
        <f t="shared" si="18"/>
        <v>0</v>
      </c>
    </row>
    <row r="79" spans="1:11" x14ac:dyDescent="0.2">
      <c r="A79" s="156"/>
      <c r="B79" s="167">
        <f t="shared" si="19"/>
        <v>42917</v>
      </c>
      <c r="C79" s="167">
        <f t="shared" si="20"/>
        <v>43008</v>
      </c>
      <c r="D79" s="142">
        <f t="shared" si="16"/>
        <v>92</v>
      </c>
      <c r="E79" s="160">
        <f>VLOOKUP(C79,'FERC Interest Rate'!$A:$B,2,TRUE)</f>
        <v>5.7066670000000007E-2</v>
      </c>
      <c r="F79" s="148">
        <f t="shared" si="21"/>
        <v>0</v>
      </c>
      <c r="G79" s="147">
        <f t="shared" si="22"/>
        <v>0</v>
      </c>
      <c r="H79" s="147">
        <f t="shared" si="23"/>
        <v>0</v>
      </c>
      <c r="I79" s="148">
        <v>0</v>
      </c>
      <c r="J79" s="148">
        <f t="shared" si="24"/>
        <v>0</v>
      </c>
      <c r="K79" s="130">
        <f t="shared" si="18"/>
        <v>0</v>
      </c>
    </row>
    <row r="80" spans="1:11" x14ac:dyDescent="0.2">
      <c r="A80" s="156"/>
      <c r="B80" s="167">
        <f t="shared" si="19"/>
        <v>43009</v>
      </c>
      <c r="C80" s="167">
        <f t="shared" si="20"/>
        <v>43100</v>
      </c>
      <c r="D80" s="142">
        <f t="shared" si="16"/>
        <v>92</v>
      </c>
      <c r="E80" s="160">
        <f>VLOOKUP(C80,'FERC Interest Rate'!$A:$B,2,TRUE)</f>
        <v>6.2033329999999998E-2</v>
      </c>
      <c r="F80" s="148">
        <f t="shared" si="21"/>
        <v>0</v>
      </c>
      <c r="G80" s="147">
        <f t="shared" si="22"/>
        <v>0</v>
      </c>
      <c r="H80" s="147">
        <f t="shared" si="23"/>
        <v>0</v>
      </c>
      <c r="I80" s="148">
        <v>0</v>
      </c>
      <c r="J80" s="148">
        <f t="shared" si="24"/>
        <v>0</v>
      </c>
      <c r="K80" s="130">
        <f t="shared" si="18"/>
        <v>0</v>
      </c>
    </row>
    <row r="81" spans="1:11" x14ac:dyDescent="0.2">
      <c r="A81" s="156"/>
      <c r="B81" s="167">
        <f t="shared" si="19"/>
        <v>43101</v>
      </c>
      <c r="C81" s="167">
        <f t="shared" si="20"/>
        <v>43190</v>
      </c>
      <c r="D81" s="142">
        <f t="shared" si="16"/>
        <v>90</v>
      </c>
      <c r="E81" s="160">
        <f>VLOOKUP(C81,'FERC Interest Rate'!$A:$B,2,TRUE)</f>
        <v>6.6699999999999995E-2</v>
      </c>
      <c r="F81" s="148">
        <f t="shared" si="21"/>
        <v>0</v>
      </c>
      <c r="G81" s="147">
        <f t="shared" si="22"/>
        <v>0</v>
      </c>
      <c r="H81" s="147">
        <f t="shared" si="23"/>
        <v>0</v>
      </c>
      <c r="I81" s="148">
        <v>0</v>
      </c>
      <c r="J81" s="148">
        <f t="shared" si="24"/>
        <v>0</v>
      </c>
      <c r="K81" s="130">
        <f t="shared" si="18"/>
        <v>0</v>
      </c>
    </row>
    <row r="82" spans="1:11" x14ac:dyDescent="0.2">
      <c r="A82" s="156"/>
      <c r="B82" s="167">
        <f t="shared" si="19"/>
        <v>43191</v>
      </c>
      <c r="C82" s="167">
        <f t="shared" si="20"/>
        <v>43281</v>
      </c>
      <c r="D82" s="142">
        <f t="shared" si="16"/>
        <v>91</v>
      </c>
      <c r="E82" s="160">
        <f>VLOOKUP(C82,'FERC Interest Rate'!$A:$B,2,TRUE)</f>
        <v>6.7500000000000004E-2</v>
      </c>
      <c r="F82" s="148">
        <f t="shared" si="21"/>
        <v>0</v>
      </c>
      <c r="G82" s="147">
        <f t="shared" si="22"/>
        <v>0</v>
      </c>
      <c r="H82" s="147">
        <f t="shared" si="23"/>
        <v>0</v>
      </c>
      <c r="I82" s="148">
        <v>0</v>
      </c>
      <c r="J82" s="148">
        <f t="shared" si="24"/>
        <v>0</v>
      </c>
      <c r="K82" s="130">
        <f t="shared" si="18"/>
        <v>0</v>
      </c>
    </row>
    <row r="83" spans="1:11" x14ac:dyDescent="0.2">
      <c r="A83" s="156"/>
      <c r="B83" s="167">
        <f t="shared" si="19"/>
        <v>43282</v>
      </c>
      <c r="C83" s="167">
        <f t="shared" si="20"/>
        <v>43373</v>
      </c>
      <c r="D83" s="142">
        <f t="shared" si="16"/>
        <v>92</v>
      </c>
      <c r="E83" s="160">
        <f>VLOOKUP(C83,'FERC Interest Rate'!$A:$B,2,TRUE)</f>
        <v>6.7500000000000004E-2</v>
      </c>
      <c r="F83" s="148">
        <f t="shared" si="21"/>
        <v>0</v>
      </c>
      <c r="G83" s="147">
        <f t="shared" si="22"/>
        <v>0</v>
      </c>
      <c r="H83" s="147">
        <f t="shared" si="23"/>
        <v>0</v>
      </c>
      <c r="I83" s="148">
        <v>0</v>
      </c>
      <c r="J83" s="148">
        <f t="shared" si="24"/>
        <v>0</v>
      </c>
      <c r="K83" s="130">
        <f t="shared" si="18"/>
        <v>0</v>
      </c>
    </row>
    <row r="84" spans="1:11" x14ac:dyDescent="0.2">
      <c r="A84" s="169"/>
      <c r="B84" s="167">
        <f t="shared" si="19"/>
        <v>43374</v>
      </c>
      <c r="C84" s="167">
        <f t="shared" si="20"/>
        <v>43465</v>
      </c>
      <c r="D84" s="142">
        <f t="shared" si="16"/>
        <v>92</v>
      </c>
      <c r="E84" s="160">
        <f>VLOOKUP(C84,'FERC Interest Rate'!$A:$B,2,TRUE)</f>
        <v>6.7500000000000004E-2</v>
      </c>
      <c r="F84" s="148">
        <f t="shared" si="21"/>
        <v>0</v>
      </c>
      <c r="G84" s="147">
        <f t="shared" si="22"/>
        <v>0</v>
      </c>
      <c r="H84" s="147">
        <f t="shared" si="23"/>
        <v>0</v>
      </c>
      <c r="I84" s="148">
        <v>0</v>
      </c>
      <c r="J84" s="148">
        <f t="shared" si="24"/>
        <v>0</v>
      </c>
      <c r="K84" s="130">
        <f t="shared" si="18"/>
        <v>0</v>
      </c>
    </row>
    <row r="85" spans="1:11" x14ac:dyDescent="0.2">
      <c r="A85" s="169"/>
      <c r="B85" s="167">
        <f t="shared" si="19"/>
        <v>43466</v>
      </c>
      <c r="C85" s="167">
        <f t="shared" si="20"/>
        <v>43555</v>
      </c>
      <c r="D85" s="142">
        <f t="shared" si="16"/>
        <v>90</v>
      </c>
      <c r="E85" s="160">
        <f>VLOOKUP(C85,'FERC Interest Rate'!$A:$B,2,TRUE)</f>
        <v>6.7500000000000004E-2</v>
      </c>
      <c r="F85" s="148">
        <f t="shared" si="21"/>
        <v>0</v>
      </c>
      <c r="G85" s="147">
        <f t="shared" si="22"/>
        <v>0</v>
      </c>
      <c r="H85" s="147">
        <f t="shared" si="23"/>
        <v>0</v>
      </c>
      <c r="I85" s="148">
        <v>0</v>
      </c>
      <c r="J85" s="148">
        <f t="shared" si="24"/>
        <v>0</v>
      </c>
      <c r="K85" s="130">
        <f t="shared" si="18"/>
        <v>0</v>
      </c>
    </row>
    <row r="86" spans="1:11" x14ac:dyDescent="0.2">
      <c r="A86" s="169"/>
      <c r="B86" s="167">
        <f t="shared" si="19"/>
        <v>43556</v>
      </c>
      <c r="C86" s="167">
        <f t="shared" si="20"/>
        <v>43646</v>
      </c>
      <c r="D86" s="142">
        <f t="shared" si="16"/>
        <v>91</v>
      </c>
      <c r="E86" s="160">
        <f>VLOOKUP(C86,'FERC Interest Rate'!$A:$B,2,TRUE)</f>
        <v>6.7500000000000004E-2</v>
      </c>
      <c r="F86" s="148">
        <f t="shared" si="21"/>
        <v>0</v>
      </c>
      <c r="G86" s="147">
        <f t="shared" si="22"/>
        <v>0</v>
      </c>
      <c r="H86" s="147">
        <f t="shared" si="23"/>
        <v>0</v>
      </c>
      <c r="I86" s="148">
        <v>0</v>
      </c>
      <c r="J86" s="148">
        <f t="shared" si="24"/>
        <v>0</v>
      </c>
      <c r="K86" s="130">
        <f t="shared" si="18"/>
        <v>0</v>
      </c>
    </row>
    <row r="87" spans="1:11" x14ac:dyDescent="0.2">
      <c r="A87" s="169"/>
      <c r="B87" s="167">
        <f t="shared" si="19"/>
        <v>43647</v>
      </c>
      <c r="C87" s="167">
        <f t="shared" si="20"/>
        <v>43738</v>
      </c>
      <c r="D87" s="142">
        <f t="shared" si="16"/>
        <v>92</v>
      </c>
      <c r="E87" s="160">
        <f>VLOOKUP(C87,'FERC Interest Rate'!$A:$B,2,TRUE)</f>
        <v>6.7500000000000004E-2</v>
      </c>
      <c r="F87" s="148">
        <f t="shared" si="21"/>
        <v>0</v>
      </c>
      <c r="G87" s="147">
        <f t="shared" si="22"/>
        <v>0</v>
      </c>
      <c r="H87" s="147">
        <f t="shared" si="23"/>
        <v>0</v>
      </c>
      <c r="I87" s="148">
        <v>0</v>
      </c>
      <c r="J87" s="148">
        <f t="shared" si="24"/>
        <v>0</v>
      </c>
      <c r="K87" s="130">
        <f t="shared" si="18"/>
        <v>0</v>
      </c>
    </row>
    <row r="88" spans="1:11" x14ac:dyDescent="0.2">
      <c r="A88" s="169"/>
      <c r="B88" s="167">
        <f t="shared" si="19"/>
        <v>43739</v>
      </c>
      <c r="C88" s="167">
        <f t="shared" si="20"/>
        <v>43830</v>
      </c>
      <c r="D88" s="142">
        <f t="shared" si="16"/>
        <v>92</v>
      </c>
      <c r="E88" s="160">
        <f>VLOOKUP(C88,'FERC Interest Rate'!$A:$B,2,TRUE)</f>
        <v>6.7500000000000004E-2</v>
      </c>
      <c r="F88" s="148">
        <f t="shared" si="21"/>
        <v>0</v>
      </c>
      <c r="G88" s="147">
        <f t="shared" si="22"/>
        <v>0</v>
      </c>
      <c r="H88" s="147">
        <f t="shared" si="23"/>
        <v>0</v>
      </c>
      <c r="I88" s="148">
        <v>0</v>
      </c>
      <c r="J88" s="148">
        <f t="shared" si="24"/>
        <v>0</v>
      </c>
      <c r="K88" s="130">
        <f t="shared" si="18"/>
        <v>0</v>
      </c>
    </row>
    <row r="89" spans="1:11" x14ac:dyDescent="0.2">
      <c r="A89" s="169"/>
      <c r="B89" s="167">
        <f t="shared" si="19"/>
        <v>43831</v>
      </c>
      <c r="C89" s="167">
        <f t="shared" si="20"/>
        <v>43921</v>
      </c>
      <c r="D89" s="142">
        <f t="shared" si="16"/>
        <v>91</v>
      </c>
      <c r="E89" s="160">
        <f>VLOOKUP(C89,'FERC Interest Rate'!$A:$B,2,TRUE)</f>
        <v>6.7500000000000004E-2</v>
      </c>
      <c r="F89" s="148">
        <f t="shared" si="21"/>
        <v>0</v>
      </c>
      <c r="G89" s="147">
        <f t="shared" si="22"/>
        <v>0</v>
      </c>
      <c r="H89" s="147">
        <f t="shared" si="23"/>
        <v>0</v>
      </c>
      <c r="I89" s="148">
        <v>0</v>
      </c>
      <c r="J89" s="148">
        <f t="shared" si="24"/>
        <v>0</v>
      </c>
      <c r="K89" s="130">
        <f t="shared" si="18"/>
        <v>0</v>
      </c>
    </row>
    <row r="90" spans="1:11" x14ac:dyDescent="0.2">
      <c r="A90" s="169"/>
      <c r="B90" s="167">
        <f t="shared" si="19"/>
        <v>43922</v>
      </c>
      <c r="C90" s="167">
        <f t="shared" si="20"/>
        <v>44012</v>
      </c>
      <c r="D90" s="142">
        <f t="shared" si="16"/>
        <v>91</v>
      </c>
      <c r="E90" s="160">
        <f>VLOOKUP(C90,'FERC Interest Rate'!$A:$B,2,TRUE)</f>
        <v>6.7500000000000004E-2</v>
      </c>
      <c r="F90" s="148">
        <f t="shared" si="21"/>
        <v>0</v>
      </c>
      <c r="G90" s="147">
        <f>F90*E90*(D90/(DATE(YEAR(C90),12,31)-DATE(YEAR(C90),1,1)+1))</f>
        <v>0</v>
      </c>
      <c r="H90" s="147">
        <f t="shared" si="23"/>
        <v>0</v>
      </c>
      <c r="I90" s="148">
        <v>0</v>
      </c>
      <c r="J90" s="148">
        <f t="shared" si="24"/>
        <v>0</v>
      </c>
      <c r="K90" s="130">
        <f t="shared" si="18"/>
        <v>0</v>
      </c>
    </row>
    <row r="91" spans="1:11" x14ac:dyDescent="0.2">
      <c r="A91" s="169"/>
      <c r="B91" s="167">
        <f t="shared" si="19"/>
        <v>44013</v>
      </c>
      <c r="C91" s="167">
        <f t="shared" si="20"/>
        <v>44104</v>
      </c>
      <c r="D91" s="142">
        <f t="shared" si="16"/>
        <v>92</v>
      </c>
      <c r="E91" s="160">
        <f>VLOOKUP(C91,'FERC Interest Rate'!$A:$B,2,TRUE)</f>
        <v>6.7500000000000004E-2</v>
      </c>
      <c r="F91" s="148">
        <f t="shared" si="21"/>
        <v>0</v>
      </c>
      <c r="G91" s="147">
        <f>F91*E91*(D91/(DATE(YEAR(C91),12,31)-DATE(YEAR(C91),1,1)+1))</f>
        <v>0</v>
      </c>
      <c r="H91" s="147">
        <f t="shared" si="23"/>
        <v>0</v>
      </c>
      <c r="I91" s="148">
        <v>0</v>
      </c>
      <c r="J91" s="148">
        <f t="shared" si="24"/>
        <v>0</v>
      </c>
      <c r="K91" s="130">
        <f t="shared" si="18"/>
        <v>0</v>
      </c>
    </row>
    <row r="92" spans="1:11" ht="13.5" thickBot="1" x14ac:dyDescent="0.25">
      <c r="A92" s="129"/>
      <c r="B92" s="168"/>
      <c r="C92" s="168"/>
      <c r="D92" s="121"/>
      <c r="E92" s="122"/>
      <c r="F92" s="145"/>
      <c r="G92" s="145"/>
      <c r="H92" s="146"/>
      <c r="I92" s="123"/>
      <c r="J92" s="123"/>
      <c r="K92" s="128"/>
    </row>
  </sheetData>
  <mergeCells count="2">
    <mergeCell ref="A35:K35"/>
    <mergeCell ref="A62:K62"/>
  </mergeCells>
  <printOptions horizontalCentered="1"/>
  <pageMargins left="0.7" right="0.7" top="0.75" bottom="0.75" header="0.3" footer="0.3"/>
  <pageSetup scale="61" orientation="landscape" cellComments="asDisplayed" r:id="rId1"/>
  <headerFooter alignWithMargins="0">
    <oddHeader>&amp;RTO11 Draft Annual Update
Attachment 4
WP Schedule 22
Page &amp;P of &amp;N</oddHeader>
    <oddFooter>&amp;R&amp;A</oddFooter>
  </headerFooter>
  <rowBreaks count="1" manualBreakCount="1">
    <brk id="34"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39" t="s">
        <v>18</v>
      </c>
      <c r="B1" s="3" t="s">
        <v>8</v>
      </c>
      <c r="C1" s="139" t="s">
        <v>7</v>
      </c>
      <c r="D1" s="139" t="s">
        <v>1</v>
      </c>
      <c r="E1" s="139" t="s">
        <v>24</v>
      </c>
      <c r="F1" s="3" t="s">
        <v>0</v>
      </c>
      <c r="H1"/>
      <c r="I1"/>
      <c r="J1"/>
    </row>
    <row r="2" spans="1:11" ht="12.75" customHeight="1" x14ac:dyDescent="0.2">
      <c r="A2" s="4">
        <v>1</v>
      </c>
      <c r="B2" s="9">
        <v>39574</v>
      </c>
      <c r="C2" s="10">
        <v>13000</v>
      </c>
      <c r="D2" s="10">
        <v>0</v>
      </c>
      <c r="E2" s="10">
        <v>2500</v>
      </c>
      <c r="F2" s="29">
        <f>SUM(C2:E2)</f>
        <v>15500</v>
      </c>
      <c r="H2"/>
      <c r="I2"/>
      <c r="J2"/>
    </row>
    <row r="3" spans="1:11" x14ac:dyDescent="0.2">
      <c r="A3" s="4">
        <v>2</v>
      </c>
      <c r="B3" s="9">
        <v>39657</v>
      </c>
      <c r="C3" s="10">
        <v>26000</v>
      </c>
      <c r="D3" s="10">
        <v>0</v>
      </c>
      <c r="E3" s="10">
        <v>0</v>
      </c>
      <c r="F3" s="29">
        <f t="shared" ref="F3:F28" si="0">SUM(C3:E3)</f>
        <v>26000</v>
      </c>
      <c r="H3"/>
      <c r="I3"/>
      <c r="J3"/>
    </row>
    <row r="4" spans="1:11" x14ac:dyDescent="0.2">
      <c r="A4" s="4">
        <v>3</v>
      </c>
      <c r="B4" s="9">
        <v>39661</v>
      </c>
      <c r="C4" s="10">
        <v>39000</v>
      </c>
      <c r="D4" s="10">
        <v>0</v>
      </c>
      <c r="E4" s="10">
        <v>0</v>
      </c>
      <c r="F4" s="29">
        <f t="shared" si="0"/>
        <v>39000</v>
      </c>
      <c r="H4"/>
      <c r="I4"/>
      <c r="J4"/>
    </row>
    <row r="5" spans="1:11" x14ac:dyDescent="0.2">
      <c r="A5" s="4">
        <v>4</v>
      </c>
      <c r="B5" s="9">
        <v>39666</v>
      </c>
      <c r="C5" s="10">
        <v>757000</v>
      </c>
      <c r="D5" s="10">
        <v>0</v>
      </c>
      <c r="E5" s="10">
        <v>0</v>
      </c>
      <c r="F5" s="29">
        <f t="shared" si="0"/>
        <v>757000</v>
      </c>
      <c r="H5"/>
      <c r="I5"/>
      <c r="J5"/>
    </row>
    <row r="6" spans="1:11" x14ac:dyDescent="0.2">
      <c r="A6" s="4">
        <v>5</v>
      </c>
      <c r="B6" s="9">
        <v>39743</v>
      </c>
      <c r="C6" s="10">
        <v>757000</v>
      </c>
      <c r="D6" s="10">
        <v>0</v>
      </c>
      <c r="E6" s="10">
        <v>0</v>
      </c>
      <c r="F6" s="29">
        <f t="shared" si="0"/>
        <v>757000</v>
      </c>
      <c r="H6"/>
      <c r="I6"/>
      <c r="J6"/>
    </row>
    <row r="7" spans="1:11" x14ac:dyDescent="0.2">
      <c r="A7" s="4">
        <v>6</v>
      </c>
      <c r="B7" s="9">
        <v>39743</v>
      </c>
      <c r="C7" s="10">
        <v>767000</v>
      </c>
      <c r="D7" s="10">
        <v>0</v>
      </c>
      <c r="E7" s="10">
        <v>0</v>
      </c>
      <c r="F7" s="29">
        <f t="shared" si="0"/>
        <v>767000</v>
      </c>
      <c r="H7"/>
      <c r="I7"/>
      <c r="J7"/>
    </row>
    <row r="8" spans="1:11" x14ac:dyDescent="0.2">
      <c r="A8" s="4">
        <v>7</v>
      </c>
      <c r="B8" s="9">
        <v>39743</v>
      </c>
      <c r="C8" s="10">
        <v>501300</v>
      </c>
      <c r="D8" s="10">
        <v>0</v>
      </c>
      <c r="E8" s="10">
        <v>0</v>
      </c>
      <c r="F8" s="29">
        <f t="shared" si="0"/>
        <v>501300</v>
      </c>
      <c r="H8"/>
      <c r="I8"/>
      <c r="J8"/>
    </row>
    <row r="9" spans="1:11" x14ac:dyDescent="0.2">
      <c r="A9" s="4">
        <v>8</v>
      </c>
      <c r="B9" s="9">
        <v>39797</v>
      </c>
      <c r="C9" s="10">
        <v>671000</v>
      </c>
      <c r="D9" s="10">
        <v>0</v>
      </c>
      <c r="E9" s="10">
        <v>0</v>
      </c>
      <c r="F9" s="29">
        <f t="shared" si="0"/>
        <v>671000</v>
      </c>
      <c r="H9"/>
      <c r="I9"/>
      <c r="J9"/>
    </row>
    <row r="10" spans="1:11" x14ac:dyDescent="0.2">
      <c r="A10" s="4">
        <v>9</v>
      </c>
      <c r="B10" s="9">
        <v>39799</v>
      </c>
      <c r="C10" s="10">
        <v>505000</v>
      </c>
      <c r="D10" s="10">
        <v>0</v>
      </c>
      <c r="E10" s="10">
        <v>0</v>
      </c>
      <c r="F10" s="29">
        <f t="shared" si="0"/>
        <v>505000</v>
      </c>
      <c r="H10"/>
      <c r="I10"/>
      <c r="J10"/>
    </row>
    <row r="11" spans="1:11" x14ac:dyDescent="0.2">
      <c r="A11" s="4">
        <v>10</v>
      </c>
      <c r="B11" s="9">
        <v>39862</v>
      </c>
      <c r="C11" s="10">
        <v>728000</v>
      </c>
      <c r="D11" s="10">
        <v>0</v>
      </c>
      <c r="E11" s="10">
        <v>0</v>
      </c>
      <c r="F11" s="29">
        <f t="shared" si="0"/>
        <v>728000</v>
      </c>
      <c r="H11" s="64"/>
    </row>
    <row r="12" spans="1:11" x14ac:dyDescent="0.2">
      <c r="A12" s="4">
        <v>11</v>
      </c>
      <c r="B12" s="9">
        <v>39870</v>
      </c>
      <c r="C12" s="10">
        <v>817000</v>
      </c>
      <c r="D12" s="10">
        <v>0</v>
      </c>
      <c r="E12" s="10">
        <v>0</v>
      </c>
      <c r="F12" s="29">
        <f t="shared" si="0"/>
        <v>817000</v>
      </c>
      <c r="H12" s="206"/>
      <c r="I12" s="206"/>
      <c r="J12" s="206"/>
      <c r="K12" s="206"/>
    </row>
    <row r="13" spans="1:11" x14ac:dyDescent="0.2">
      <c r="A13" s="4">
        <v>12</v>
      </c>
      <c r="B13" s="9">
        <v>39912</v>
      </c>
      <c r="C13" s="10">
        <v>728000</v>
      </c>
      <c r="D13" s="10">
        <v>0</v>
      </c>
      <c r="E13" s="10">
        <v>0</v>
      </c>
      <c r="F13" s="29">
        <f t="shared" si="0"/>
        <v>728000</v>
      </c>
      <c r="H13" s="206"/>
      <c r="I13" s="206"/>
      <c r="J13" s="206"/>
      <c r="K13" s="206"/>
    </row>
    <row r="14" spans="1:11" x14ac:dyDescent="0.2">
      <c r="A14" s="4">
        <v>13</v>
      </c>
      <c r="B14" s="9">
        <v>39948</v>
      </c>
      <c r="C14" s="10">
        <v>693000</v>
      </c>
      <c r="D14" s="10">
        <v>0</v>
      </c>
      <c r="E14" s="10">
        <v>0</v>
      </c>
      <c r="F14" s="29">
        <f t="shared" si="0"/>
        <v>693000</v>
      </c>
      <c r="H14" s="64"/>
    </row>
    <row r="15" spans="1:11" x14ac:dyDescent="0.2">
      <c r="A15" s="4">
        <v>14</v>
      </c>
      <c r="B15" s="9">
        <v>39993</v>
      </c>
      <c r="C15" s="10">
        <v>565000</v>
      </c>
      <c r="D15" s="10">
        <v>0</v>
      </c>
      <c r="E15" s="10">
        <v>0</v>
      </c>
      <c r="F15" s="29">
        <f t="shared" si="0"/>
        <v>565000</v>
      </c>
      <c r="H15" s="64"/>
    </row>
    <row r="16" spans="1:11" x14ac:dyDescent="0.2">
      <c r="A16" s="4">
        <v>15</v>
      </c>
      <c r="B16" s="9">
        <v>40002</v>
      </c>
      <c r="C16" s="10">
        <v>475000</v>
      </c>
      <c r="D16" s="10">
        <v>0</v>
      </c>
      <c r="E16" s="10">
        <v>0</v>
      </c>
      <c r="F16" s="29">
        <f t="shared" si="0"/>
        <v>475000</v>
      </c>
      <c r="H16" s="64"/>
    </row>
    <row r="17" spans="1:8" x14ac:dyDescent="0.2">
      <c r="A17" s="4">
        <v>16</v>
      </c>
      <c r="B17" s="9">
        <v>40044</v>
      </c>
      <c r="C17" s="10">
        <v>371000</v>
      </c>
      <c r="D17" s="10">
        <v>0</v>
      </c>
      <c r="E17" s="10">
        <v>0</v>
      </c>
      <c r="F17" s="29">
        <f t="shared" si="0"/>
        <v>371000</v>
      </c>
      <c r="H17" s="64"/>
    </row>
    <row r="18" spans="1:8" x14ac:dyDescent="0.2">
      <c r="A18" s="4">
        <v>17</v>
      </c>
      <c r="B18" s="9">
        <v>40057</v>
      </c>
      <c r="C18" s="10">
        <v>364000</v>
      </c>
      <c r="D18" s="10">
        <v>0</v>
      </c>
      <c r="E18" s="10">
        <v>0</v>
      </c>
      <c r="F18" s="29">
        <f t="shared" si="0"/>
        <v>364000</v>
      </c>
      <c r="H18" s="64"/>
    </row>
    <row r="19" spans="1:8" x14ac:dyDescent="0.2">
      <c r="A19" s="4">
        <v>18</v>
      </c>
      <c r="B19" s="9">
        <v>40072</v>
      </c>
      <c r="C19" s="10">
        <v>355000</v>
      </c>
      <c r="D19" s="10">
        <v>0</v>
      </c>
      <c r="E19" s="10">
        <v>0</v>
      </c>
      <c r="F19" s="29">
        <f t="shared" si="0"/>
        <v>355000</v>
      </c>
    </row>
    <row r="20" spans="1:8" x14ac:dyDescent="0.2">
      <c r="A20" s="4">
        <v>19</v>
      </c>
      <c r="B20" s="9">
        <v>40112</v>
      </c>
      <c r="C20" s="10">
        <v>344000</v>
      </c>
      <c r="D20" s="10">
        <v>0</v>
      </c>
      <c r="E20" s="10">
        <v>0</v>
      </c>
      <c r="F20" s="29">
        <f t="shared" si="0"/>
        <v>344000</v>
      </c>
    </row>
    <row r="21" spans="1:8" x14ac:dyDescent="0.2">
      <c r="A21" s="4">
        <v>20</v>
      </c>
      <c r="B21" s="9">
        <v>40142</v>
      </c>
      <c r="C21" s="10">
        <v>332000</v>
      </c>
      <c r="D21" s="10">
        <v>0</v>
      </c>
      <c r="E21" s="10">
        <v>0</v>
      </c>
      <c r="F21" s="29">
        <f t="shared" si="0"/>
        <v>332000</v>
      </c>
    </row>
    <row r="22" spans="1:8" x14ac:dyDescent="0.2">
      <c r="A22" s="4">
        <v>21</v>
      </c>
      <c r="B22" s="9">
        <v>40177</v>
      </c>
      <c r="C22" s="10">
        <v>312000</v>
      </c>
      <c r="D22" s="10">
        <v>0</v>
      </c>
      <c r="E22" s="10">
        <v>0</v>
      </c>
      <c r="F22" s="29">
        <f t="shared" si="0"/>
        <v>312000</v>
      </c>
    </row>
    <row r="23" spans="1:8" x14ac:dyDescent="0.2">
      <c r="A23" s="4">
        <v>22</v>
      </c>
      <c r="B23" s="9">
        <v>40211</v>
      </c>
      <c r="C23" s="10">
        <v>201000</v>
      </c>
      <c r="D23" s="10">
        <v>0</v>
      </c>
      <c r="E23" s="10">
        <v>0</v>
      </c>
      <c r="F23" s="29">
        <f t="shared" si="0"/>
        <v>201000</v>
      </c>
    </row>
    <row r="24" spans="1:8" x14ac:dyDescent="0.2">
      <c r="A24" s="4">
        <v>23</v>
      </c>
      <c r="B24" s="9">
        <v>40239</v>
      </c>
      <c r="C24" s="10">
        <v>185000</v>
      </c>
      <c r="D24" s="10">
        <v>0</v>
      </c>
      <c r="E24" s="10">
        <v>0</v>
      </c>
      <c r="F24" s="29">
        <f t="shared" si="0"/>
        <v>185000</v>
      </c>
    </row>
    <row r="25" spans="1:8" x14ac:dyDescent="0.2">
      <c r="A25" s="4">
        <v>24</v>
      </c>
      <c r="B25" s="9">
        <v>40254</v>
      </c>
      <c r="C25" s="10">
        <v>138000</v>
      </c>
      <c r="D25" s="10">
        <v>0</v>
      </c>
      <c r="E25" s="10">
        <v>0</v>
      </c>
      <c r="F25" s="29">
        <f t="shared" si="0"/>
        <v>138000</v>
      </c>
    </row>
    <row r="26" spans="1:8" x14ac:dyDescent="0.2">
      <c r="A26" s="4">
        <v>25</v>
      </c>
      <c r="B26" s="9">
        <v>40284</v>
      </c>
      <c r="C26" s="10">
        <v>14976000</v>
      </c>
      <c r="D26" s="10">
        <v>0</v>
      </c>
      <c r="E26" s="10">
        <v>0</v>
      </c>
      <c r="F26" s="29">
        <f t="shared" si="0"/>
        <v>14976000</v>
      </c>
    </row>
    <row r="27" spans="1:8" x14ac:dyDescent="0.2">
      <c r="A27" s="4">
        <v>26</v>
      </c>
      <c r="B27" s="9">
        <v>40302</v>
      </c>
      <c r="C27" s="10">
        <v>600000</v>
      </c>
      <c r="D27" s="10">
        <v>0</v>
      </c>
      <c r="E27" s="10">
        <v>0</v>
      </c>
      <c r="F27" s="29">
        <f t="shared" si="0"/>
        <v>600000</v>
      </c>
    </row>
    <row r="28" spans="1:8" x14ac:dyDescent="0.2">
      <c r="A28" s="4">
        <v>27</v>
      </c>
      <c r="B28" s="9">
        <v>40331</v>
      </c>
      <c r="C28" s="10">
        <v>231700</v>
      </c>
      <c r="D28" s="10">
        <v>0</v>
      </c>
      <c r="E28" s="10">
        <v>0</v>
      </c>
      <c r="F28" s="29">
        <f t="shared" si="0"/>
        <v>231700</v>
      </c>
    </row>
    <row r="29" spans="1:8" x14ac:dyDescent="0.2">
      <c r="B29" s="139" t="s">
        <v>0</v>
      </c>
      <c r="C29" s="57">
        <f>SUM(C2:C28)</f>
        <v>26452000</v>
      </c>
      <c r="D29" s="57">
        <f t="shared" ref="D29:F29" si="1">SUM(D2:D28)</f>
        <v>0</v>
      </c>
      <c r="E29" s="57">
        <f t="shared" si="1"/>
        <v>2500</v>
      </c>
      <c r="F29" s="57">
        <f t="shared" si="1"/>
        <v>26454500</v>
      </c>
    </row>
    <row r="30" spans="1:8" x14ac:dyDescent="0.2">
      <c r="B30" s="139"/>
      <c r="C30" s="57"/>
      <c r="D30" s="57"/>
      <c r="E30" s="57"/>
      <c r="F30" s="57"/>
    </row>
    <row r="31" spans="1:8" x14ac:dyDescent="0.2">
      <c r="A31" s="139" t="s">
        <v>90</v>
      </c>
      <c r="B31" s="63">
        <v>40816</v>
      </c>
      <c r="C31" s="30">
        <v>-1697049.67</v>
      </c>
      <c r="D31" s="30">
        <v>0</v>
      </c>
      <c r="E31" s="30">
        <v>0</v>
      </c>
      <c r="F31" s="57">
        <f>SUM(C31:E31)</f>
        <v>-1697049.67</v>
      </c>
    </row>
    <row r="32" spans="1:8" x14ac:dyDescent="0.2">
      <c r="A32" s="139" t="s">
        <v>91</v>
      </c>
      <c r="B32" s="63">
        <v>41182</v>
      </c>
      <c r="C32" s="30">
        <v>-273106.8</v>
      </c>
      <c r="D32" s="30">
        <v>0</v>
      </c>
      <c r="E32" s="30">
        <v>0</v>
      </c>
      <c r="F32" s="57">
        <f>SUM(C32:E32)</f>
        <v>-273106.8</v>
      </c>
    </row>
    <row r="33" spans="1:11" ht="13.5" thickBot="1" x14ac:dyDescent="0.25">
      <c r="A33" s="187"/>
      <c r="B33" s="271" t="s">
        <v>124</v>
      </c>
      <c r="C33" s="270">
        <f>+SUM(C29:C32)</f>
        <v>24481843.529999997</v>
      </c>
      <c r="D33" s="270">
        <f t="shared" ref="D33:F33" si="2">+SUM(D29:D32)</f>
        <v>0</v>
      </c>
      <c r="E33" s="270">
        <f t="shared" si="2"/>
        <v>2500</v>
      </c>
      <c r="F33" s="270">
        <f t="shared" si="2"/>
        <v>24484343.529999997</v>
      </c>
    </row>
    <row r="34" spans="1:11" ht="13.5" thickTop="1" x14ac:dyDescent="0.2">
      <c r="B34" s="139"/>
      <c r="C34" s="57"/>
      <c r="D34" s="57"/>
      <c r="E34" s="57"/>
      <c r="F34" s="57"/>
    </row>
    <row r="35" spans="1:11" x14ac:dyDescent="0.2">
      <c r="C35" s="139" t="s">
        <v>43</v>
      </c>
      <c r="D35" s="139" t="s">
        <v>42</v>
      </c>
      <c r="G35"/>
      <c r="H35"/>
      <c r="I35"/>
      <c r="J35"/>
      <c r="K35"/>
    </row>
    <row r="36" spans="1:11" x14ac:dyDescent="0.2">
      <c r="B36" s="138" t="s">
        <v>26</v>
      </c>
      <c r="C36" s="188">
        <v>40313</v>
      </c>
      <c r="D36" s="188">
        <v>40313</v>
      </c>
      <c r="G36"/>
      <c r="H36"/>
      <c r="I36"/>
      <c r="J36"/>
      <c r="K36"/>
    </row>
    <row r="37" spans="1:11" x14ac:dyDescent="0.2">
      <c r="B37" s="138" t="s">
        <v>84</v>
      </c>
      <c r="C37" s="188">
        <v>40391</v>
      </c>
      <c r="D37" s="188">
        <v>40340</v>
      </c>
      <c r="G37"/>
      <c r="H37"/>
      <c r="I37"/>
      <c r="J37"/>
      <c r="K37"/>
    </row>
    <row r="38" spans="1:11" ht="13.5" thickBot="1" x14ac:dyDescent="0.25">
      <c r="B38" s="138"/>
      <c r="C38" s="17"/>
      <c r="D38" s="127"/>
    </row>
    <row r="39" spans="1:11" ht="13.5" thickBot="1" x14ac:dyDescent="0.25">
      <c r="A39" s="304" t="s">
        <v>25</v>
      </c>
      <c r="B39" s="305"/>
      <c r="C39" s="305"/>
      <c r="D39" s="305"/>
      <c r="E39" s="305"/>
      <c r="F39" s="305"/>
      <c r="G39" s="305"/>
      <c r="H39" s="305"/>
      <c r="I39" s="305"/>
      <c r="J39" s="305"/>
      <c r="K39" s="306"/>
    </row>
    <row r="40" spans="1:11" ht="51.75" thickBot="1" x14ac:dyDescent="0.25">
      <c r="A40" s="163" t="s">
        <v>9</v>
      </c>
      <c r="B40" s="164" t="s">
        <v>10</v>
      </c>
      <c r="C40" s="164" t="s">
        <v>11</v>
      </c>
      <c r="D40" s="164" t="s">
        <v>12</v>
      </c>
      <c r="E40" s="164" t="s">
        <v>13</v>
      </c>
      <c r="F40" s="164" t="s">
        <v>14</v>
      </c>
      <c r="G40" s="164" t="s">
        <v>32</v>
      </c>
      <c r="H40" s="164" t="s">
        <v>16</v>
      </c>
      <c r="I40" s="164" t="s">
        <v>85</v>
      </c>
      <c r="J40" s="164" t="s">
        <v>33</v>
      </c>
      <c r="K40" s="165" t="s">
        <v>15</v>
      </c>
    </row>
    <row r="41" spans="1:11" x14ac:dyDescent="0.2">
      <c r="A41" s="157"/>
      <c r="B41" s="166">
        <f>$D$36</f>
        <v>40313</v>
      </c>
      <c r="C41" s="166">
        <f>DATE(YEAR(B41),IF(MONTH(B41)&lt;=3,3,IF(MONTH(B41)&lt;=6,6,IF(MONTH(B41)&lt;=9,9,12))),IF(OR(MONTH(B41)&lt;=3,MONTH(B41)&gt;=10),31,30))</f>
        <v>40359</v>
      </c>
      <c r="D41" s="159">
        <f>C41-B41+1</f>
        <v>47</v>
      </c>
      <c r="E41" s="160">
        <f>VLOOKUP(C41,'FERC Interest Rate'!$A:$C,2,TRUE)</f>
        <v>3.2500000000000001E-2</v>
      </c>
      <c r="F41" s="161">
        <f>$C$29</f>
        <v>26452000</v>
      </c>
      <c r="G41" s="147">
        <v>0</v>
      </c>
      <c r="H41" s="162">
        <f>$C$29/20</f>
        <v>1322600</v>
      </c>
      <c r="I41" s="161">
        <f>F41*E41*(D41/(DATE(YEAR(C41),12,31)-DATE(YEAR(C41),1,1)+1))</f>
        <v>110699.80821917808</v>
      </c>
      <c r="J41" s="148">
        <f>SUM($I$41:$I$61)/20</f>
        <v>5534.9904109589042</v>
      </c>
      <c r="K41" s="130">
        <f>F41+I41-H41-J41</f>
        <v>25234564.817808222</v>
      </c>
    </row>
    <row r="42" spans="1:11" x14ac:dyDescent="0.2">
      <c r="A42" s="156"/>
      <c r="B42" s="167">
        <f>C41+1</f>
        <v>40360</v>
      </c>
      <c r="C42" s="167">
        <f>EOMONTH(C41,3)</f>
        <v>40451</v>
      </c>
      <c r="D42" s="142">
        <f t="shared" ref="D42:D60" si="3">C42-B42+1</f>
        <v>92</v>
      </c>
      <c r="E42" s="160">
        <f>VLOOKUP(C42,'FERC Interest Rate'!$A:$C,2,TRUE)</f>
        <v>3.2500000000000001E-2</v>
      </c>
      <c r="F42" s="148">
        <f>K41</f>
        <v>25234564.817808222</v>
      </c>
      <c r="G42" s="147">
        <f t="shared" ref="G42:G60" si="4">F42*E42*(D42/(DATE(YEAR(C42),12,31)-DATE(YEAR(C42),1,1)+1))</f>
        <v>206716.02412396329</v>
      </c>
      <c r="H42" s="147">
        <f>$C$29/20</f>
        <v>1322600</v>
      </c>
      <c r="I42" s="148">
        <v>0</v>
      </c>
      <c r="J42" s="148">
        <f t="shared" ref="J42:J60" si="5">SUM($I$41:$I$61)/20</f>
        <v>5534.9904109589042</v>
      </c>
      <c r="K42" s="130">
        <f t="shared" ref="K42:K59" si="6">F42+I42-H42-J42</f>
        <v>23906429.827397265</v>
      </c>
    </row>
    <row r="43" spans="1:11" x14ac:dyDescent="0.2">
      <c r="A43" s="156"/>
      <c r="B43" s="167">
        <f t="shared" ref="B43:B60" si="7">C42+1</f>
        <v>40452</v>
      </c>
      <c r="C43" s="167">
        <f>EOMONTH(C42,3)</f>
        <v>40543</v>
      </c>
      <c r="D43" s="142">
        <f t="shared" si="3"/>
        <v>92</v>
      </c>
      <c r="E43" s="160">
        <f>VLOOKUP(C43,'FERC Interest Rate'!$A:$C,2,TRUE)</f>
        <v>3.2500000000000001E-2</v>
      </c>
      <c r="F43" s="148">
        <f t="shared" ref="F43:F60" si="8">K42</f>
        <v>23906429.827397265</v>
      </c>
      <c r="G43" s="147">
        <f t="shared" si="4"/>
        <v>195836.23338059679</v>
      </c>
      <c r="H43" s="147">
        <f t="shared" ref="H43:H45" si="9">$C$29/20</f>
        <v>1322600</v>
      </c>
      <c r="I43" s="148">
        <v>0</v>
      </c>
      <c r="J43" s="148">
        <f t="shared" si="5"/>
        <v>5534.9904109589042</v>
      </c>
      <c r="K43" s="130">
        <f t="shared" si="6"/>
        <v>22578294.836986307</v>
      </c>
    </row>
    <row r="44" spans="1:11" x14ac:dyDescent="0.2">
      <c r="A44" s="156"/>
      <c r="B44" s="167">
        <f t="shared" si="7"/>
        <v>40544</v>
      </c>
      <c r="C44" s="167">
        <f t="shared" ref="C44:C60" si="10">EOMONTH(C43,3)</f>
        <v>40633</v>
      </c>
      <c r="D44" s="142">
        <f t="shared" si="3"/>
        <v>90</v>
      </c>
      <c r="E44" s="160">
        <f>VLOOKUP(C44,'FERC Interest Rate'!$A:$C,2,TRUE)</f>
        <v>3.2500000000000001E-2</v>
      </c>
      <c r="F44" s="148">
        <f t="shared" si="8"/>
        <v>22578294.836986307</v>
      </c>
      <c r="G44" s="147">
        <f t="shared" si="4"/>
        <v>180935.65040598615</v>
      </c>
      <c r="H44" s="147">
        <f t="shared" si="9"/>
        <v>1322600</v>
      </c>
      <c r="I44" s="148">
        <v>0</v>
      </c>
      <c r="J44" s="148">
        <f t="shared" si="5"/>
        <v>5534.9904109589042</v>
      </c>
      <c r="K44" s="130">
        <f t="shared" si="6"/>
        <v>21250159.84657535</v>
      </c>
    </row>
    <row r="45" spans="1:11" x14ac:dyDescent="0.2">
      <c r="A45" s="156"/>
      <c r="B45" s="167">
        <f t="shared" si="7"/>
        <v>40634</v>
      </c>
      <c r="C45" s="167">
        <f t="shared" si="10"/>
        <v>40724</v>
      </c>
      <c r="D45" s="142">
        <f t="shared" si="3"/>
        <v>91</v>
      </c>
      <c r="E45" s="160">
        <f>VLOOKUP(C45,'FERC Interest Rate'!$A:$C,2,TRUE)</f>
        <v>3.2500000000000001E-2</v>
      </c>
      <c r="F45" s="148">
        <f t="shared" si="8"/>
        <v>21250159.84657535</v>
      </c>
      <c r="G45" s="147">
        <f t="shared" si="4"/>
        <v>172184.51437327836</v>
      </c>
      <c r="H45" s="147">
        <f t="shared" si="9"/>
        <v>1322600</v>
      </c>
      <c r="I45" s="148">
        <v>0</v>
      </c>
      <c r="J45" s="148">
        <f t="shared" si="5"/>
        <v>5534.9904109589042</v>
      </c>
      <c r="K45" s="130">
        <f t="shared" si="6"/>
        <v>19922024.856164392</v>
      </c>
    </row>
    <row r="46" spans="1:11" x14ac:dyDescent="0.2">
      <c r="A46" s="156"/>
      <c r="B46" s="167">
        <f t="shared" si="7"/>
        <v>40725</v>
      </c>
      <c r="C46" s="167">
        <f t="shared" si="10"/>
        <v>40816</v>
      </c>
      <c r="D46" s="142">
        <f t="shared" si="3"/>
        <v>92</v>
      </c>
      <c r="E46" s="160">
        <f>VLOOKUP(C46,'FERC Interest Rate'!$A:$C,2,TRUE)</f>
        <v>3.2500000000000001E-2</v>
      </c>
      <c r="F46" s="148">
        <f t="shared" si="8"/>
        <v>19922024.856164392</v>
      </c>
      <c r="G46" s="147">
        <f t="shared" si="4"/>
        <v>163196.86115049737</v>
      </c>
      <c r="H46" s="147">
        <f>(($C$29+$C$31)-SUM($H$41:$H$45))/15+(-$C$31)</f>
        <v>2906513.0253333328</v>
      </c>
      <c r="I46" s="148">
        <v>0</v>
      </c>
      <c r="J46" s="148">
        <f t="shared" si="5"/>
        <v>5534.9904109589042</v>
      </c>
      <c r="K46" s="130">
        <f t="shared" si="6"/>
        <v>17009976.840420101</v>
      </c>
    </row>
    <row r="47" spans="1:11" x14ac:dyDescent="0.2">
      <c r="A47" s="156"/>
      <c r="B47" s="167">
        <f t="shared" si="7"/>
        <v>40817</v>
      </c>
      <c r="C47" s="167">
        <f t="shared" si="10"/>
        <v>40908</v>
      </c>
      <c r="D47" s="142">
        <f t="shared" si="3"/>
        <v>92</v>
      </c>
      <c r="E47" s="160">
        <f>VLOOKUP(C47,'FERC Interest Rate'!$A:$C,2,TRUE)</f>
        <v>3.2500000000000001E-2</v>
      </c>
      <c r="F47" s="148">
        <f t="shared" si="8"/>
        <v>17009976.840420101</v>
      </c>
      <c r="G47" s="147">
        <f t="shared" si="4"/>
        <v>139342.00206261949</v>
      </c>
      <c r="H47" s="147">
        <f>(($C$29+$C$31)-SUM($H$41:$H$45))/15</f>
        <v>1209463.3553333331</v>
      </c>
      <c r="I47" s="148">
        <v>0</v>
      </c>
      <c r="J47" s="148">
        <f t="shared" si="5"/>
        <v>5534.9904109589042</v>
      </c>
      <c r="K47" s="130">
        <f t="shared" si="6"/>
        <v>15794978.494675808</v>
      </c>
    </row>
    <row r="48" spans="1:11" x14ac:dyDescent="0.2">
      <c r="A48" s="156"/>
      <c r="B48" s="167">
        <f t="shared" si="7"/>
        <v>40909</v>
      </c>
      <c r="C48" s="167">
        <f t="shared" si="10"/>
        <v>40999</v>
      </c>
      <c r="D48" s="142">
        <f t="shared" si="3"/>
        <v>91</v>
      </c>
      <c r="E48" s="160">
        <f>VLOOKUP(C48,'FERC Interest Rate'!$A:$C,2,TRUE)</f>
        <v>3.2500000000000001E-2</v>
      </c>
      <c r="F48" s="148">
        <f t="shared" si="8"/>
        <v>15794978.494675808</v>
      </c>
      <c r="G48" s="147">
        <f t="shared" si="4"/>
        <v>127632.92048634891</v>
      </c>
      <c r="H48" s="147">
        <f>(($C$29+$C$31)-SUM($H$41:$H$45))/15</f>
        <v>1209463.3553333331</v>
      </c>
      <c r="I48" s="148">
        <v>0</v>
      </c>
      <c r="J48" s="148">
        <f t="shared" si="5"/>
        <v>5534.9904109589042</v>
      </c>
      <c r="K48" s="130">
        <f t="shared" si="6"/>
        <v>14579980.148931514</v>
      </c>
    </row>
    <row r="49" spans="1:11" x14ac:dyDescent="0.2">
      <c r="A49" s="156"/>
      <c r="B49" s="167">
        <f t="shared" si="7"/>
        <v>41000</v>
      </c>
      <c r="C49" s="167">
        <f t="shared" si="10"/>
        <v>41090</v>
      </c>
      <c r="D49" s="142">
        <f t="shared" si="3"/>
        <v>91</v>
      </c>
      <c r="E49" s="160">
        <f>VLOOKUP(C49,'FERC Interest Rate'!$A:$C,2,TRUE)</f>
        <v>3.2500000000000001E-2</v>
      </c>
      <c r="F49" s="148">
        <f t="shared" si="8"/>
        <v>14579980.148931514</v>
      </c>
      <c r="G49" s="147">
        <f t="shared" si="4"/>
        <v>117815.00352586053</v>
      </c>
      <c r="H49" s="147">
        <f>(($C$29+$C$31)-SUM($H$41:$H$45))/15</f>
        <v>1209463.3553333331</v>
      </c>
      <c r="I49" s="148">
        <v>0</v>
      </c>
      <c r="J49" s="148">
        <f t="shared" si="5"/>
        <v>5534.9904109589042</v>
      </c>
      <c r="K49" s="130">
        <f t="shared" si="6"/>
        <v>13364981.803187221</v>
      </c>
    </row>
    <row r="50" spans="1:11" x14ac:dyDescent="0.2">
      <c r="A50" s="156"/>
      <c r="B50" s="167">
        <f t="shared" si="7"/>
        <v>41091</v>
      </c>
      <c r="C50" s="167">
        <f t="shared" si="10"/>
        <v>41182</v>
      </c>
      <c r="D50" s="142">
        <f t="shared" si="3"/>
        <v>92</v>
      </c>
      <c r="E50" s="160">
        <f>VLOOKUP(C50,'FERC Interest Rate'!$A:$C,2,TRUE)</f>
        <v>3.2500000000000001E-2</v>
      </c>
      <c r="F50" s="148">
        <f t="shared" si="8"/>
        <v>13364981.803187221</v>
      </c>
      <c r="G50" s="147">
        <f t="shared" si="4"/>
        <v>109183.8677364202</v>
      </c>
      <c r="H50" s="147">
        <f>H49+-C32</f>
        <v>1482570.1553333332</v>
      </c>
      <c r="I50" s="148">
        <v>0</v>
      </c>
      <c r="J50" s="148">
        <f t="shared" si="5"/>
        <v>5534.9904109589042</v>
      </c>
      <c r="K50" s="130">
        <f t="shared" si="6"/>
        <v>11876876.657442929</v>
      </c>
    </row>
    <row r="51" spans="1:11" x14ac:dyDescent="0.2">
      <c r="A51" s="156"/>
      <c r="B51" s="167">
        <f t="shared" si="7"/>
        <v>41183</v>
      </c>
      <c r="C51" s="167">
        <f t="shared" si="10"/>
        <v>41274</v>
      </c>
      <c r="D51" s="142">
        <f t="shared" si="3"/>
        <v>92</v>
      </c>
      <c r="E51" s="160">
        <f>VLOOKUP(C51,'FERC Interest Rate'!$A:$C,2,TRUE)</f>
        <v>3.2500000000000001E-2</v>
      </c>
      <c r="F51" s="148">
        <f t="shared" si="8"/>
        <v>11876876.657442929</v>
      </c>
      <c r="G51" s="147">
        <f t="shared" si="4"/>
        <v>97026.943185121199</v>
      </c>
      <c r="H51" s="147">
        <f t="shared" ref="H51:H60" si="11">(($C$29)-SUM($H$41:$H$50))/10</f>
        <v>1182152.6753333332</v>
      </c>
      <c r="I51" s="148">
        <v>0</v>
      </c>
      <c r="J51" s="148">
        <f t="shared" si="5"/>
        <v>5534.9904109589042</v>
      </c>
      <c r="K51" s="130">
        <f t="shared" si="6"/>
        <v>10689188.991698636</v>
      </c>
    </row>
    <row r="52" spans="1:11" x14ac:dyDescent="0.2">
      <c r="A52" s="156"/>
      <c r="B52" s="167">
        <f t="shared" si="7"/>
        <v>41275</v>
      </c>
      <c r="C52" s="167">
        <f t="shared" si="10"/>
        <v>41364</v>
      </c>
      <c r="D52" s="142">
        <f t="shared" si="3"/>
        <v>90</v>
      </c>
      <c r="E52" s="160">
        <f>VLOOKUP(C52,'FERC Interest Rate'!$A:$C,2,TRUE)</f>
        <v>3.2500000000000001E-2</v>
      </c>
      <c r="F52" s="148">
        <f t="shared" si="8"/>
        <v>10689188.991698636</v>
      </c>
      <c r="G52" s="147">
        <f t="shared" si="4"/>
        <v>85659.9391800507</v>
      </c>
      <c r="H52" s="147">
        <f t="shared" si="11"/>
        <v>1182152.6753333332</v>
      </c>
      <c r="I52" s="148">
        <v>0</v>
      </c>
      <c r="J52" s="148">
        <f t="shared" si="5"/>
        <v>5534.9904109589042</v>
      </c>
      <c r="K52" s="130">
        <f t="shared" si="6"/>
        <v>9501501.3259543423</v>
      </c>
    </row>
    <row r="53" spans="1:11" x14ac:dyDescent="0.2">
      <c r="A53" s="156"/>
      <c r="B53" s="167">
        <f t="shared" si="7"/>
        <v>41365</v>
      </c>
      <c r="C53" s="167">
        <f t="shared" si="10"/>
        <v>41455</v>
      </c>
      <c r="D53" s="142">
        <f t="shared" si="3"/>
        <v>91</v>
      </c>
      <c r="E53" s="160">
        <f>VLOOKUP(C53,'FERC Interest Rate'!$A:$C,2,TRUE)</f>
        <v>3.2500000000000001E-2</v>
      </c>
      <c r="F53" s="148">
        <f t="shared" si="8"/>
        <v>9501501.3259543423</v>
      </c>
      <c r="G53" s="147">
        <f t="shared" si="4"/>
        <v>76988.192250712251</v>
      </c>
      <c r="H53" s="147">
        <f t="shared" si="11"/>
        <v>1182152.6753333332</v>
      </c>
      <c r="I53" s="148">
        <v>0</v>
      </c>
      <c r="J53" s="148">
        <f t="shared" si="5"/>
        <v>5534.9904109589042</v>
      </c>
      <c r="K53" s="130">
        <f t="shared" si="6"/>
        <v>8313813.6602100497</v>
      </c>
    </row>
    <row r="54" spans="1:11" x14ac:dyDescent="0.2">
      <c r="A54" s="156"/>
      <c r="B54" s="167">
        <f t="shared" si="7"/>
        <v>41456</v>
      </c>
      <c r="C54" s="167">
        <f t="shared" si="10"/>
        <v>41547</v>
      </c>
      <c r="D54" s="142">
        <f t="shared" si="3"/>
        <v>92</v>
      </c>
      <c r="E54" s="160">
        <f>VLOOKUP(C54,'FERC Interest Rate'!$A:$C,2,TRUE)</f>
        <v>3.2500000000000001E-2</v>
      </c>
      <c r="F54" s="148">
        <f t="shared" si="8"/>
        <v>8313813.6602100497</v>
      </c>
      <c r="G54" s="147">
        <f t="shared" si="4"/>
        <v>68104.939298706988</v>
      </c>
      <c r="H54" s="147">
        <f t="shared" si="11"/>
        <v>1182152.6753333332</v>
      </c>
      <c r="I54" s="148">
        <v>0</v>
      </c>
      <c r="J54" s="148">
        <f t="shared" si="5"/>
        <v>5534.9904109589042</v>
      </c>
      <c r="K54" s="130">
        <f t="shared" si="6"/>
        <v>7126125.9944657572</v>
      </c>
    </row>
    <row r="55" spans="1:11" x14ac:dyDescent="0.2">
      <c r="A55" s="156"/>
      <c r="B55" s="167">
        <f t="shared" si="7"/>
        <v>41548</v>
      </c>
      <c r="C55" s="167">
        <f t="shared" si="10"/>
        <v>41639</v>
      </c>
      <c r="D55" s="142">
        <f t="shared" si="3"/>
        <v>92</v>
      </c>
      <c r="E55" s="160">
        <f>VLOOKUP(C55,'FERC Interest Rate'!$A:$C,2,TRUE)</f>
        <v>3.2500000000000001E-2</v>
      </c>
      <c r="F55" s="148">
        <f t="shared" si="8"/>
        <v>7126125.9944657572</v>
      </c>
      <c r="G55" s="147">
        <f t="shared" si="4"/>
        <v>58375.662256034564</v>
      </c>
      <c r="H55" s="147">
        <f t="shared" si="11"/>
        <v>1182152.6753333332</v>
      </c>
      <c r="I55" s="148">
        <v>0</v>
      </c>
      <c r="J55" s="148">
        <f t="shared" si="5"/>
        <v>5534.9904109589042</v>
      </c>
      <c r="K55" s="130">
        <f t="shared" si="6"/>
        <v>5938438.3287214646</v>
      </c>
    </row>
    <row r="56" spans="1:11" x14ac:dyDescent="0.2">
      <c r="A56" s="156"/>
      <c r="B56" s="167">
        <f t="shared" si="7"/>
        <v>41640</v>
      </c>
      <c r="C56" s="167">
        <f t="shared" si="10"/>
        <v>41729</v>
      </c>
      <c r="D56" s="142">
        <f t="shared" si="3"/>
        <v>90</v>
      </c>
      <c r="E56" s="160">
        <f>VLOOKUP(C56,'FERC Interest Rate'!$A:$C,2,TRUE)</f>
        <v>3.2500000000000001E-2</v>
      </c>
      <c r="F56" s="148">
        <f t="shared" si="8"/>
        <v>5938438.3287214646</v>
      </c>
      <c r="G56" s="147">
        <f t="shared" si="4"/>
        <v>47588.855100028173</v>
      </c>
      <c r="H56" s="147">
        <f t="shared" si="11"/>
        <v>1182152.6753333332</v>
      </c>
      <c r="I56" s="148">
        <v>0</v>
      </c>
      <c r="J56" s="148">
        <f t="shared" si="5"/>
        <v>5534.9904109589042</v>
      </c>
      <c r="K56" s="130">
        <f t="shared" si="6"/>
        <v>4750750.6629771721</v>
      </c>
    </row>
    <row r="57" spans="1:11" x14ac:dyDescent="0.2">
      <c r="A57" s="156"/>
      <c r="B57" s="167">
        <f t="shared" si="7"/>
        <v>41730</v>
      </c>
      <c r="C57" s="167">
        <f t="shared" si="10"/>
        <v>41820</v>
      </c>
      <c r="D57" s="142">
        <f t="shared" si="3"/>
        <v>91</v>
      </c>
      <c r="E57" s="160">
        <f>VLOOKUP(C57,'FERC Interest Rate'!$A:$C,2,TRUE)</f>
        <v>3.2500000000000001E-2</v>
      </c>
      <c r="F57" s="148">
        <f t="shared" si="8"/>
        <v>4750750.6629771721</v>
      </c>
      <c r="G57" s="147">
        <f t="shared" si="4"/>
        <v>38494.096125356133</v>
      </c>
      <c r="H57" s="147">
        <f t="shared" si="11"/>
        <v>1182152.6753333332</v>
      </c>
      <c r="I57" s="148">
        <v>0</v>
      </c>
      <c r="J57" s="148">
        <f t="shared" si="5"/>
        <v>5534.9904109589042</v>
      </c>
      <c r="K57" s="130">
        <f t="shared" si="6"/>
        <v>3563062.99723288</v>
      </c>
    </row>
    <row r="58" spans="1:11" x14ac:dyDescent="0.2">
      <c r="A58" s="156"/>
      <c r="B58" s="167">
        <f t="shared" si="7"/>
        <v>41821</v>
      </c>
      <c r="C58" s="167">
        <f t="shared" si="10"/>
        <v>41912</v>
      </c>
      <c r="D58" s="142">
        <f t="shared" si="3"/>
        <v>92</v>
      </c>
      <c r="E58" s="160">
        <f>VLOOKUP(C58,'FERC Interest Rate'!$A:$C,2,TRUE)</f>
        <v>3.2500000000000001E-2</v>
      </c>
      <c r="F58" s="148">
        <f t="shared" si="8"/>
        <v>3563062.99723288</v>
      </c>
      <c r="G58" s="147">
        <f t="shared" si="4"/>
        <v>29187.831128017293</v>
      </c>
      <c r="H58" s="147">
        <f t="shared" si="11"/>
        <v>1182152.6753333332</v>
      </c>
      <c r="I58" s="148">
        <v>0</v>
      </c>
      <c r="J58" s="148">
        <f t="shared" si="5"/>
        <v>5534.9904109589042</v>
      </c>
      <c r="K58" s="130">
        <f t="shared" si="6"/>
        <v>2375375.3314885879</v>
      </c>
    </row>
    <row r="59" spans="1:11" x14ac:dyDescent="0.2">
      <c r="A59" s="156"/>
      <c r="B59" s="167">
        <f t="shared" si="7"/>
        <v>41913</v>
      </c>
      <c r="C59" s="167">
        <f t="shared" si="10"/>
        <v>42004</v>
      </c>
      <c r="D59" s="142">
        <f t="shared" si="3"/>
        <v>92</v>
      </c>
      <c r="E59" s="160">
        <f>VLOOKUP(C59,'FERC Interest Rate'!$A:$C,2,TRUE)</f>
        <v>3.2500000000000001E-2</v>
      </c>
      <c r="F59" s="148">
        <f t="shared" si="8"/>
        <v>2375375.3314885879</v>
      </c>
      <c r="G59" s="147">
        <f t="shared" si="4"/>
        <v>19458.554085344873</v>
      </c>
      <c r="H59" s="147">
        <f t="shared" si="11"/>
        <v>1182152.6753333332</v>
      </c>
      <c r="I59" s="148">
        <v>0</v>
      </c>
      <c r="J59" s="148">
        <f t="shared" si="5"/>
        <v>5534.9904109589042</v>
      </c>
      <c r="K59" s="130">
        <f t="shared" si="6"/>
        <v>1187687.6657442958</v>
      </c>
    </row>
    <row r="60" spans="1:11" x14ac:dyDescent="0.2">
      <c r="A60" s="156"/>
      <c r="B60" s="167">
        <f t="shared" si="7"/>
        <v>42005</v>
      </c>
      <c r="C60" s="167">
        <f t="shared" si="10"/>
        <v>42094</v>
      </c>
      <c r="D60" s="142">
        <f t="shared" si="3"/>
        <v>90</v>
      </c>
      <c r="E60" s="160">
        <f>VLOOKUP(C60,'FERC Interest Rate'!$A:$C,2,TRUE)</f>
        <v>3.2500000000000001E-2</v>
      </c>
      <c r="F60" s="148">
        <f t="shared" si="8"/>
        <v>1187687.6657442958</v>
      </c>
      <c r="G60" s="147">
        <f t="shared" si="4"/>
        <v>9517.7710200056572</v>
      </c>
      <c r="H60" s="147">
        <f t="shared" si="11"/>
        <v>1182152.6753333332</v>
      </c>
      <c r="I60" s="148">
        <v>0</v>
      </c>
      <c r="J60" s="148">
        <f t="shared" si="5"/>
        <v>5534.9904109589042</v>
      </c>
      <c r="K60" s="130">
        <f>F60+I60-H60-J60</f>
        <v>3.7034624256193638E-9</v>
      </c>
    </row>
    <row r="61" spans="1:11" ht="13.5" thickBot="1" x14ac:dyDescent="0.25">
      <c r="A61" s="129"/>
      <c r="B61" s="144"/>
      <c r="C61" s="144"/>
      <c r="D61" s="121"/>
      <c r="E61" s="122"/>
      <c r="F61" s="145"/>
      <c r="G61" s="145"/>
      <c r="H61" s="146"/>
      <c r="I61" s="123"/>
      <c r="J61" s="123"/>
      <c r="K61" s="128"/>
    </row>
    <row r="62" spans="1:11" x14ac:dyDescent="0.2">
      <c r="A62" s="5"/>
      <c r="B62" s="41"/>
      <c r="C62" s="41"/>
      <c r="D62" s="42"/>
      <c r="E62" s="43"/>
      <c r="F62" s="126"/>
      <c r="G62" s="126"/>
      <c r="H62" s="58"/>
      <c r="I62" s="58"/>
      <c r="J62" s="44"/>
    </row>
    <row r="63" spans="1:11" ht="13.5" thickBot="1" x14ac:dyDescent="0.25"/>
    <row r="64" spans="1:11" ht="13.5" thickBot="1" x14ac:dyDescent="0.25">
      <c r="A64" s="304" t="s">
        <v>71</v>
      </c>
      <c r="B64" s="305"/>
      <c r="C64" s="305"/>
      <c r="D64" s="305"/>
      <c r="E64" s="305"/>
      <c r="F64" s="305"/>
      <c r="G64" s="305"/>
      <c r="H64" s="305"/>
      <c r="I64" s="305"/>
      <c r="J64" s="305"/>
      <c r="K64" s="306"/>
    </row>
    <row r="65" spans="1:11" ht="51.75" thickBot="1" x14ac:dyDescent="0.25">
      <c r="A65" s="163" t="s">
        <v>9</v>
      </c>
      <c r="B65" s="164" t="s">
        <v>10</v>
      </c>
      <c r="C65" s="164" t="s">
        <v>11</v>
      </c>
      <c r="D65" s="164" t="s">
        <v>12</v>
      </c>
      <c r="E65" s="164" t="s">
        <v>13</v>
      </c>
      <c r="F65" s="164" t="s">
        <v>14</v>
      </c>
      <c r="G65" s="164" t="s">
        <v>32</v>
      </c>
      <c r="H65" s="164" t="s">
        <v>16</v>
      </c>
      <c r="I65" s="164" t="s">
        <v>85</v>
      </c>
      <c r="J65" s="164" t="s">
        <v>33</v>
      </c>
      <c r="K65" s="165" t="s">
        <v>15</v>
      </c>
    </row>
    <row r="66" spans="1:11" x14ac:dyDescent="0.2">
      <c r="A66" s="266"/>
      <c r="B66" s="267">
        <f>$B$2</f>
        <v>39574</v>
      </c>
      <c r="C66" s="267">
        <f>DATE(YEAR(B66),IF(MONTH(B66)&lt;=3,3,IF(MONTH(B66)&lt;=6,6,IF(MONTH(B66)&lt;=9,9,12))),IF(OR(MONTH(B66)&lt;=3,MONTH(B66)&gt;=10),31,30))</f>
        <v>39629</v>
      </c>
      <c r="D66" s="159">
        <f>C66-B66+1</f>
        <v>56</v>
      </c>
      <c r="E66" s="160">
        <f>VLOOKUP(C66,'FERC Interest Rate'!$A:$C,2,TRUE)</f>
        <v>6.7699999999999996E-2</v>
      </c>
      <c r="F66" s="254">
        <f>$E$2</f>
        <v>2500</v>
      </c>
      <c r="G66" s="272">
        <v>0</v>
      </c>
      <c r="H66" s="273">
        <v>0</v>
      </c>
      <c r="I66" s="254">
        <f t="shared" ref="I66:I74" si="12">F66*E66*(D66/(DATE(YEAR(C66),12,31)-DATE(YEAR(C66),1,1)+1))</f>
        <v>25.89617486338798</v>
      </c>
      <c r="J66" s="272">
        <v>0</v>
      </c>
      <c r="K66" s="255">
        <f>F66+I66-H66-J66</f>
        <v>2525.8961748633878</v>
      </c>
    </row>
    <row r="67" spans="1:11" x14ac:dyDescent="0.2">
      <c r="A67" s="256"/>
      <c r="B67" s="257">
        <f>C66+1</f>
        <v>39630</v>
      </c>
      <c r="C67" s="257">
        <f>EOMONTH(C66,3)</f>
        <v>39721</v>
      </c>
      <c r="D67" s="142">
        <f t="shared" ref="D67:D85" si="13">C67-B67+1</f>
        <v>92</v>
      </c>
      <c r="E67" s="160">
        <f>VLOOKUP(C67,'FERC Interest Rate'!$A:$C,2,TRUE)</f>
        <v>5.2999999999999999E-2</v>
      </c>
      <c r="F67" s="260">
        <f>K66</f>
        <v>2525.8961748633878</v>
      </c>
      <c r="G67" s="272">
        <v>0</v>
      </c>
      <c r="H67" s="272">
        <v>0</v>
      </c>
      <c r="I67" s="254">
        <f t="shared" si="12"/>
        <v>33.651010242169065</v>
      </c>
      <c r="J67" s="272">
        <v>0</v>
      </c>
      <c r="K67" s="255">
        <f t="shared" ref="K67:K93" si="14">F67+I67-H67-J67</f>
        <v>2559.5471851055568</v>
      </c>
    </row>
    <row r="68" spans="1:11" x14ac:dyDescent="0.2">
      <c r="A68" s="256"/>
      <c r="B68" s="257">
        <f t="shared" ref="B68:B93" si="15">C67+1</f>
        <v>39722</v>
      </c>
      <c r="C68" s="257">
        <f t="shared" ref="C68:C85" si="16">EOMONTH(C67,3)</f>
        <v>39813</v>
      </c>
      <c r="D68" s="142">
        <f t="shared" si="13"/>
        <v>92</v>
      </c>
      <c r="E68" s="160">
        <f>VLOOKUP(C68,'FERC Interest Rate'!$A:$C,2,TRUE)</f>
        <v>0.05</v>
      </c>
      <c r="F68" s="260">
        <f t="shared" ref="F68:F85" si="17">K67</f>
        <v>2559.5471851055568</v>
      </c>
      <c r="G68" s="272">
        <v>0</v>
      </c>
      <c r="H68" s="272">
        <v>0</v>
      </c>
      <c r="I68" s="254">
        <f t="shared" si="12"/>
        <v>32.169172271818475</v>
      </c>
      <c r="J68" s="272">
        <v>0</v>
      </c>
      <c r="K68" s="255">
        <f t="shared" si="14"/>
        <v>2591.7163573773751</v>
      </c>
    </row>
    <row r="69" spans="1:11" x14ac:dyDescent="0.2">
      <c r="A69" s="256"/>
      <c r="B69" s="257">
        <f t="shared" si="15"/>
        <v>39814</v>
      </c>
      <c r="C69" s="257">
        <f t="shared" si="16"/>
        <v>39903</v>
      </c>
      <c r="D69" s="142">
        <f t="shared" si="13"/>
        <v>90</v>
      </c>
      <c r="E69" s="160">
        <f>VLOOKUP(C69,'FERC Interest Rate'!$A:$C,2,TRUE)</f>
        <v>4.5199999999999997E-2</v>
      </c>
      <c r="F69" s="260">
        <f t="shared" si="17"/>
        <v>2591.7163573773751</v>
      </c>
      <c r="G69" s="272">
        <v>0</v>
      </c>
      <c r="H69" s="272">
        <v>0</v>
      </c>
      <c r="I69" s="254">
        <f t="shared" si="12"/>
        <v>28.885211347427838</v>
      </c>
      <c r="J69" s="272">
        <v>0</v>
      </c>
      <c r="K69" s="255">
        <f t="shared" si="14"/>
        <v>2620.6015687248027</v>
      </c>
    </row>
    <row r="70" spans="1:11" x14ac:dyDescent="0.2">
      <c r="A70" s="256"/>
      <c r="B70" s="257">
        <f t="shared" si="15"/>
        <v>39904</v>
      </c>
      <c r="C70" s="257">
        <f t="shared" si="16"/>
        <v>39994</v>
      </c>
      <c r="D70" s="142">
        <f t="shared" si="13"/>
        <v>91</v>
      </c>
      <c r="E70" s="160">
        <f>VLOOKUP(C70,'FERC Interest Rate'!$A:$C,2,TRUE)</f>
        <v>3.3700000000000001E-2</v>
      </c>
      <c r="F70" s="260">
        <f t="shared" si="17"/>
        <v>2620.6015687248027</v>
      </c>
      <c r="G70" s="272">
        <v>0</v>
      </c>
      <c r="H70" s="272">
        <v>0</v>
      </c>
      <c r="I70" s="254">
        <f t="shared" si="12"/>
        <v>22.018078988516038</v>
      </c>
      <c r="J70" s="272">
        <v>0</v>
      </c>
      <c r="K70" s="255">
        <f t="shared" si="14"/>
        <v>2642.619647713319</v>
      </c>
    </row>
    <row r="71" spans="1:11" x14ac:dyDescent="0.2">
      <c r="A71" s="256"/>
      <c r="B71" s="257">
        <f t="shared" si="15"/>
        <v>39995</v>
      </c>
      <c r="C71" s="257">
        <f t="shared" si="16"/>
        <v>40086</v>
      </c>
      <c r="D71" s="142">
        <f t="shared" si="13"/>
        <v>92</v>
      </c>
      <c r="E71" s="160">
        <f>VLOOKUP(C71,'FERC Interest Rate'!$A:$C,2,TRUE)</f>
        <v>3.2500000000000001E-2</v>
      </c>
      <c r="F71" s="260">
        <f t="shared" si="17"/>
        <v>2642.619647713319</v>
      </c>
      <c r="G71" s="272">
        <v>0</v>
      </c>
      <c r="H71" s="272">
        <v>0</v>
      </c>
      <c r="I71" s="254">
        <f t="shared" si="12"/>
        <v>21.647760949761164</v>
      </c>
      <c r="J71" s="272">
        <v>0</v>
      </c>
      <c r="K71" s="255">
        <f t="shared" si="14"/>
        <v>2664.26740866308</v>
      </c>
    </row>
    <row r="72" spans="1:11" x14ac:dyDescent="0.2">
      <c r="A72" s="256"/>
      <c r="B72" s="257">
        <f t="shared" si="15"/>
        <v>40087</v>
      </c>
      <c r="C72" s="257">
        <f t="shared" si="16"/>
        <v>40178</v>
      </c>
      <c r="D72" s="142">
        <f t="shared" si="13"/>
        <v>92</v>
      </c>
      <c r="E72" s="160">
        <f>VLOOKUP(C72,'FERC Interest Rate'!$A:$C,2,TRUE)</f>
        <v>3.2500000000000001E-2</v>
      </c>
      <c r="F72" s="260">
        <f t="shared" si="17"/>
        <v>2664.26740866308</v>
      </c>
      <c r="G72" s="272">
        <v>0</v>
      </c>
      <c r="H72" s="272">
        <v>0</v>
      </c>
      <c r="I72" s="254">
        <f t="shared" si="12"/>
        <v>21.825094662746874</v>
      </c>
      <c r="J72" s="272">
        <v>0</v>
      </c>
      <c r="K72" s="255">
        <f t="shared" si="14"/>
        <v>2686.0925033258268</v>
      </c>
    </row>
    <row r="73" spans="1:11" x14ac:dyDescent="0.2">
      <c r="A73" s="256"/>
      <c r="B73" s="257">
        <f t="shared" si="15"/>
        <v>40179</v>
      </c>
      <c r="C73" s="257">
        <f t="shared" si="16"/>
        <v>40268</v>
      </c>
      <c r="D73" s="142">
        <f t="shared" si="13"/>
        <v>90</v>
      </c>
      <c r="E73" s="160">
        <f>VLOOKUP(C73,'FERC Interest Rate'!$A:$C,2,TRUE)</f>
        <v>3.2500000000000001E-2</v>
      </c>
      <c r="F73" s="260">
        <f t="shared" si="17"/>
        <v>2686.0925033258268</v>
      </c>
      <c r="G73" s="272">
        <v>0</v>
      </c>
      <c r="H73" s="272">
        <v>0</v>
      </c>
      <c r="I73" s="254">
        <f t="shared" si="12"/>
        <v>21.525535814323405</v>
      </c>
      <c r="J73" s="272">
        <v>0</v>
      </c>
      <c r="K73" s="255">
        <f t="shared" si="14"/>
        <v>2707.6180391401504</v>
      </c>
    </row>
    <row r="74" spans="1:11" x14ac:dyDescent="0.2">
      <c r="A74" s="156"/>
      <c r="B74" s="167">
        <f t="shared" si="15"/>
        <v>40269</v>
      </c>
      <c r="C74" s="167">
        <f t="shared" si="16"/>
        <v>40359</v>
      </c>
      <c r="D74" s="142">
        <f t="shared" si="13"/>
        <v>91</v>
      </c>
      <c r="E74" s="160">
        <f>VLOOKUP(C74,'FERC Interest Rate'!$A:$C,2,TRUE)</f>
        <v>3.2500000000000001E-2</v>
      </c>
      <c r="F74" s="148">
        <f>K73</f>
        <v>2707.6180391401504</v>
      </c>
      <c r="G74" s="272">
        <v>0</v>
      </c>
      <c r="H74" s="147">
        <f>$F$66/20</f>
        <v>125</v>
      </c>
      <c r="I74" s="254">
        <f t="shared" si="12"/>
        <v>21.9391242486493</v>
      </c>
      <c r="J74" s="148">
        <f>SUM($I$66:$I$94)/20</f>
        <v>11.477858169440008</v>
      </c>
      <c r="K74" s="130">
        <f t="shared" si="14"/>
        <v>2593.0793052193599</v>
      </c>
    </row>
    <row r="75" spans="1:11" x14ac:dyDescent="0.2">
      <c r="A75" s="156"/>
      <c r="B75" s="167">
        <f t="shared" si="15"/>
        <v>40360</v>
      </c>
      <c r="C75" s="167">
        <f t="shared" si="16"/>
        <v>40451</v>
      </c>
      <c r="D75" s="142">
        <f t="shared" si="13"/>
        <v>92</v>
      </c>
      <c r="E75" s="160">
        <f>VLOOKUP(C75,'FERC Interest Rate'!$A:$C,2,TRUE)</f>
        <v>3.2500000000000001E-2</v>
      </c>
      <c r="F75" s="148">
        <f>K74</f>
        <v>2593.0793052193599</v>
      </c>
      <c r="G75" s="147">
        <f t="shared" ref="G75:G78" si="18">F75*E75*(D75/(DATE(YEAR(C75),12,31)-DATE(YEAR(C75),1,1)+1))</f>
        <v>21.24193732220791</v>
      </c>
      <c r="H75" s="147">
        <f t="shared" ref="H75:H93" si="19">$F$66/20</f>
        <v>125</v>
      </c>
      <c r="I75" s="148">
        <v>0</v>
      </c>
      <c r="J75" s="148">
        <f t="shared" ref="J75:J93" si="20">SUM($I$66:$I$94)/20</f>
        <v>11.477858169440008</v>
      </c>
      <c r="K75" s="130">
        <f t="shared" si="14"/>
        <v>2456.6014470499199</v>
      </c>
    </row>
    <row r="76" spans="1:11" x14ac:dyDescent="0.2">
      <c r="A76" s="156"/>
      <c r="B76" s="167">
        <f t="shared" si="15"/>
        <v>40452</v>
      </c>
      <c r="C76" s="167">
        <f t="shared" si="16"/>
        <v>40543</v>
      </c>
      <c r="D76" s="142">
        <f t="shared" si="13"/>
        <v>92</v>
      </c>
      <c r="E76" s="160">
        <f>VLOOKUP(C76,'FERC Interest Rate'!$A:$C,2,TRUE)</f>
        <v>3.2500000000000001E-2</v>
      </c>
      <c r="F76" s="148">
        <f t="shared" si="17"/>
        <v>2456.6014470499199</v>
      </c>
      <c r="G76" s="147">
        <f t="shared" si="18"/>
        <v>20.123940621039072</v>
      </c>
      <c r="H76" s="147">
        <f t="shared" si="19"/>
        <v>125</v>
      </c>
      <c r="I76" s="148">
        <v>0</v>
      </c>
      <c r="J76" s="148">
        <f t="shared" si="20"/>
        <v>11.477858169440008</v>
      </c>
      <c r="K76" s="130">
        <f t="shared" si="14"/>
        <v>2320.1235888804799</v>
      </c>
    </row>
    <row r="77" spans="1:11" x14ac:dyDescent="0.2">
      <c r="A77" s="156"/>
      <c r="B77" s="167">
        <f t="shared" si="15"/>
        <v>40544</v>
      </c>
      <c r="C77" s="167">
        <f t="shared" si="16"/>
        <v>40633</v>
      </c>
      <c r="D77" s="142">
        <f t="shared" si="13"/>
        <v>90</v>
      </c>
      <c r="E77" s="160">
        <f>VLOOKUP(C77,'FERC Interest Rate'!$A:$C,2,TRUE)</f>
        <v>3.2500000000000001E-2</v>
      </c>
      <c r="F77" s="148">
        <f t="shared" si="17"/>
        <v>2320.1235888804799</v>
      </c>
      <c r="G77" s="147">
        <f t="shared" si="18"/>
        <v>18.592771225960011</v>
      </c>
      <c r="H77" s="147">
        <f t="shared" si="19"/>
        <v>125</v>
      </c>
      <c r="I77" s="148">
        <v>0</v>
      </c>
      <c r="J77" s="148">
        <f t="shared" si="20"/>
        <v>11.477858169440008</v>
      </c>
      <c r="K77" s="130">
        <f t="shared" si="14"/>
        <v>2183.64573071104</v>
      </c>
    </row>
    <row r="78" spans="1:11" x14ac:dyDescent="0.2">
      <c r="A78" s="156"/>
      <c r="B78" s="167">
        <f t="shared" si="15"/>
        <v>40634</v>
      </c>
      <c r="C78" s="167">
        <f t="shared" si="16"/>
        <v>40724</v>
      </c>
      <c r="D78" s="142">
        <f t="shared" si="13"/>
        <v>91</v>
      </c>
      <c r="E78" s="160">
        <f>VLOOKUP(C78,'FERC Interest Rate'!$A:$C,2,TRUE)</f>
        <v>3.2500000000000001E-2</v>
      </c>
      <c r="F78" s="148">
        <f t="shared" si="17"/>
        <v>2183.64573071104</v>
      </c>
      <c r="G78" s="147">
        <f t="shared" si="18"/>
        <v>17.693513009802469</v>
      </c>
      <c r="H78" s="147">
        <f t="shared" si="19"/>
        <v>125</v>
      </c>
      <c r="I78" s="148">
        <v>0</v>
      </c>
      <c r="J78" s="148">
        <f t="shared" si="20"/>
        <v>11.477858169440008</v>
      </c>
      <c r="K78" s="130">
        <f t="shared" si="14"/>
        <v>2047.1678725416</v>
      </c>
    </row>
    <row r="79" spans="1:11" x14ac:dyDescent="0.2">
      <c r="A79" s="156"/>
      <c r="B79" s="167">
        <f t="shared" si="15"/>
        <v>40725</v>
      </c>
      <c r="C79" s="167">
        <f t="shared" si="16"/>
        <v>40816</v>
      </c>
      <c r="D79" s="142">
        <f t="shared" si="13"/>
        <v>92</v>
      </c>
      <c r="E79" s="160">
        <f>VLOOKUP(C79,'FERC Interest Rate'!$A:$C,2,TRUE)</f>
        <v>3.2500000000000001E-2</v>
      </c>
      <c r="F79" s="148">
        <f t="shared" si="17"/>
        <v>2047.1678725416</v>
      </c>
      <c r="G79" s="147">
        <f t="shared" ref="G79:G85" si="21">F79*E79*(D79/(DATE(YEAR(C79),12,31)-DATE(YEAR(C79),1,1)+1))</f>
        <v>16.76995051753256</v>
      </c>
      <c r="H79" s="147">
        <f t="shared" si="19"/>
        <v>125</v>
      </c>
      <c r="I79" s="148">
        <v>0</v>
      </c>
      <c r="J79" s="148">
        <f t="shared" si="20"/>
        <v>11.477858169440008</v>
      </c>
      <c r="K79" s="130">
        <f t="shared" si="14"/>
        <v>1910.69001437216</v>
      </c>
    </row>
    <row r="80" spans="1:11" x14ac:dyDescent="0.2">
      <c r="A80" s="156"/>
      <c r="B80" s="167">
        <f t="shared" si="15"/>
        <v>40817</v>
      </c>
      <c r="C80" s="167">
        <f t="shared" si="16"/>
        <v>40908</v>
      </c>
      <c r="D80" s="142">
        <f t="shared" si="13"/>
        <v>92</v>
      </c>
      <c r="E80" s="160">
        <f>VLOOKUP(C80,'FERC Interest Rate'!$A:$C,2,TRUE)</f>
        <v>3.2500000000000001E-2</v>
      </c>
      <c r="F80" s="148">
        <f t="shared" si="17"/>
        <v>1910.69001437216</v>
      </c>
      <c r="G80" s="147">
        <f t="shared" si="21"/>
        <v>15.651953816363722</v>
      </c>
      <c r="H80" s="147">
        <f t="shared" si="19"/>
        <v>125</v>
      </c>
      <c r="I80" s="148">
        <v>0</v>
      </c>
      <c r="J80" s="148">
        <f t="shared" si="20"/>
        <v>11.477858169440008</v>
      </c>
      <c r="K80" s="130">
        <f t="shared" si="14"/>
        <v>1774.2121562027201</v>
      </c>
    </row>
    <row r="81" spans="1:11" x14ac:dyDescent="0.2">
      <c r="A81" s="156"/>
      <c r="B81" s="167">
        <f t="shared" si="15"/>
        <v>40909</v>
      </c>
      <c r="C81" s="167">
        <f t="shared" si="16"/>
        <v>40999</v>
      </c>
      <c r="D81" s="142">
        <f t="shared" si="13"/>
        <v>91</v>
      </c>
      <c r="E81" s="160">
        <f>VLOOKUP(C81,'FERC Interest Rate'!$A:$C,2,TRUE)</f>
        <v>3.2500000000000001E-2</v>
      </c>
      <c r="F81" s="148">
        <f t="shared" si="17"/>
        <v>1774.2121562027201</v>
      </c>
      <c r="G81" s="147">
        <f t="shared" si="21"/>
        <v>14.336700688441379</v>
      </c>
      <c r="H81" s="147">
        <f t="shared" si="19"/>
        <v>125</v>
      </c>
      <c r="I81" s="148">
        <v>0</v>
      </c>
      <c r="J81" s="148">
        <f t="shared" si="20"/>
        <v>11.477858169440008</v>
      </c>
      <c r="K81" s="130">
        <f t="shared" si="14"/>
        <v>1637.7342980332801</v>
      </c>
    </row>
    <row r="82" spans="1:11" x14ac:dyDescent="0.2">
      <c r="A82" s="156"/>
      <c r="B82" s="167">
        <f t="shared" si="15"/>
        <v>41000</v>
      </c>
      <c r="C82" s="167">
        <f t="shared" si="16"/>
        <v>41090</v>
      </c>
      <c r="D82" s="142">
        <f t="shared" si="13"/>
        <v>91</v>
      </c>
      <c r="E82" s="160">
        <f>VLOOKUP(C82,'FERC Interest Rate'!$A:$C,2,TRUE)</f>
        <v>3.2500000000000001E-2</v>
      </c>
      <c r="F82" s="148">
        <f t="shared" si="17"/>
        <v>1637.7342980332801</v>
      </c>
      <c r="G82" s="147">
        <f t="shared" si="21"/>
        <v>13.233877558561273</v>
      </c>
      <c r="H82" s="147">
        <f t="shared" si="19"/>
        <v>125</v>
      </c>
      <c r="I82" s="148">
        <v>0</v>
      </c>
      <c r="J82" s="148">
        <f t="shared" si="20"/>
        <v>11.477858169440008</v>
      </c>
      <c r="K82" s="130">
        <f t="shared" si="14"/>
        <v>1501.2564398638401</v>
      </c>
    </row>
    <row r="83" spans="1:11" x14ac:dyDescent="0.2">
      <c r="A83" s="156"/>
      <c r="B83" s="167">
        <f t="shared" si="15"/>
        <v>41091</v>
      </c>
      <c r="C83" s="167">
        <f t="shared" si="16"/>
        <v>41182</v>
      </c>
      <c r="D83" s="142">
        <f t="shared" si="13"/>
        <v>92</v>
      </c>
      <c r="E83" s="160">
        <f>VLOOKUP(C83,'FERC Interest Rate'!$A:$C,2,TRUE)</f>
        <v>3.2500000000000001E-2</v>
      </c>
      <c r="F83" s="148">
        <f t="shared" si="17"/>
        <v>1501.2564398638401</v>
      </c>
      <c r="G83" s="147">
        <f t="shared" si="21"/>
        <v>12.264362719106234</v>
      </c>
      <c r="H83" s="147">
        <f t="shared" si="19"/>
        <v>125</v>
      </c>
      <c r="I83" s="148">
        <v>0</v>
      </c>
      <c r="J83" s="148">
        <f t="shared" si="20"/>
        <v>11.477858169440008</v>
      </c>
      <c r="K83" s="130">
        <f t="shared" si="14"/>
        <v>1364.7785816944001</v>
      </c>
    </row>
    <row r="84" spans="1:11" x14ac:dyDescent="0.2">
      <c r="A84" s="156"/>
      <c r="B84" s="167">
        <f t="shared" si="15"/>
        <v>41183</v>
      </c>
      <c r="C84" s="167">
        <f t="shared" si="16"/>
        <v>41274</v>
      </c>
      <c r="D84" s="142">
        <f t="shared" si="13"/>
        <v>92</v>
      </c>
      <c r="E84" s="160">
        <f>VLOOKUP(C84,'FERC Interest Rate'!$A:$C,2,TRUE)</f>
        <v>3.2500000000000001E-2</v>
      </c>
      <c r="F84" s="148">
        <f t="shared" si="17"/>
        <v>1364.7785816944001</v>
      </c>
      <c r="G84" s="147">
        <f t="shared" si="21"/>
        <v>11.149420653732941</v>
      </c>
      <c r="H84" s="147">
        <f t="shared" si="19"/>
        <v>125</v>
      </c>
      <c r="I84" s="148">
        <v>0</v>
      </c>
      <c r="J84" s="148">
        <f t="shared" si="20"/>
        <v>11.477858169440008</v>
      </c>
      <c r="K84" s="130">
        <f t="shared" si="14"/>
        <v>1228.3007235249602</v>
      </c>
    </row>
    <row r="85" spans="1:11" x14ac:dyDescent="0.2">
      <c r="A85" s="156"/>
      <c r="B85" s="167">
        <f t="shared" si="15"/>
        <v>41275</v>
      </c>
      <c r="C85" s="167">
        <f t="shared" si="16"/>
        <v>41364</v>
      </c>
      <c r="D85" s="142">
        <f t="shared" si="13"/>
        <v>90</v>
      </c>
      <c r="E85" s="160">
        <f>VLOOKUP(C85,'FERC Interest Rate'!$A:$C,2,TRUE)</f>
        <v>3.2500000000000001E-2</v>
      </c>
      <c r="F85" s="148">
        <f t="shared" si="17"/>
        <v>1228.3007235249602</v>
      </c>
      <c r="G85" s="147">
        <f t="shared" si="21"/>
        <v>9.8432318255082425</v>
      </c>
      <c r="H85" s="147">
        <f t="shared" si="19"/>
        <v>125</v>
      </c>
      <c r="I85" s="148">
        <v>0</v>
      </c>
      <c r="J85" s="148">
        <f t="shared" si="20"/>
        <v>11.477858169440008</v>
      </c>
      <c r="K85" s="130">
        <f t="shared" si="14"/>
        <v>1091.8228653555202</v>
      </c>
    </row>
    <row r="86" spans="1:11" x14ac:dyDescent="0.2">
      <c r="A86" s="169"/>
      <c r="B86" s="167">
        <f t="shared" si="15"/>
        <v>41365</v>
      </c>
      <c r="C86" s="167">
        <f t="shared" ref="C86:C93" si="22">EOMONTH(C85,3)</f>
        <v>41455</v>
      </c>
      <c r="D86" s="142">
        <f t="shared" ref="D86:D93" si="23">C86-B86+1</f>
        <v>91</v>
      </c>
      <c r="E86" s="160">
        <f>VLOOKUP(C86,'FERC Interest Rate'!$A:$C,2,TRUE)</f>
        <v>3.2500000000000001E-2</v>
      </c>
      <c r="F86" s="148">
        <f t="shared" ref="F86:F93" si="24">K85</f>
        <v>1091.8228653555202</v>
      </c>
      <c r="G86" s="147">
        <f t="shared" ref="G86:G91" si="25">F86*E86*(D86/(DATE(YEAR(C86),12,31)-DATE(YEAR(C86),1,1)+1))</f>
        <v>8.8467565049012364</v>
      </c>
      <c r="H86" s="147">
        <f t="shared" si="19"/>
        <v>125</v>
      </c>
      <c r="I86" s="148">
        <v>0</v>
      </c>
      <c r="J86" s="148">
        <f t="shared" si="20"/>
        <v>11.477858169440008</v>
      </c>
      <c r="K86" s="130">
        <f t="shared" si="14"/>
        <v>955.34500718608024</v>
      </c>
    </row>
    <row r="87" spans="1:11" x14ac:dyDescent="0.2">
      <c r="A87" s="169"/>
      <c r="B87" s="167">
        <f t="shared" si="15"/>
        <v>41456</v>
      </c>
      <c r="C87" s="167">
        <f t="shared" si="22"/>
        <v>41547</v>
      </c>
      <c r="D87" s="142">
        <f t="shared" si="23"/>
        <v>92</v>
      </c>
      <c r="E87" s="160">
        <f>VLOOKUP(C87,'FERC Interest Rate'!$A:$C,2,TRUE)</f>
        <v>3.2500000000000001E-2</v>
      </c>
      <c r="F87" s="148">
        <f t="shared" si="24"/>
        <v>955.34500718608024</v>
      </c>
      <c r="G87" s="147">
        <f t="shared" si="25"/>
        <v>7.8259769081818638</v>
      </c>
      <c r="H87" s="147">
        <f t="shared" si="19"/>
        <v>125</v>
      </c>
      <c r="I87" s="148">
        <v>0</v>
      </c>
      <c r="J87" s="148">
        <f t="shared" si="20"/>
        <v>11.477858169440008</v>
      </c>
      <c r="K87" s="130">
        <f t="shared" si="14"/>
        <v>818.86714901664027</v>
      </c>
    </row>
    <row r="88" spans="1:11" x14ac:dyDescent="0.2">
      <c r="A88" s="169"/>
      <c r="B88" s="167">
        <f t="shared" si="15"/>
        <v>41548</v>
      </c>
      <c r="C88" s="167">
        <f t="shared" si="22"/>
        <v>41639</v>
      </c>
      <c r="D88" s="142">
        <f t="shared" si="23"/>
        <v>92</v>
      </c>
      <c r="E88" s="160">
        <f>VLOOKUP(C88,'FERC Interest Rate'!$A:$C,2,TRUE)</f>
        <v>3.2500000000000001E-2</v>
      </c>
      <c r="F88" s="148">
        <f t="shared" si="24"/>
        <v>818.86714901664027</v>
      </c>
      <c r="G88" s="147">
        <f t="shared" si="25"/>
        <v>6.7079802070130263</v>
      </c>
      <c r="H88" s="147">
        <f t="shared" si="19"/>
        <v>125</v>
      </c>
      <c r="I88" s="148">
        <v>0</v>
      </c>
      <c r="J88" s="148">
        <f t="shared" si="20"/>
        <v>11.477858169440008</v>
      </c>
      <c r="K88" s="130">
        <f t="shared" si="14"/>
        <v>682.3892908472003</v>
      </c>
    </row>
    <row r="89" spans="1:11" x14ac:dyDescent="0.2">
      <c r="A89" s="169"/>
      <c r="B89" s="167">
        <f t="shared" si="15"/>
        <v>41640</v>
      </c>
      <c r="C89" s="167">
        <f t="shared" si="22"/>
        <v>41729</v>
      </c>
      <c r="D89" s="142">
        <f t="shared" si="23"/>
        <v>90</v>
      </c>
      <c r="E89" s="160">
        <f>VLOOKUP(C89,'FERC Interest Rate'!$A:$C,2,TRUE)</f>
        <v>3.2500000000000001E-2</v>
      </c>
      <c r="F89" s="148">
        <f t="shared" si="24"/>
        <v>682.3892908472003</v>
      </c>
      <c r="G89" s="147">
        <f t="shared" si="25"/>
        <v>5.4684621252823584</v>
      </c>
      <c r="H89" s="147">
        <f t="shared" si="19"/>
        <v>125</v>
      </c>
      <c r="I89" s="148">
        <v>0</v>
      </c>
      <c r="J89" s="148">
        <f t="shared" si="20"/>
        <v>11.477858169440008</v>
      </c>
      <c r="K89" s="130">
        <f t="shared" si="14"/>
        <v>545.91143267776033</v>
      </c>
    </row>
    <row r="90" spans="1:11" x14ac:dyDescent="0.2">
      <c r="A90" s="169"/>
      <c r="B90" s="167">
        <f t="shared" si="15"/>
        <v>41730</v>
      </c>
      <c r="C90" s="167">
        <f t="shared" si="22"/>
        <v>41820</v>
      </c>
      <c r="D90" s="142">
        <f t="shared" si="23"/>
        <v>91</v>
      </c>
      <c r="E90" s="160">
        <f>VLOOKUP(C90,'FERC Interest Rate'!$A:$C,2,TRUE)</f>
        <v>3.2500000000000001E-2</v>
      </c>
      <c r="F90" s="148">
        <f t="shared" si="24"/>
        <v>545.91143267776033</v>
      </c>
      <c r="G90" s="147">
        <f t="shared" si="25"/>
        <v>4.42337825245062</v>
      </c>
      <c r="H90" s="147">
        <f t="shared" si="19"/>
        <v>125</v>
      </c>
      <c r="I90" s="148">
        <v>0</v>
      </c>
      <c r="J90" s="148">
        <f t="shared" si="20"/>
        <v>11.477858169440008</v>
      </c>
      <c r="K90" s="130">
        <f t="shared" si="14"/>
        <v>409.43357450832031</v>
      </c>
    </row>
    <row r="91" spans="1:11" x14ac:dyDescent="0.2">
      <c r="A91" s="169"/>
      <c r="B91" s="167">
        <f t="shared" si="15"/>
        <v>41821</v>
      </c>
      <c r="C91" s="167">
        <f t="shared" si="22"/>
        <v>41912</v>
      </c>
      <c r="D91" s="142">
        <f t="shared" si="23"/>
        <v>92</v>
      </c>
      <c r="E91" s="160">
        <f>VLOOKUP(C91,'FERC Interest Rate'!$A:$C,2,TRUE)</f>
        <v>3.2500000000000001E-2</v>
      </c>
      <c r="F91" s="148">
        <f t="shared" si="24"/>
        <v>409.43357450832031</v>
      </c>
      <c r="G91" s="147">
        <f t="shared" si="25"/>
        <v>3.3539901035065145</v>
      </c>
      <c r="H91" s="147">
        <f t="shared" si="19"/>
        <v>125</v>
      </c>
      <c r="I91" s="148">
        <v>0</v>
      </c>
      <c r="J91" s="148">
        <f t="shared" si="20"/>
        <v>11.477858169440008</v>
      </c>
      <c r="K91" s="130">
        <f t="shared" si="14"/>
        <v>272.95571633888028</v>
      </c>
    </row>
    <row r="92" spans="1:11" x14ac:dyDescent="0.2">
      <c r="A92" s="169"/>
      <c r="B92" s="167">
        <f t="shared" si="15"/>
        <v>41913</v>
      </c>
      <c r="C92" s="167">
        <f t="shared" si="22"/>
        <v>42004</v>
      </c>
      <c r="D92" s="142">
        <f t="shared" si="23"/>
        <v>92</v>
      </c>
      <c r="E92" s="160">
        <f>VLOOKUP(C92,'FERC Interest Rate'!$A:$C,2,TRUE)</f>
        <v>3.2500000000000001E-2</v>
      </c>
      <c r="F92" s="148">
        <f t="shared" si="24"/>
        <v>272.95571633888028</v>
      </c>
      <c r="G92" s="147">
        <f>F92*E92*(D92/(DATE(YEAR(C92),12,31)-DATE(YEAR(C92),1,1)+1))</f>
        <v>2.2359934023376771</v>
      </c>
      <c r="H92" s="147">
        <f t="shared" si="19"/>
        <v>125</v>
      </c>
      <c r="I92" s="148">
        <v>0</v>
      </c>
      <c r="J92" s="148">
        <f t="shared" si="20"/>
        <v>11.477858169440008</v>
      </c>
      <c r="K92" s="130">
        <f t="shared" si="14"/>
        <v>136.47785816944028</v>
      </c>
    </row>
    <row r="93" spans="1:11" x14ac:dyDescent="0.2">
      <c r="A93" s="169"/>
      <c r="B93" s="167">
        <f t="shared" si="15"/>
        <v>42005</v>
      </c>
      <c r="C93" s="167">
        <f t="shared" si="22"/>
        <v>42094</v>
      </c>
      <c r="D93" s="142">
        <f t="shared" si="23"/>
        <v>90</v>
      </c>
      <c r="E93" s="160">
        <f>VLOOKUP(C93,'FERC Interest Rate'!$A:$C,2,TRUE)</f>
        <v>3.2500000000000001E-2</v>
      </c>
      <c r="F93" s="148">
        <f t="shared" si="24"/>
        <v>136.47785816944028</v>
      </c>
      <c r="G93" s="147">
        <f>F93*E93*(D93/(DATE(YEAR(C93),12,31)-DATE(YEAR(C93),1,1)+1))</f>
        <v>1.0936924250564735</v>
      </c>
      <c r="H93" s="147">
        <f t="shared" si="19"/>
        <v>125</v>
      </c>
      <c r="I93" s="148">
        <v>0</v>
      </c>
      <c r="J93" s="148">
        <f t="shared" si="20"/>
        <v>11.477858169440008</v>
      </c>
      <c r="K93" s="130">
        <f t="shared" si="14"/>
        <v>2.7355895326763857E-13</v>
      </c>
    </row>
    <row r="94" spans="1:11" ht="13.5" thickBot="1" x14ac:dyDescent="0.25">
      <c r="A94" s="129"/>
      <c r="B94" s="168"/>
      <c r="C94" s="168"/>
      <c r="D94" s="121"/>
      <c r="E94" s="122"/>
      <c r="F94" s="145"/>
      <c r="G94" s="145"/>
      <c r="H94" s="146"/>
      <c r="I94" s="123"/>
      <c r="J94" s="123"/>
      <c r="K94" s="128"/>
    </row>
  </sheetData>
  <mergeCells count="2">
    <mergeCell ref="A39:K39"/>
    <mergeCell ref="A64:K64"/>
  </mergeCells>
  <printOptions horizontalCentered="1"/>
  <pageMargins left="0.7" right="0.7" top="0.75" bottom="0.75" header="0.3" footer="0.3"/>
  <pageSetup scale="61" orientation="landscape" cellComments="asDisplayed" r:id="rId1"/>
  <headerFooter alignWithMargins="0">
    <oddHeader>&amp;RTO11 Draft Annual Update
Attachment 4
WP Schedule 22
Page &amp;P of &amp;N</oddHeader>
    <oddFooter>&amp;R&amp;A</oddFooter>
  </headerFooter>
  <rowBreaks count="1" manualBreakCount="1">
    <brk id="3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0"/>
  <sheetViews>
    <sheetView zoomScale="85" zoomScaleNormal="85" workbookViewId="0"/>
  </sheetViews>
  <sheetFormatPr defaultColWidth="9.140625" defaultRowHeight="12.75" x14ac:dyDescent="0.2"/>
  <cols>
    <col min="1" max="1" width="12.28515625" style="19" customWidth="1"/>
    <col min="2" max="2" width="11" style="19" customWidth="1"/>
    <col min="3" max="3" width="14.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3.28515625" style="19" customWidth="1"/>
    <col min="13" max="14" width="10.85546875" style="19" bestFit="1" customWidth="1"/>
    <col min="15" max="15" width="19.5703125" style="19" customWidth="1"/>
    <col min="16" max="16" width="14" style="19" bestFit="1" customWidth="1"/>
    <col min="17" max="17" width="21.42578125" style="19" customWidth="1"/>
    <col min="18" max="18" width="19.5703125" style="19" bestFit="1" customWidth="1"/>
    <col min="19" max="16384" width="9.140625" style="19"/>
  </cols>
  <sheetData>
    <row r="1" spans="1:11" ht="51" x14ac:dyDescent="0.2">
      <c r="A1" s="187" t="s">
        <v>18</v>
      </c>
      <c r="B1" s="3" t="s">
        <v>8</v>
      </c>
      <c r="C1" s="187" t="s">
        <v>7</v>
      </c>
      <c r="D1" s="187" t="s">
        <v>1</v>
      </c>
      <c r="E1" s="187" t="s">
        <v>24</v>
      </c>
      <c r="F1" s="3" t="s">
        <v>0</v>
      </c>
      <c r="H1"/>
      <c r="I1"/>
      <c r="J1"/>
      <c r="K1"/>
    </row>
    <row r="2" spans="1:11" x14ac:dyDescent="0.2">
      <c r="A2" s="4">
        <v>1</v>
      </c>
      <c r="B2" s="9">
        <v>40057</v>
      </c>
      <c r="C2" s="10">
        <v>105000</v>
      </c>
      <c r="D2" s="10">
        <v>0</v>
      </c>
      <c r="E2" s="10">
        <v>0</v>
      </c>
      <c r="F2" s="29">
        <f>SUM(C2:E2)</f>
        <v>105000</v>
      </c>
      <c r="H2"/>
      <c r="I2"/>
      <c r="J2"/>
      <c r="K2"/>
    </row>
    <row r="3" spans="1:11" x14ac:dyDescent="0.2">
      <c r="A3" s="4">
        <v>2</v>
      </c>
      <c r="B3" s="9">
        <v>40058</v>
      </c>
      <c r="C3" s="10">
        <v>30000</v>
      </c>
      <c r="D3" s="10">
        <v>0</v>
      </c>
      <c r="E3" s="10">
        <v>0</v>
      </c>
      <c r="F3" s="29">
        <f t="shared" ref="F3:F29" si="0">SUM(C3:E3)</f>
        <v>30000</v>
      </c>
      <c r="H3"/>
      <c r="I3"/>
      <c r="J3"/>
      <c r="K3"/>
    </row>
    <row r="4" spans="1:11" x14ac:dyDescent="0.2">
      <c r="A4" s="4">
        <v>3</v>
      </c>
      <c r="B4" s="9">
        <v>40058</v>
      </c>
      <c r="C4" s="10">
        <v>35000</v>
      </c>
      <c r="D4" s="10">
        <v>0</v>
      </c>
      <c r="E4" s="10">
        <v>0</v>
      </c>
      <c r="F4" s="29">
        <f t="shared" si="0"/>
        <v>35000</v>
      </c>
      <c r="H4"/>
      <c r="I4"/>
      <c r="J4"/>
      <c r="K4"/>
    </row>
    <row r="5" spans="1:11" x14ac:dyDescent="0.2">
      <c r="A5" s="4">
        <v>4</v>
      </c>
      <c r="B5" s="9">
        <v>40078</v>
      </c>
      <c r="C5" s="10">
        <v>40000</v>
      </c>
      <c r="D5" s="10">
        <v>0</v>
      </c>
      <c r="E5" s="10">
        <v>0</v>
      </c>
      <c r="F5" s="29">
        <f t="shared" si="0"/>
        <v>40000</v>
      </c>
    </row>
    <row r="6" spans="1:11" x14ac:dyDescent="0.2">
      <c r="A6" s="4">
        <v>5</v>
      </c>
      <c r="B6" s="9">
        <v>40078</v>
      </c>
      <c r="C6" s="10">
        <v>45000</v>
      </c>
      <c r="D6" s="10">
        <v>0</v>
      </c>
      <c r="E6" s="10">
        <v>0</v>
      </c>
      <c r="F6" s="29">
        <f t="shared" si="0"/>
        <v>45000</v>
      </c>
      <c r="H6" s="206"/>
      <c r="I6" s="206"/>
      <c r="J6" s="206"/>
      <c r="K6" s="206"/>
    </row>
    <row r="7" spans="1:11" x14ac:dyDescent="0.2">
      <c r="A7" s="4">
        <v>6</v>
      </c>
      <c r="B7" s="9">
        <v>40105</v>
      </c>
      <c r="C7" s="10">
        <v>40000</v>
      </c>
      <c r="D7" s="10">
        <v>0</v>
      </c>
      <c r="E7" s="10">
        <v>0</v>
      </c>
      <c r="F7" s="29">
        <f t="shared" si="0"/>
        <v>40000</v>
      </c>
      <c r="H7" s="206"/>
      <c r="I7" s="206"/>
      <c r="J7" s="206"/>
      <c r="K7" s="206"/>
    </row>
    <row r="8" spans="1:11" x14ac:dyDescent="0.2">
      <c r="A8" s="4">
        <v>7</v>
      </c>
      <c r="B8" s="9">
        <v>40129</v>
      </c>
      <c r="C8" s="10">
        <v>35000</v>
      </c>
      <c r="D8" s="10">
        <v>0</v>
      </c>
      <c r="E8" s="10">
        <v>0</v>
      </c>
      <c r="F8" s="29">
        <f t="shared" si="0"/>
        <v>35000</v>
      </c>
    </row>
    <row r="9" spans="1:11" x14ac:dyDescent="0.2">
      <c r="A9" s="4">
        <v>8</v>
      </c>
      <c r="B9" s="9">
        <v>40168</v>
      </c>
      <c r="C9" s="10">
        <v>25000</v>
      </c>
      <c r="D9" s="10">
        <v>0</v>
      </c>
      <c r="E9" s="10">
        <v>0</v>
      </c>
      <c r="F9" s="29">
        <f t="shared" si="0"/>
        <v>25000</v>
      </c>
    </row>
    <row r="10" spans="1:11" x14ac:dyDescent="0.2">
      <c r="A10" s="4">
        <v>9</v>
      </c>
      <c r="B10" s="9">
        <v>40213</v>
      </c>
      <c r="C10" s="10">
        <v>10000</v>
      </c>
      <c r="D10" s="10">
        <v>0</v>
      </c>
      <c r="E10" s="10">
        <v>0</v>
      </c>
      <c r="F10" s="29">
        <f t="shared" si="0"/>
        <v>10000</v>
      </c>
    </row>
    <row r="11" spans="1:11" x14ac:dyDescent="0.2">
      <c r="A11" s="4">
        <v>10</v>
      </c>
      <c r="B11" s="9">
        <v>40227</v>
      </c>
      <c r="C11" s="10">
        <v>20000</v>
      </c>
      <c r="D11" s="10">
        <v>0</v>
      </c>
      <c r="E11" s="10">
        <v>0</v>
      </c>
      <c r="F11" s="29">
        <f t="shared" si="0"/>
        <v>20000</v>
      </c>
    </row>
    <row r="12" spans="1:11" x14ac:dyDescent="0.2">
      <c r="A12" s="4">
        <v>11</v>
      </c>
      <c r="B12" s="9">
        <v>40248</v>
      </c>
      <c r="C12" s="10">
        <v>35000</v>
      </c>
      <c r="D12" s="10">
        <v>0</v>
      </c>
      <c r="E12" s="10">
        <v>0</v>
      </c>
      <c r="F12" s="29">
        <f t="shared" si="0"/>
        <v>35000</v>
      </c>
    </row>
    <row r="13" spans="1:11" x14ac:dyDescent="0.2">
      <c r="A13" s="4">
        <v>12</v>
      </c>
      <c r="B13" s="9">
        <v>40295</v>
      </c>
      <c r="C13" s="10">
        <v>60000</v>
      </c>
      <c r="D13" s="10">
        <v>0</v>
      </c>
      <c r="E13" s="10">
        <v>0</v>
      </c>
      <c r="F13" s="29">
        <f t="shared" si="0"/>
        <v>60000</v>
      </c>
    </row>
    <row r="14" spans="1:11" x14ac:dyDescent="0.2">
      <c r="A14" s="4">
        <v>13</v>
      </c>
      <c r="B14" s="9">
        <v>40627</v>
      </c>
      <c r="C14" s="10">
        <v>95000</v>
      </c>
      <c r="D14" s="10">
        <v>0</v>
      </c>
      <c r="E14" s="10">
        <v>0</v>
      </c>
      <c r="F14" s="29">
        <f t="shared" si="0"/>
        <v>95000</v>
      </c>
    </row>
    <row r="15" spans="1:11" x14ac:dyDescent="0.2">
      <c r="A15" s="4">
        <v>14</v>
      </c>
      <c r="B15" s="9">
        <v>40665</v>
      </c>
      <c r="C15" s="10">
        <v>130000</v>
      </c>
      <c r="D15" s="10">
        <v>0</v>
      </c>
      <c r="E15" s="10">
        <v>0</v>
      </c>
      <c r="F15" s="29">
        <f t="shared" si="0"/>
        <v>130000</v>
      </c>
    </row>
    <row r="16" spans="1:11" x14ac:dyDescent="0.2">
      <c r="A16" s="4">
        <v>15</v>
      </c>
      <c r="B16" s="9">
        <v>40696</v>
      </c>
      <c r="C16" s="10">
        <v>150000</v>
      </c>
      <c r="D16" s="10">
        <v>0</v>
      </c>
      <c r="E16" s="10">
        <v>0</v>
      </c>
      <c r="F16" s="29">
        <f t="shared" si="0"/>
        <v>150000</v>
      </c>
    </row>
    <row r="17" spans="1:11" x14ac:dyDescent="0.2">
      <c r="A17" s="4">
        <v>16</v>
      </c>
      <c r="B17" s="9">
        <v>40786</v>
      </c>
      <c r="C17" s="10">
        <v>200000</v>
      </c>
      <c r="D17" s="10">
        <v>0</v>
      </c>
      <c r="E17" s="10">
        <v>10000</v>
      </c>
      <c r="F17" s="29">
        <f t="shared" si="0"/>
        <v>210000</v>
      </c>
    </row>
    <row r="18" spans="1:11" x14ac:dyDescent="0.2">
      <c r="A18" s="4">
        <v>17</v>
      </c>
      <c r="B18" s="9">
        <v>40786</v>
      </c>
      <c r="C18" s="10">
        <v>220000</v>
      </c>
      <c r="D18" s="10">
        <v>0</v>
      </c>
      <c r="E18" s="10">
        <v>10000</v>
      </c>
      <c r="F18" s="29">
        <f t="shared" si="0"/>
        <v>230000</v>
      </c>
    </row>
    <row r="19" spans="1:11" x14ac:dyDescent="0.2">
      <c r="A19" s="4">
        <v>18</v>
      </c>
      <c r="B19" s="9">
        <v>40820</v>
      </c>
      <c r="C19" s="10">
        <v>240000</v>
      </c>
      <c r="D19" s="10">
        <v>0</v>
      </c>
      <c r="E19" s="10">
        <v>20000</v>
      </c>
      <c r="F19" s="29">
        <f t="shared" si="0"/>
        <v>260000</v>
      </c>
    </row>
    <row r="20" spans="1:11" x14ac:dyDescent="0.2">
      <c r="A20" s="4">
        <v>19</v>
      </c>
      <c r="B20" s="9">
        <v>40848</v>
      </c>
      <c r="C20" s="10">
        <v>250000</v>
      </c>
      <c r="D20" s="10">
        <v>0</v>
      </c>
      <c r="E20" s="10">
        <v>20000</v>
      </c>
      <c r="F20" s="29">
        <f t="shared" si="0"/>
        <v>270000</v>
      </c>
    </row>
    <row r="21" spans="1:11" x14ac:dyDescent="0.2">
      <c r="A21" s="4">
        <v>20</v>
      </c>
      <c r="B21" s="9">
        <v>40892</v>
      </c>
      <c r="C21" s="10">
        <v>260000</v>
      </c>
      <c r="D21" s="10">
        <v>0</v>
      </c>
      <c r="E21" s="10">
        <v>20000</v>
      </c>
      <c r="F21" s="29">
        <f t="shared" si="0"/>
        <v>280000</v>
      </c>
    </row>
    <row r="22" spans="1:11" x14ac:dyDescent="0.2">
      <c r="A22" s="4">
        <v>21</v>
      </c>
      <c r="B22" s="9">
        <v>40911</v>
      </c>
      <c r="C22" s="10">
        <v>270000</v>
      </c>
      <c r="D22" s="10">
        <v>0</v>
      </c>
      <c r="E22" s="10">
        <v>20000</v>
      </c>
      <c r="F22" s="29">
        <f t="shared" si="0"/>
        <v>290000</v>
      </c>
    </row>
    <row r="23" spans="1:11" x14ac:dyDescent="0.2">
      <c r="A23" s="4">
        <v>22</v>
      </c>
      <c r="B23" s="9">
        <v>40940</v>
      </c>
      <c r="C23" s="10">
        <v>270000</v>
      </c>
      <c r="D23" s="10">
        <v>0</v>
      </c>
      <c r="E23" s="10">
        <v>20000</v>
      </c>
      <c r="F23" s="29">
        <f t="shared" si="0"/>
        <v>290000</v>
      </c>
    </row>
    <row r="24" spans="1:11" x14ac:dyDescent="0.2">
      <c r="A24" s="4">
        <v>23</v>
      </c>
      <c r="B24" s="9">
        <v>40970</v>
      </c>
      <c r="C24" s="10">
        <v>270000</v>
      </c>
      <c r="D24" s="10">
        <v>0</v>
      </c>
      <c r="E24" s="10">
        <v>20000</v>
      </c>
      <c r="F24" s="29">
        <f t="shared" si="0"/>
        <v>290000</v>
      </c>
    </row>
    <row r="25" spans="1:11" x14ac:dyDescent="0.2">
      <c r="A25" s="4">
        <v>24</v>
      </c>
      <c r="B25" s="9">
        <v>40998</v>
      </c>
      <c r="C25" s="10">
        <v>260000</v>
      </c>
      <c r="D25" s="10">
        <v>0</v>
      </c>
      <c r="E25" s="10">
        <v>20000</v>
      </c>
      <c r="F25" s="29">
        <f t="shared" si="0"/>
        <v>280000</v>
      </c>
    </row>
    <row r="26" spans="1:11" x14ac:dyDescent="0.2">
      <c r="A26" s="4">
        <v>25</v>
      </c>
      <c r="B26" s="9">
        <v>41044</v>
      </c>
      <c r="C26" s="10">
        <v>240000</v>
      </c>
      <c r="D26" s="10">
        <v>0</v>
      </c>
      <c r="E26" s="10">
        <v>20000</v>
      </c>
      <c r="F26" s="29">
        <f t="shared" si="0"/>
        <v>260000</v>
      </c>
    </row>
    <row r="27" spans="1:11" x14ac:dyDescent="0.2">
      <c r="A27" s="4">
        <v>26</v>
      </c>
      <c r="B27" s="9">
        <v>41064</v>
      </c>
      <c r="C27" s="10">
        <v>180000</v>
      </c>
      <c r="D27" s="10">
        <v>0</v>
      </c>
      <c r="E27" s="10">
        <v>10000</v>
      </c>
      <c r="F27" s="29">
        <f t="shared" si="0"/>
        <v>190000</v>
      </c>
    </row>
    <row r="28" spans="1:11" x14ac:dyDescent="0.2">
      <c r="A28" s="4">
        <v>27</v>
      </c>
      <c r="B28" s="9">
        <v>41089</v>
      </c>
      <c r="C28" s="10">
        <v>100000</v>
      </c>
      <c r="D28" s="10">
        <v>0</v>
      </c>
      <c r="E28" s="10">
        <v>10000</v>
      </c>
      <c r="F28" s="29">
        <f t="shared" si="0"/>
        <v>110000</v>
      </c>
    </row>
    <row r="29" spans="1:11" x14ac:dyDescent="0.2">
      <c r="A29" s="4">
        <v>28</v>
      </c>
      <c r="B29" s="9">
        <v>41127</v>
      </c>
      <c r="C29" s="10">
        <v>35000</v>
      </c>
      <c r="D29" s="10">
        <v>0</v>
      </c>
      <c r="E29" s="10">
        <v>0</v>
      </c>
      <c r="F29" s="29">
        <f t="shared" si="0"/>
        <v>35000</v>
      </c>
    </row>
    <row r="30" spans="1:11" x14ac:dyDescent="0.2">
      <c r="B30" s="187" t="s">
        <v>0</v>
      </c>
      <c r="C30" s="57">
        <f>SUM(C2:C29)</f>
        <v>3650000</v>
      </c>
      <c r="D30" s="57">
        <f t="shared" ref="D30:F30" si="1">SUM(D2:D29)</f>
        <v>0</v>
      </c>
      <c r="E30" s="57">
        <f t="shared" si="1"/>
        <v>200000</v>
      </c>
      <c r="F30" s="57">
        <f t="shared" si="1"/>
        <v>3850000</v>
      </c>
    </row>
    <row r="32" spans="1:11" x14ac:dyDescent="0.2">
      <c r="C32" s="187" t="s">
        <v>43</v>
      </c>
      <c r="D32" s="187" t="s">
        <v>42</v>
      </c>
      <c r="G32"/>
      <c r="H32"/>
      <c r="I32"/>
      <c r="J32"/>
      <c r="K32"/>
    </row>
    <row r="33" spans="1:11" x14ac:dyDescent="0.2">
      <c r="B33" s="186" t="s">
        <v>26</v>
      </c>
      <c r="C33" s="188">
        <v>41197</v>
      </c>
      <c r="D33" s="188">
        <v>41187</v>
      </c>
      <c r="G33"/>
      <c r="H33"/>
      <c r="I33"/>
      <c r="J33"/>
      <c r="K33"/>
    </row>
    <row r="34" spans="1:11" x14ac:dyDescent="0.2">
      <c r="B34" s="186" t="s">
        <v>84</v>
      </c>
      <c r="C34" s="188">
        <v>41943</v>
      </c>
      <c r="D34" s="188">
        <v>41389</v>
      </c>
      <c r="G34"/>
      <c r="H34"/>
      <c r="I34"/>
      <c r="J34"/>
      <c r="K34"/>
    </row>
    <row r="35" spans="1:11" ht="13.5" thickBot="1" x14ac:dyDescent="0.25">
      <c r="B35" s="186" t="s">
        <v>122</v>
      </c>
      <c r="C35" s="17"/>
      <c r="D35" s="127" t="s">
        <v>121</v>
      </c>
    </row>
    <row r="36" spans="1:11" ht="13.5" thickBot="1" x14ac:dyDescent="0.25">
      <c r="A36" s="304" t="s">
        <v>25</v>
      </c>
      <c r="B36" s="305"/>
      <c r="C36" s="305"/>
      <c r="D36" s="305"/>
      <c r="E36" s="305"/>
      <c r="F36" s="305"/>
      <c r="G36" s="305"/>
      <c r="H36" s="305"/>
      <c r="I36" s="305"/>
      <c r="J36" s="305"/>
      <c r="K36" s="306"/>
    </row>
    <row r="37" spans="1:11" ht="51.75" thickBot="1" x14ac:dyDescent="0.25">
      <c r="A37" s="163" t="s">
        <v>9</v>
      </c>
      <c r="B37" s="164" t="s">
        <v>10</v>
      </c>
      <c r="C37" s="164" t="s">
        <v>11</v>
      </c>
      <c r="D37" s="164" t="s">
        <v>12</v>
      </c>
      <c r="E37" s="164" t="s">
        <v>13</v>
      </c>
      <c r="F37" s="164" t="s">
        <v>14</v>
      </c>
      <c r="G37" s="164" t="s">
        <v>32</v>
      </c>
      <c r="H37" s="164" t="s">
        <v>16</v>
      </c>
      <c r="I37" s="164" t="s">
        <v>85</v>
      </c>
      <c r="J37" s="164" t="s">
        <v>33</v>
      </c>
      <c r="K37" s="165" t="s">
        <v>15</v>
      </c>
    </row>
    <row r="38" spans="1:11" x14ac:dyDescent="0.2">
      <c r="A38" s="266"/>
      <c r="B38" s="262">
        <f>$D$33</f>
        <v>41187</v>
      </c>
      <c r="C38" s="262">
        <f>DATE(YEAR(B38),IF(MONTH(B38)&lt;=3,3,IF(MONTH(B38)&lt;=6,6,IF(MONTH(B38)&lt;=9,9,12))),IF(OR(MONTH(B38)&lt;=3,MONTH(B38)&gt;=10),31,30))</f>
        <v>41274</v>
      </c>
      <c r="D38" s="268">
        <f>C38-B38+1</f>
        <v>88</v>
      </c>
      <c r="E38" s="259">
        <f>VLOOKUP(C38,'FERC Interest Rate'!$A:$C,2,TRUE)</f>
        <v>3.2500000000000001E-2</v>
      </c>
      <c r="F38" s="254">
        <f>$C$30</f>
        <v>3650000</v>
      </c>
      <c r="G38" s="273"/>
      <c r="H38" s="273"/>
      <c r="I38" s="254">
        <f>F38*E38*(D38/(DATE(YEAR(C38),12,31)-DATE(YEAR(C38),1,1)+1))</f>
        <v>28521.857923497268</v>
      </c>
      <c r="J38" s="254"/>
      <c r="K38" s="255">
        <f>F38+I38-H38-J38</f>
        <v>3678521.8579234974</v>
      </c>
    </row>
    <row r="39" spans="1:11" x14ac:dyDescent="0.2">
      <c r="A39" s="256"/>
      <c r="B39" s="264">
        <f>C38+1</f>
        <v>41275</v>
      </c>
      <c r="C39" s="262">
        <f t="shared" ref="C39:C59" si="2">EOMONTH(C38,3)</f>
        <v>41364</v>
      </c>
      <c r="D39" s="258">
        <f t="shared" ref="D39:D57" si="3">C39-B39+1</f>
        <v>90</v>
      </c>
      <c r="E39" s="259">
        <f>VLOOKUP(C39,'FERC Interest Rate'!$A:$C,2,TRUE)</f>
        <v>3.2500000000000001E-2</v>
      </c>
      <c r="F39" s="260">
        <f>K38</f>
        <v>3678521.8579234974</v>
      </c>
      <c r="G39" s="273"/>
      <c r="H39" s="272"/>
      <c r="I39" s="254">
        <f t="shared" ref="I39:I43" si="4">F39*E39*(D39/(DATE(YEAR(C39),12,31)-DATE(YEAR(C39),1,1)+1))</f>
        <v>29478.565573770495</v>
      </c>
      <c r="J39" s="260"/>
      <c r="K39" s="255">
        <f t="shared" ref="K39:K57" si="5">F39+I39-H39-J39</f>
        <v>3708000.423497268</v>
      </c>
    </row>
    <row r="40" spans="1:11" x14ac:dyDescent="0.2">
      <c r="A40" s="156"/>
      <c r="B40" s="143">
        <f t="shared" ref="B40:B43" si="6">C39+1</f>
        <v>41365</v>
      </c>
      <c r="C40" s="143">
        <f t="shared" si="2"/>
        <v>41455</v>
      </c>
      <c r="D40" s="142">
        <f t="shared" ref="D40:D43" si="7">C40-B40+1</f>
        <v>91</v>
      </c>
      <c r="E40" s="160">
        <f>VLOOKUP(C40,'FERC Interest Rate'!$A:$C,2,TRUE)</f>
        <v>3.2500000000000001E-2</v>
      </c>
      <c r="F40" s="148">
        <f t="shared" ref="F40:F43" si="8">K39</f>
        <v>3708000.423497268</v>
      </c>
      <c r="G40" s="273"/>
      <c r="H40" s="147"/>
      <c r="I40" s="254">
        <f t="shared" si="4"/>
        <v>30044.962335597727</v>
      </c>
      <c r="J40" s="148"/>
      <c r="K40" s="130">
        <f t="shared" ref="K40:K42" si="9">F40+I40-H40-J40</f>
        <v>3738045.3858328657</v>
      </c>
    </row>
    <row r="41" spans="1:11" x14ac:dyDescent="0.2">
      <c r="A41" s="156"/>
      <c r="B41" s="143">
        <f t="shared" si="6"/>
        <v>41456</v>
      </c>
      <c r="C41" s="143">
        <f t="shared" si="2"/>
        <v>41547</v>
      </c>
      <c r="D41" s="142">
        <f t="shared" si="7"/>
        <v>92</v>
      </c>
      <c r="E41" s="160">
        <f>VLOOKUP(C41,'FERC Interest Rate'!$A:$C,2,TRUE)</f>
        <v>3.2500000000000001E-2</v>
      </c>
      <c r="F41" s="148">
        <f t="shared" si="8"/>
        <v>3738045.3858328657</v>
      </c>
      <c r="G41" s="147"/>
      <c r="H41" s="147"/>
      <c r="I41" s="254">
        <f t="shared" si="4"/>
        <v>30621.248503124025</v>
      </c>
      <c r="J41" s="148"/>
      <c r="K41" s="130">
        <f t="shared" si="9"/>
        <v>3768666.6343359896</v>
      </c>
    </row>
    <row r="42" spans="1:11" x14ac:dyDescent="0.2">
      <c r="A42" s="156"/>
      <c r="B42" s="143">
        <f t="shared" si="6"/>
        <v>41548</v>
      </c>
      <c r="C42" s="143">
        <f t="shared" si="2"/>
        <v>41639</v>
      </c>
      <c r="D42" s="142">
        <f t="shared" si="7"/>
        <v>92</v>
      </c>
      <c r="E42" s="160">
        <f>VLOOKUP(C42,'FERC Interest Rate'!$A:$C,2,TRUE)</f>
        <v>3.2500000000000001E-2</v>
      </c>
      <c r="F42" s="148">
        <f t="shared" si="8"/>
        <v>3768666.6343359896</v>
      </c>
      <c r="G42" s="147"/>
      <c r="H42" s="147"/>
      <c r="I42" s="254">
        <f t="shared" si="4"/>
        <v>30872.091059355098</v>
      </c>
      <c r="J42" s="148"/>
      <c r="K42" s="130">
        <f t="shared" si="9"/>
        <v>3799538.7253953447</v>
      </c>
    </row>
    <row r="43" spans="1:11" x14ac:dyDescent="0.2">
      <c r="A43" s="156"/>
      <c r="B43" s="143">
        <f t="shared" si="6"/>
        <v>41640</v>
      </c>
      <c r="C43" s="143">
        <f t="shared" si="2"/>
        <v>41729</v>
      </c>
      <c r="D43" s="142">
        <f t="shared" si="7"/>
        <v>90</v>
      </c>
      <c r="E43" s="160">
        <f>VLOOKUP(C43,'FERC Interest Rate'!$A:$C,2,TRUE)</f>
        <v>3.2500000000000001E-2</v>
      </c>
      <c r="F43" s="148">
        <f t="shared" si="8"/>
        <v>3799538.7253953447</v>
      </c>
      <c r="G43" s="147"/>
      <c r="H43" s="147">
        <f>($C$30/20)*4</f>
        <v>730000</v>
      </c>
      <c r="I43" s="254">
        <f t="shared" si="4"/>
        <v>30448.358278853106</v>
      </c>
      <c r="J43" s="148">
        <f>(SUM($I$38:$I$59)/20)*4</f>
        <v>35997.416734839542</v>
      </c>
      <c r="K43" s="130">
        <f>F43+I43-H43-J43</f>
        <v>3063989.6669393582</v>
      </c>
    </row>
    <row r="44" spans="1:11" x14ac:dyDescent="0.2">
      <c r="A44" s="156"/>
      <c r="B44" s="143">
        <f t="shared" ref="B44:B57" si="10">C43+1</f>
        <v>41730</v>
      </c>
      <c r="C44" s="143">
        <f t="shared" si="2"/>
        <v>41820</v>
      </c>
      <c r="D44" s="142">
        <f t="shared" si="3"/>
        <v>91</v>
      </c>
      <c r="E44" s="160">
        <f>VLOOKUP(C44,'FERC Interest Rate'!$A:$C,2,TRUE)</f>
        <v>3.2500000000000001E-2</v>
      </c>
      <c r="F44" s="148">
        <f t="shared" ref="F44:F57" si="11">K43</f>
        <v>3063989.6669393582</v>
      </c>
      <c r="G44" s="147">
        <f t="shared" ref="G44:G57" si="12">F44*E44*(D44/(DATE(YEAR(C44),12,31)-DATE(YEAR(C44),1,1)+1))</f>
        <v>24826.710794446994</v>
      </c>
      <c r="H44" s="147">
        <f t="shared" ref="H44:H59" si="13">$C$30/20</f>
        <v>182500</v>
      </c>
      <c r="I44" s="148">
        <v>0</v>
      </c>
      <c r="J44" s="148">
        <f>SUM($I$38:$I$59)/20</f>
        <v>8999.3541837098855</v>
      </c>
      <c r="K44" s="130">
        <f t="shared" si="5"/>
        <v>2872490.3127556485</v>
      </c>
    </row>
    <row r="45" spans="1:11" x14ac:dyDescent="0.2">
      <c r="A45" s="156"/>
      <c r="B45" s="143">
        <f t="shared" si="10"/>
        <v>41821</v>
      </c>
      <c r="C45" s="143">
        <f t="shared" si="2"/>
        <v>41912</v>
      </c>
      <c r="D45" s="142">
        <f t="shared" si="3"/>
        <v>92</v>
      </c>
      <c r="E45" s="160">
        <f>VLOOKUP(C45,'FERC Interest Rate'!$A:$C,2,TRUE)</f>
        <v>3.2500000000000001E-2</v>
      </c>
      <c r="F45" s="148">
        <f t="shared" si="11"/>
        <v>2872490.3127556485</v>
      </c>
      <c r="G45" s="147">
        <f t="shared" si="12"/>
        <v>23530.811055176411</v>
      </c>
      <c r="H45" s="147">
        <f t="shared" si="13"/>
        <v>182500</v>
      </c>
      <c r="I45" s="148">
        <v>0</v>
      </c>
      <c r="J45" s="148">
        <f t="shared" ref="J45:J59" si="14">SUM($I$38:$I$59)/20</f>
        <v>8999.3541837098855</v>
      </c>
      <c r="K45" s="130">
        <f t="shared" si="5"/>
        <v>2680990.9585719388</v>
      </c>
    </row>
    <row r="46" spans="1:11" x14ac:dyDescent="0.2">
      <c r="A46" s="156"/>
      <c r="B46" s="143">
        <f t="shared" si="10"/>
        <v>41913</v>
      </c>
      <c r="C46" s="143">
        <f t="shared" si="2"/>
        <v>42004</v>
      </c>
      <c r="D46" s="142">
        <f t="shared" si="3"/>
        <v>92</v>
      </c>
      <c r="E46" s="160">
        <f>VLOOKUP(C46,'FERC Interest Rate'!$A:$C,2,TRUE)</f>
        <v>3.2500000000000001E-2</v>
      </c>
      <c r="F46" s="148">
        <f t="shared" si="11"/>
        <v>2680990.9585719388</v>
      </c>
      <c r="G46" s="147">
        <f t="shared" si="12"/>
        <v>21962.090318164654</v>
      </c>
      <c r="H46" s="147">
        <f t="shared" si="13"/>
        <v>182500</v>
      </c>
      <c r="I46" s="148">
        <v>0</v>
      </c>
      <c r="J46" s="148">
        <f t="shared" si="14"/>
        <v>8999.3541837098855</v>
      </c>
      <c r="K46" s="130">
        <f t="shared" si="5"/>
        <v>2489491.6043882291</v>
      </c>
    </row>
    <row r="47" spans="1:11" x14ac:dyDescent="0.2">
      <c r="A47" s="156"/>
      <c r="B47" s="143">
        <f t="shared" si="10"/>
        <v>42005</v>
      </c>
      <c r="C47" s="143">
        <f t="shared" si="2"/>
        <v>42094</v>
      </c>
      <c r="D47" s="142">
        <f t="shared" si="3"/>
        <v>90</v>
      </c>
      <c r="E47" s="160">
        <f>VLOOKUP(C47,'FERC Interest Rate'!$A:$C,2,TRUE)</f>
        <v>3.2500000000000001E-2</v>
      </c>
      <c r="F47" s="148">
        <f t="shared" si="11"/>
        <v>2489491.6043882291</v>
      </c>
      <c r="G47" s="147">
        <f t="shared" si="12"/>
        <v>19950.035459823477</v>
      </c>
      <c r="H47" s="147">
        <f t="shared" si="13"/>
        <v>182500</v>
      </c>
      <c r="I47" s="148">
        <v>0</v>
      </c>
      <c r="J47" s="148">
        <f t="shared" si="14"/>
        <v>8999.3541837098855</v>
      </c>
      <c r="K47" s="130">
        <f t="shared" si="5"/>
        <v>2297992.2502045194</v>
      </c>
    </row>
    <row r="48" spans="1:11" x14ac:dyDescent="0.2">
      <c r="A48" s="156"/>
      <c r="B48" s="143">
        <f t="shared" si="10"/>
        <v>42095</v>
      </c>
      <c r="C48" s="143">
        <f t="shared" si="2"/>
        <v>42185</v>
      </c>
      <c r="D48" s="142">
        <f t="shared" si="3"/>
        <v>91</v>
      </c>
      <c r="E48" s="160">
        <f>VLOOKUP(C48,'FERC Interest Rate'!$A:$C,2,TRUE)</f>
        <v>3.2500000000000001E-2</v>
      </c>
      <c r="F48" s="148">
        <f t="shared" si="11"/>
        <v>2297992.2502045194</v>
      </c>
      <c r="G48" s="147">
        <f t="shared" si="12"/>
        <v>18620.03309583525</v>
      </c>
      <c r="H48" s="147">
        <f t="shared" si="13"/>
        <v>182500</v>
      </c>
      <c r="I48" s="148">
        <v>0</v>
      </c>
      <c r="J48" s="148">
        <f t="shared" si="14"/>
        <v>8999.3541837098855</v>
      </c>
      <c r="K48" s="130">
        <f t="shared" si="5"/>
        <v>2106492.8960208097</v>
      </c>
    </row>
    <row r="49" spans="1:18" x14ac:dyDescent="0.2">
      <c r="A49" s="156"/>
      <c r="B49" s="143">
        <f t="shared" si="10"/>
        <v>42186</v>
      </c>
      <c r="C49" s="143">
        <f t="shared" si="2"/>
        <v>42277</v>
      </c>
      <c r="D49" s="142">
        <f t="shared" si="3"/>
        <v>92</v>
      </c>
      <c r="E49" s="160">
        <f>VLOOKUP(C49,'FERC Interest Rate'!$A:$C,2,TRUE)</f>
        <v>3.2500000000000001E-2</v>
      </c>
      <c r="F49" s="148">
        <f t="shared" si="11"/>
        <v>2106492.8960208097</v>
      </c>
      <c r="G49" s="147">
        <f t="shared" si="12"/>
        <v>17255.928107129374</v>
      </c>
      <c r="H49" s="147">
        <f t="shared" si="13"/>
        <v>182500</v>
      </c>
      <c r="I49" s="148">
        <v>0</v>
      </c>
      <c r="J49" s="148">
        <f t="shared" si="14"/>
        <v>8999.3541837098855</v>
      </c>
      <c r="K49" s="130">
        <f t="shared" si="5"/>
        <v>1914993.5418370997</v>
      </c>
    </row>
    <row r="50" spans="1:18" x14ac:dyDescent="0.2">
      <c r="A50" s="156"/>
      <c r="B50" s="143">
        <f t="shared" si="10"/>
        <v>42278</v>
      </c>
      <c r="C50" s="143">
        <f t="shared" si="2"/>
        <v>42369</v>
      </c>
      <c r="D50" s="142">
        <f t="shared" si="3"/>
        <v>92</v>
      </c>
      <c r="E50" s="160">
        <f>VLOOKUP(C50,'FERC Interest Rate'!$A:$C,2,TRUE)</f>
        <v>3.2500000000000001E-2</v>
      </c>
      <c r="F50" s="148">
        <f t="shared" si="11"/>
        <v>1914993.5418370997</v>
      </c>
      <c r="G50" s="147">
        <f t="shared" si="12"/>
        <v>15687.207370117612</v>
      </c>
      <c r="H50" s="147">
        <f t="shared" si="13"/>
        <v>182500</v>
      </c>
      <c r="I50" s="148">
        <v>0</v>
      </c>
      <c r="J50" s="148">
        <f t="shared" si="14"/>
        <v>8999.3541837098855</v>
      </c>
      <c r="K50" s="130">
        <f t="shared" si="5"/>
        <v>1723494.1876533898</v>
      </c>
    </row>
    <row r="51" spans="1:18" x14ac:dyDescent="0.2">
      <c r="A51" s="156"/>
      <c r="B51" s="143">
        <f t="shared" si="10"/>
        <v>42370</v>
      </c>
      <c r="C51" s="143">
        <f t="shared" si="2"/>
        <v>42460</v>
      </c>
      <c r="D51" s="142">
        <f t="shared" si="3"/>
        <v>91</v>
      </c>
      <c r="E51" s="160">
        <f>VLOOKUP(C51,'FERC Interest Rate'!$A:$C,2,TRUE)</f>
        <v>3.2500000000000001E-2</v>
      </c>
      <c r="F51" s="148">
        <f t="shared" si="11"/>
        <v>1723494.1876533898</v>
      </c>
      <c r="G51" s="147">
        <f t="shared" si="12"/>
        <v>13926.869016352186</v>
      </c>
      <c r="H51" s="147">
        <f t="shared" si="13"/>
        <v>182500</v>
      </c>
      <c r="I51" s="148">
        <v>0</v>
      </c>
      <c r="J51" s="148">
        <f t="shared" si="14"/>
        <v>8999.3541837098855</v>
      </c>
      <c r="K51" s="130">
        <f t="shared" si="5"/>
        <v>1531994.8334696798</v>
      </c>
    </row>
    <row r="52" spans="1:18" x14ac:dyDescent="0.2">
      <c r="A52" s="156"/>
      <c r="B52" s="143">
        <f t="shared" si="10"/>
        <v>42461</v>
      </c>
      <c r="C52" s="143">
        <f t="shared" si="2"/>
        <v>42551</v>
      </c>
      <c r="D52" s="142">
        <f t="shared" si="3"/>
        <v>91</v>
      </c>
      <c r="E52" s="160">
        <f>VLOOKUP(C52,'FERC Interest Rate'!$A:$C,2,TRUE)</f>
        <v>3.2500000000000001E-2</v>
      </c>
      <c r="F52" s="148">
        <f t="shared" si="11"/>
        <v>1531994.8334696798</v>
      </c>
      <c r="G52" s="147">
        <f t="shared" si="12"/>
        <v>12379.439125646388</v>
      </c>
      <c r="H52" s="147">
        <f t="shared" si="13"/>
        <v>182500</v>
      </c>
      <c r="I52" s="148">
        <v>0</v>
      </c>
      <c r="J52" s="148">
        <f t="shared" si="14"/>
        <v>8999.3541837098855</v>
      </c>
      <c r="K52" s="130">
        <f t="shared" si="5"/>
        <v>1340495.4792859699</v>
      </c>
    </row>
    <row r="53" spans="1:18" x14ac:dyDescent="0.2">
      <c r="A53" s="156"/>
      <c r="B53" s="143">
        <f t="shared" si="10"/>
        <v>42552</v>
      </c>
      <c r="C53" s="143">
        <f t="shared" si="2"/>
        <v>42643</v>
      </c>
      <c r="D53" s="142">
        <f t="shared" si="3"/>
        <v>92</v>
      </c>
      <c r="E53" s="160">
        <f>VLOOKUP(C53,'FERC Interest Rate'!$A:$C,2,TRUE)</f>
        <v>4.0333330000000001E-2</v>
      </c>
      <c r="F53" s="148">
        <f t="shared" si="11"/>
        <v>1340495.4792859699</v>
      </c>
      <c r="G53" s="147">
        <f t="shared" si="12"/>
        <v>13590.523171362091</v>
      </c>
      <c r="H53" s="147">
        <f t="shared" si="13"/>
        <v>182500</v>
      </c>
      <c r="I53" s="148">
        <v>0</v>
      </c>
      <c r="J53" s="148">
        <f t="shared" si="14"/>
        <v>8999.3541837098855</v>
      </c>
      <c r="K53" s="130">
        <f t="shared" si="5"/>
        <v>1148996.1251022599</v>
      </c>
    </row>
    <row r="54" spans="1:18" x14ac:dyDescent="0.2">
      <c r="A54" s="156"/>
      <c r="B54" s="143">
        <f t="shared" si="10"/>
        <v>42644</v>
      </c>
      <c r="C54" s="143">
        <f t="shared" si="2"/>
        <v>42735</v>
      </c>
      <c r="D54" s="142">
        <f t="shared" si="3"/>
        <v>92</v>
      </c>
      <c r="E54" s="160">
        <f>VLOOKUP(C54,'FERC Interest Rate'!$A:$C,2,TRUE)</f>
        <v>4.2833329999999996E-2</v>
      </c>
      <c r="F54" s="148">
        <f t="shared" si="11"/>
        <v>1148996.1251022599</v>
      </c>
      <c r="G54" s="147">
        <f t="shared" si="12"/>
        <v>12371.066606450348</v>
      </c>
      <c r="H54" s="147">
        <f t="shared" si="13"/>
        <v>182500</v>
      </c>
      <c r="I54" s="148">
        <v>0</v>
      </c>
      <c r="J54" s="148">
        <f t="shared" si="14"/>
        <v>8999.3541837098855</v>
      </c>
      <c r="K54" s="130">
        <f t="shared" si="5"/>
        <v>957496.77091855009</v>
      </c>
    </row>
    <row r="55" spans="1:18" x14ac:dyDescent="0.2">
      <c r="A55" s="156"/>
      <c r="B55" s="143">
        <f t="shared" si="10"/>
        <v>42736</v>
      </c>
      <c r="C55" s="143">
        <f t="shared" si="2"/>
        <v>42825</v>
      </c>
      <c r="D55" s="142">
        <f t="shared" si="3"/>
        <v>90</v>
      </c>
      <c r="E55" s="160">
        <f>VLOOKUP(C55,'FERC Interest Rate'!$A:$C,2,TRUE)</f>
        <v>4.7066670000000005E-2</v>
      </c>
      <c r="F55" s="148">
        <f t="shared" si="11"/>
        <v>957496.77091855009</v>
      </c>
      <c r="G55" s="147">
        <f t="shared" si="12"/>
        <v>11112.209887287698</v>
      </c>
      <c r="H55" s="147">
        <f t="shared" si="13"/>
        <v>182500</v>
      </c>
      <c r="I55" s="148">
        <v>0</v>
      </c>
      <c r="J55" s="148">
        <f t="shared" si="14"/>
        <v>8999.3541837098855</v>
      </c>
      <c r="K55" s="130">
        <f t="shared" si="5"/>
        <v>765997.41673484026</v>
      </c>
    </row>
    <row r="56" spans="1:18" x14ac:dyDescent="0.2">
      <c r="A56" s="156"/>
      <c r="B56" s="143">
        <f t="shared" si="10"/>
        <v>42826</v>
      </c>
      <c r="C56" s="143">
        <f t="shared" si="2"/>
        <v>42916</v>
      </c>
      <c r="D56" s="142">
        <f t="shared" si="3"/>
        <v>91</v>
      </c>
      <c r="E56" s="160">
        <f>VLOOKUP(C56,'FERC Interest Rate'!$A:$C,2,TRUE)</f>
        <v>5.21E-2</v>
      </c>
      <c r="F56" s="148">
        <f t="shared" si="11"/>
        <v>765997.41673484026</v>
      </c>
      <c r="G56" s="147">
        <f t="shared" si="12"/>
        <v>9949.7817876206882</v>
      </c>
      <c r="H56" s="147">
        <f t="shared" si="13"/>
        <v>182500</v>
      </c>
      <c r="I56" s="148">
        <v>0</v>
      </c>
      <c r="J56" s="148">
        <f t="shared" si="14"/>
        <v>8999.3541837098855</v>
      </c>
      <c r="K56" s="130">
        <f t="shared" si="5"/>
        <v>574498.06255113042</v>
      </c>
    </row>
    <row r="57" spans="1:18" x14ac:dyDescent="0.2">
      <c r="A57" s="156"/>
      <c r="B57" s="143">
        <f t="shared" si="10"/>
        <v>42917</v>
      </c>
      <c r="C57" s="143">
        <f t="shared" si="2"/>
        <v>43008</v>
      </c>
      <c r="D57" s="142">
        <f t="shared" si="3"/>
        <v>92</v>
      </c>
      <c r="E57" s="160">
        <f>VLOOKUP(C57,'FERC Interest Rate'!$A:$C,2,TRUE)</f>
        <v>5.7066670000000007E-2</v>
      </c>
      <c r="F57" s="148">
        <f t="shared" si="11"/>
        <v>574498.06255113042</v>
      </c>
      <c r="G57" s="147">
        <f t="shared" si="12"/>
        <v>8263.5386419575734</v>
      </c>
      <c r="H57" s="147">
        <f t="shared" si="13"/>
        <v>182500</v>
      </c>
      <c r="I57" s="148">
        <v>0</v>
      </c>
      <c r="J57" s="148">
        <f t="shared" si="14"/>
        <v>8999.3541837098855</v>
      </c>
      <c r="K57" s="130">
        <f t="shared" si="5"/>
        <v>382998.70836742054</v>
      </c>
    </row>
    <row r="58" spans="1:18" x14ac:dyDescent="0.2">
      <c r="A58" s="156"/>
      <c r="B58" s="143">
        <f t="shared" ref="B58:B59" si="15">C57+1</f>
        <v>43009</v>
      </c>
      <c r="C58" s="143">
        <f t="shared" si="2"/>
        <v>43100</v>
      </c>
      <c r="D58" s="142">
        <f t="shared" ref="D58:D59" si="16">C58-B58+1</f>
        <v>92</v>
      </c>
      <c r="E58" s="160">
        <f>VLOOKUP(C58,'FERC Interest Rate'!$A:$C,2,TRUE)</f>
        <v>6.2033329999999998E-2</v>
      </c>
      <c r="F58" s="148">
        <f t="shared" ref="F58:F59" si="17">K57</f>
        <v>382998.70836742054</v>
      </c>
      <c r="G58" s="147">
        <f t="shared" ref="G58:G59" si="18">F58*E58*(D58/(DATE(YEAR(C58),12,31)-DATE(YEAR(C58),1,1)+1))</f>
        <v>5988.4905327319348</v>
      </c>
      <c r="H58" s="147">
        <f t="shared" si="13"/>
        <v>182500</v>
      </c>
      <c r="I58" s="148">
        <v>0</v>
      </c>
      <c r="J58" s="148">
        <f t="shared" si="14"/>
        <v>8999.3541837098855</v>
      </c>
      <c r="K58" s="130">
        <f t="shared" ref="K58:K59" si="19">F58+I58-H58-J58</f>
        <v>191499.35418371065</v>
      </c>
    </row>
    <row r="59" spans="1:18" x14ac:dyDescent="0.2">
      <c r="A59" s="156"/>
      <c r="B59" s="143">
        <f t="shared" si="15"/>
        <v>43101</v>
      </c>
      <c r="C59" s="143">
        <f t="shared" si="2"/>
        <v>43190</v>
      </c>
      <c r="D59" s="142">
        <f t="shared" si="16"/>
        <v>90</v>
      </c>
      <c r="E59" s="160">
        <f>VLOOKUP(C59,'FERC Interest Rate'!$A:$C,2,TRUE)</f>
        <v>6.6699999999999995E-2</v>
      </c>
      <c r="F59" s="148">
        <f t="shared" si="17"/>
        <v>191499.35418371065</v>
      </c>
      <c r="G59" s="147">
        <f t="shared" si="18"/>
        <v>3149.5085566159314</v>
      </c>
      <c r="H59" s="147">
        <f t="shared" si="13"/>
        <v>182500</v>
      </c>
      <c r="I59" s="148">
        <v>0</v>
      </c>
      <c r="J59" s="148">
        <f t="shared" si="14"/>
        <v>8999.3541837098855</v>
      </c>
      <c r="K59" s="130">
        <f t="shared" si="19"/>
        <v>7.6033757068216801E-10</v>
      </c>
    </row>
    <row r="60" spans="1:18" ht="13.5" thickBot="1" x14ac:dyDescent="0.25">
      <c r="A60" s="129"/>
      <c r="B60" s="144"/>
      <c r="C60" s="144"/>
      <c r="D60" s="121"/>
      <c r="E60" s="122"/>
      <c r="F60" s="145"/>
      <c r="G60" s="145"/>
      <c r="H60" s="146"/>
      <c r="I60" s="123"/>
      <c r="J60" s="123"/>
      <c r="K60" s="128"/>
    </row>
    <row r="61" spans="1:18" ht="13.5" thickBot="1" x14ac:dyDescent="0.25">
      <c r="A61" s="43"/>
      <c r="B61" s="279"/>
      <c r="C61" s="279"/>
      <c r="D61" s="42"/>
      <c r="E61" s="43"/>
      <c r="F61" s="280"/>
      <c r="G61" s="280"/>
      <c r="H61" s="240"/>
      <c r="I61" s="44"/>
      <c r="J61" s="44"/>
      <c r="K61" s="280"/>
      <c r="M61" s="279"/>
      <c r="N61" s="279"/>
      <c r="O61" s="280"/>
      <c r="P61" s="240"/>
      <c r="Q61" s="44"/>
      <c r="R61" s="280"/>
    </row>
    <row r="62" spans="1:18" ht="13.5" thickBot="1" x14ac:dyDescent="0.25">
      <c r="A62" s="304" t="s">
        <v>82</v>
      </c>
      <c r="B62" s="305"/>
      <c r="C62" s="305"/>
      <c r="D62" s="305"/>
      <c r="E62" s="305"/>
      <c r="F62" s="306"/>
      <c r="G62" s="280"/>
      <c r="H62" s="240"/>
      <c r="I62" s="44"/>
      <c r="J62" s="44"/>
      <c r="K62" s="280"/>
      <c r="M62" s="279"/>
      <c r="N62" s="279"/>
      <c r="O62" s="280"/>
      <c r="P62" s="240"/>
      <c r="Q62" s="44"/>
      <c r="R62" s="280"/>
    </row>
    <row r="63" spans="1:18" ht="51.75" thickBot="1" x14ac:dyDescent="0.25">
      <c r="A63" s="163" t="s">
        <v>10</v>
      </c>
      <c r="B63" s="164" t="s">
        <v>11</v>
      </c>
      <c r="C63" s="164" t="s">
        <v>32</v>
      </c>
      <c r="D63" s="164" t="s">
        <v>16</v>
      </c>
      <c r="E63" s="193" t="s">
        <v>33</v>
      </c>
      <c r="F63" s="165" t="s">
        <v>111</v>
      </c>
      <c r="G63" s="280"/>
      <c r="H63" s="240"/>
      <c r="I63" s="44"/>
      <c r="J63" s="44"/>
      <c r="K63" s="280"/>
      <c r="M63" s="279"/>
      <c r="N63" s="279"/>
      <c r="O63" s="280"/>
      <c r="P63" s="240"/>
      <c r="Q63" s="44"/>
      <c r="R63" s="280"/>
    </row>
    <row r="64" spans="1:18" x14ac:dyDescent="0.2">
      <c r="A64" s="261">
        <f>$D$33</f>
        <v>41187</v>
      </c>
      <c r="B64" s="262">
        <f>DATE(YEAR(A64),IF(MONTH(A64)&lt;=3,3,IF(MONTH(A64)&lt;=6,6,IF(MONTH(A64)&lt;=9,9,12))),IF(OR(MONTH(A64)&lt;=3,MONTH(A64)&gt;=10),31,30))</f>
        <v>41274</v>
      </c>
      <c r="C64" s="147">
        <f t="shared" ref="C64:C85" si="20">G96+G128+G159+G190+G221+G251+G281+G311+G341+G370+G399+G428</f>
        <v>0</v>
      </c>
      <c r="D64" s="147">
        <f t="shared" ref="D64:D85" si="21">H96+H128+H159+H190+H221+H251+H281+H311+H341+H370+H399+H428</f>
        <v>0</v>
      </c>
      <c r="E64" s="147">
        <f t="shared" ref="E64:E85" si="22">J96+J128+J159+J190+J221+J251+J281+J311+J341+J370+J399+J428</f>
        <v>0</v>
      </c>
      <c r="F64" s="130">
        <f t="shared" ref="F64:F68" si="23">C64+E64</f>
        <v>0</v>
      </c>
      <c r="G64" s="280"/>
      <c r="H64" s="240"/>
      <c r="I64" s="44"/>
      <c r="J64" s="44"/>
      <c r="K64" s="280"/>
      <c r="M64" s="279"/>
      <c r="N64" s="279"/>
      <c r="O64" s="280"/>
      <c r="P64" s="240"/>
      <c r="Q64" s="44"/>
      <c r="R64" s="280"/>
    </row>
    <row r="65" spans="1:18" x14ac:dyDescent="0.2">
      <c r="A65" s="263">
        <f>B64+1</f>
        <v>41275</v>
      </c>
      <c r="B65" s="264">
        <f>EOMONTH(B64,3)</f>
        <v>41364</v>
      </c>
      <c r="C65" s="147">
        <f t="shared" si="20"/>
        <v>0</v>
      </c>
      <c r="D65" s="147">
        <f t="shared" si="21"/>
        <v>0</v>
      </c>
      <c r="E65" s="147">
        <f t="shared" si="22"/>
        <v>0</v>
      </c>
      <c r="F65" s="130">
        <f t="shared" si="23"/>
        <v>0</v>
      </c>
      <c r="G65" s="280"/>
      <c r="H65" s="240"/>
      <c r="I65" s="44"/>
      <c r="J65" s="44"/>
      <c r="K65" s="280"/>
      <c r="M65" s="279"/>
      <c r="N65" s="279"/>
      <c r="O65" s="280"/>
      <c r="P65" s="240"/>
      <c r="Q65" s="44"/>
      <c r="R65" s="280"/>
    </row>
    <row r="66" spans="1:18" x14ac:dyDescent="0.2">
      <c r="A66" s="194">
        <f t="shared" ref="A66:A68" si="24">B65+1</f>
        <v>41365</v>
      </c>
      <c r="B66" s="143">
        <f t="shared" ref="B66:B85" si="25">EOMONTH(B65,3)</f>
        <v>41455</v>
      </c>
      <c r="C66" s="147">
        <f t="shared" si="20"/>
        <v>0</v>
      </c>
      <c r="D66" s="147">
        <f t="shared" si="21"/>
        <v>0</v>
      </c>
      <c r="E66" s="147">
        <f t="shared" si="22"/>
        <v>0</v>
      </c>
      <c r="F66" s="130">
        <f t="shared" si="23"/>
        <v>0</v>
      </c>
      <c r="G66" s="280"/>
      <c r="H66" s="240"/>
      <c r="I66" s="44"/>
      <c r="J66" s="44"/>
      <c r="K66" s="280"/>
      <c r="M66" s="279"/>
      <c r="N66" s="279"/>
      <c r="O66" s="280"/>
      <c r="P66" s="240"/>
      <c r="Q66" s="44"/>
      <c r="R66" s="280"/>
    </row>
    <row r="67" spans="1:18" x14ac:dyDescent="0.2">
      <c r="A67" s="194">
        <f t="shared" si="24"/>
        <v>41456</v>
      </c>
      <c r="B67" s="143">
        <f t="shared" si="25"/>
        <v>41547</v>
      </c>
      <c r="C67" s="147">
        <f t="shared" si="20"/>
        <v>0</v>
      </c>
      <c r="D67" s="147">
        <f t="shared" si="21"/>
        <v>0</v>
      </c>
      <c r="E67" s="147">
        <f t="shared" si="22"/>
        <v>0</v>
      </c>
      <c r="F67" s="130">
        <f t="shared" si="23"/>
        <v>0</v>
      </c>
      <c r="G67" s="280"/>
      <c r="H67" s="240"/>
      <c r="I67" s="44"/>
      <c r="J67" s="44"/>
      <c r="K67" s="280"/>
      <c r="M67" s="279"/>
      <c r="N67" s="279"/>
      <c r="O67" s="280"/>
      <c r="P67" s="240"/>
      <c r="Q67" s="44"/>
      <c r="R67" s="280"/>
    </row>
    <row r="68" spans="1:18" x14ac:dyDescent="0.2">
      <c r="A68" s="194">
        <f t="shared" si="24"/>
        <v>41548</v>
      </c>
      <c r="B68" s="143">
        <f t="shared" si="25"/>
        <v>41639</v>
      </c>
      <c r="C68" s="147">
        <f t="shared" si="20"/>
        <v>0</v>
      </c>
      <c r="D68" s="147">
        <f t="shared" si="21"/>
        <v>0</v>
      </c>
      <c r="E68" s="147">
        <f t="shared" si="22"/>
        <v>0</v>
      </c>
      <c r="F68" s="130">
        <f t="shared" si="23"/>
        <v>0</v>
      </c>
      <c r="G68" s="280"/>
      <c r="H68" s="240"/>
      <c r="I68" s="44"/>
      <c r="J68" s="44"/>
      <c r="K68" s="280"/>
      <c r="M68" s="279"/>
      <c r="N68" s="279"/>
      <c r="O68" s="280"/>
      <c r="P68" s="240"/>
      <c r="Q68" s="44"/>
      <c r="R68" s="280"/>
    </row>
    <row r="69" spans="1:18" x14ac:dyDescent="0.2">
      <c r="A69" s="194">
        <f t="shared" ref="A69:A85" si="26">B68+1</f>
        <v>41640</v>
      </c>
      <c r="B69" s="143">
        <f t="shared" si="25"/>
        <v>41729</v>
      </c>
      <c r="C69" s="147">
        <f t="shared" si="20"/>
        <v>0</v>
      </c>
      <c r="D69" s="147">
        <f t="shared" si="21"/>
        <v>40000</v>
      </c>
      <c r="E69" s="147">
        <f t="shared" si="22"/>
        <v>2944.7121287408113</v>
      </c>
      <c r="F69" s="130">
        <f t="shared" ref="F69:F85" si="27">C69+E69</f>
        <v>2944.7121287408113</v>
      </c>
      <c r="G69" s="280"/>
      <c r="H69" s="240"/>
      <c r="I69" s="44"/>
      <c r="J69" s="44"/>
      <c r="K69" s="280"/>
      <c r="M69" s="279"/>
      <c r="N69" s="279"/>
      <c r="O69" s="280"/>
      <c r="P69" s="240"/>
      <c r="Q69" s="44"/>
      <c r="R69" s="280"/>
    </row>
    <row r="70" spans="1:18" x14ac:dyDescent="0.2">
      <c r="A70" s="194">
        <f t="shared" si="26"/>
        <v>41730</v>
      </c>
      <c r="B70" s="143">
        <f t="shared" si="25"/>
        <v>41820</v>
      </c>
      <c r="C70" s="147">
        <f t="shared" si="20"/>
        <v>1391.8792999534353</v>
      </c>
      <c r="D70" s="147">
        <f t="shared" si="21"/>
        <v>10000</v>
      </c>
      <c r="E70" s="147">
        <f t="shared" si="22"/>
        <v>736.17803218520282</v>
      </c>
      <c r="F70" s="130">
        <f t="shared" si="27"/>
        <v>2128.0573321386382</v>
      </c>
      <c r="G70" s="280"/>
      <c r="H70" s="240"/>
      <c r="I70" s="44"/>
      <c r="J70" s="44"/>
      <c r="K70" s="280"/>
      <c r="M70" s="279"/>
      <c r="N70" s="279"/>
      <c r="O70" s="280"/>
      <c r="P70" s="240"/>
      <c r="Q70" s="44"/>
      <c r="R70" s="280"/>
    </row>
    <row r="71" spans="1:18" x14ac:dyDescent="0.2">
      <c r="A71" s="194">
        <f t="shared" si="26"/>
        <v>41821</v>
      </c>
      <c r="B71" s="143">
        <f t="shared" si="25"/>
        <v>41912</v>
      </c>
      <c r="C71" s="147">
        <f t="shared" si="20"/>
        <v>1319.2262595712505</v>
      </c>
      <c r="D71" s="147">
        <f t="shared" si="21"/>
        <v>10000</v>
      </c>
      <c r="E71" s="147">
        <f t="shared" si="22"/>
        <v>736.17803218520282</v>
      </c>
      <c r="F71" s="130">
        <f t="shared" si="27"/>
        <v>2055.4042917564534</v>
      </c>
      <c r="G71" s="280"/>
      <c r="H71" s="240"/>
      <c r="I71" s="44"/>
      <c r="J71" s="44"/>
      <c r="K71" s="280"/>
      <c r="M71" s="279"/>
      <c r="N71" s="279"/>
      <c r="O71" s="280"/>
      <c r="P71" s="240"/>
      <c r="Q71" s="44"/>
      <c r="R71" s="280"/>
    </row>
    <row r="72" spans="1:18" x14ac:dyDescent="0.2">
      <c r="A72" s="194">
        <f t="shared" si="26"/>
        <v>41913</v>
      </c>
      <c r="B72" s="143">
        <f t="shared" si="25"/>
        <v>42004</v>
      </c>
      <c r="C72" s="147">
        <f t="shared" si="20"/>
        <v>1231.2778422665003</v>
      </c>
      <c r="D72" s="147">
        <f t="shared" si="21"/>
        <v>10000</v>
      </c>
      <c r="E72" s="147">
        <f t="shared" si="22"/>
        <v>736.17803218520282</v>
      </c>
      <c r="F72" s="130">
        <f t="shared" si="27"/>
        <v>1967.455874451703</v>
      </c>
      <c r="G72" s="280"/>
      <c r="H72" s="240"/>
      <c r="I72" s="44"/>
      <c r="J72" s="44"/>
      <c r="K72" s="280"/>
      <c r="M72" s="279"/>
      <c r="N72" s="279"/>
      <c r="O72" s="280"/>
      <c r="P72" s="240"/>
      <c r="Q72" s="44"/>
      <c r="R72" s="280"/>
    </row>
    <row r="73" spans="1:18" x14ac:dyDescent="0.2">
      <c r="A73" s="194">
        <f t="shared" si="26"/>
        <v>42005</v>
      </c>
      <c r="B73" s="143">
        <f t="shared" si="25"/>
        <v>42094</v>
      </c>
      <c r="C73" s="147">
        <f t="shared" si="20"/>
        <v>1118.4744374625818</v>
      </c>
      <c r="D73" s="147">
        <f t="shared" si="21"/>
        <v>10000</v>
      </c>
      <c r="E73" s="147">
        <f t="shared" si="22"/>
        <v>736.17803218520282</v>
      </c>
      <c r="F73" s="130">
        <f t="shared" si="27"/>
        <v>1854.6524696477845</v>
      </c>
      <c r="G73" s="280"/>
      <c r="H73" s="240"/>
      <c r="I73" s="44"/>
      <c r="J73" s="44"/>
      <c r="K73" s="280"/>
      <c r="M73" s="279"/>
      <c r="N73" s="279"/>
      <c r="O73" s="280"/>
      <c r="P73" s="240"/>
      <c r="Q73" s="44"/>
      <c r="R73" s="280"/>
    </row>
    <row r="74" spans="1:18" x14ac:dyDescent="0.2">
      <c r="A74" s="194">
        <f t="shared" si="26"/>
        <v>42095</v>
      </c>
      <c r="B74" s="143">
        <f t="shared" si="25"/>
        <v>42185</v>
      </c>
      <c r="C74" s="147">
        <f t="shared" si="20"/>
        <v>1043.9094749650765</v>
      </c>
      <c r="D74" s="147">
        <f t="shared" si="21"/>
        <v>10000</v>
      </c>
      <c r="E74" s="147">
        <f t="shared" si="22"/>
        <v>736.17803218520282</v>
      </c>
      <c r="F74" s="130">
        <f t="shared" si="27"/>
        <v>1780.0875071502792</v>
      </c>
      <c r="G74" s="280"/>
      <c r="H74" s="240"/>
      <c r="I74" s="44"/>
      <c r="J74" s="44"/>
      <c r="K74" s="280"/>
      <c r="M74" s="279"/>
      <c r="N74" s="279"/>
      <c r="O74" s="280"/>
      <c r="P74" s="240"/>
      <c r="Q74" s="44"/>
      <c r="R74" s="280"/>
    </row>
    <row r="75" spans="1:18" x14ac:dyDescent="0.2">
      <c r="A75" s="194">
        <f t="shared" si="26"/>
        <v>42186</v>
      </c>
      <c r="B75" s="143">
        <f t="shared" si="25"/>
        <v>42277</v>
      </c>
      <c r="C75" s="147">
        <f t="shared" si="20"/>
        <v>967.43259035225049</v>
      </c>
      <c r="D75" s="147">
        <f t="shared" si="21"/>
        <v>10000</v>
      </c>
      <c r="E75" s="147">
        <f t="shared" si="22"/>
        <v>736.17803218520282</v>
      </c>
      <c r="F75" s="130">
        <f t="shared" si="27"/>
        <v>1703.6106225374533</v>
      </c>
      <c r="G75" s="280"/>
      <c r="H75" s="240"/>
      <c r="I75" s="44"/>
      <c r="J75" s="44"/>
      <c r="K75" s="280"/>
      <c r="M75" s="279"/>
      <c r="N75" s="279"/>
      <c r="O75" s="280"/>
      <c r="P75" s="240"/>
      <c r="Q75" s="44"/>
      <c r="R75" s="280"/>
    </row>
    <row r="76" spans="1:18" x14ac:dyDescent="0.2">
      <c r="A76" s="194">
        <f t="shared" si="26"/>
        <v>42278</v>
      </c>
      <c r="B76" s="143">
        <f t="shared" si="25"/>
        <v>42369</v>
      </c>
      <c r="C76" s="147">
        <f t="shared" si="20"/>
        <v>879.48417304750058</v>
      </c>
      <c r="D76" s="147">
        <f t="shared" si="21"/>
        <v>10000</v>
      </c>
      <c r="E76" s="147">
        <f t="shared" si="22"/>
        <v>736.17803218520282</v>
      </c>
      <c r="F76" s="130">
        <f t="shared" si="27"/>
        <v>1615.6622052327034</v>
      </c>
      <c r="G76" s="280"/>
      <c r="H76" s="240"/>
      <c r="I76" s="44"/>
      <c r="J76" s="44"/>
      <c r="K76" s="280"/>
      <c r="M76" s="279"/>
      <c r="N76" s="279"/>
      <c r="O76" s="280"/>
      <c r="P76" s="240"/>
      <c r="Q76" s="44"/>
      <c r="R76" s="280"/>
    </row>
    <row r="77" spans="1:18" x14ac:dyDescent="0.2">
      <c r="A77" s="194">
        <f t="shared" si="26"/>
        <v>42370</v>
      </c>
      <c r="B77" s="143">
        <f t="shared" si="25"/>
        <v>42460</v>
      </c>
      <c r="C77" s="147">
        <f t="shared" si="20"/>
        <v>780.79294746363303</v>
      </c>
      <c r="D77" s="147">
        <f t="shared" si="21"/>
        <v>10000</v>
      </c>
      <c r="E77" s="147">
        <f t="shared" si="22"/>
        <v>736.17803218520282</v>
      </c>
      <c r="F77" s="130">
        <f t="shared" si="27"/>
        <v>1516.970979648836</v>
      </c>
      <c r="G77" s="280"/>
      <c r="H77" s="240"/>
      <c r="I77" s="44"/>
      <c r="J77" s="44"/>
      <c r="K77" s="280"/>
      <c r="M77" s="279"/>
      <c r="N77" s="279"/>
      <c r="O77" s="280"/>
      <c r="P77" s="240"/>
      <c r="Q77" s="44"/>
      <c r="R77" s="280"/>
    </row>
    <row r="78" spans="1:18" x14ac:dyDescent="0.2">
      <c r="A78" s="194">
        <f t="shared" si="26"/>
        <v>42461</v>
      </c>
      <c r="B78" s="143">
        <f t="shared" si="25"/>
        <v>42551</v>
      </c>
      <c r="C78" s="147">
        <f t="shared" si="20"/>
        <v>694.03817552322948</v>
      </c>
      <c r="D78" s="147">
        <f t="shared" si="21"/>
        <v>10000</v>
      </c>
      <c r="E78" s="147">
        <f t="shared" si="22"/>
        <v>736.17803218520282</v>
      </c>
      <c r="F78" s="130">
        <f t="shared" si="27"/>
        <v>1430.2162077084322</v>
      </c>
      <c r="G78" s="280"/>
      <c r="H78" s="240"/>
      <c r="I78" s="44"/>
      <c r="J78" s="44"/>
      <c r="K78" s="280"/>
      <c r="M78" s="279"/>
      <c r="N78" s="279"/>
      <c r="O78" s="280"/>
      <c r="P78" s="240"/>
      <c r="Q78" s="44"/>
      <c r="R78" s="280"/>
    </row>
    <row r="79" spans="1:18" x14ac:dyDescent="0.2">
      <c r="A79" s="194">
        <f t="shared" si="26"/>
        <v>42552</v>
      </c>
      <c r="B79" s="143">
        <f t="shared" si="25"/>
        <v>42643</v>
      </c>
      <c r="C79" s="147">
        <f t="shared" si="20"/>
        <v>761.93612735793579</v>
      </c>
      <c r="D79" s="147">
        <f t="shared" si="21"/>
        <v>10000</v>
      </c>
      <c r="E79" s="147">
        <f t="shared" si="22"/>
        <v>736.17803218520282</v>
      </c>
      <c r="F79" s="130">
        <f t="shared" si="27"/>
        <v>1498.1141595431386</v>
      </c>
      <c r="G79" s="280"/>
      <c r="H79" s="240"/>
      <c r="I79" s="44"/>
      <c r="J79" s="44"/>
      <c r="K79" s="280"/>
      <c r="M79" s="279"/>
      <c r="N79" s="279"/>
      <c r="O79" s="280"/>
      <c r="P79" s="240"/>
      <c r="Q79" s="44"/>
      <c r="R79" s="280"/>
    </row>
    <row r="80" spans="1:18" x14ac:dyDescent="0.2">
      <c r="A80" s="194">
        <f t="shared" si="26"/>
        <v>42644</v>
      </c>
      <c r="B80" s="143">
        <f t="shared" si="25"/>
        <v>42735</v>
      </c>
      <c r="C80" s="147">
        <f t="shared" si="20"/>
        <v>693.56878043284007</v>
      </c>
      <c r="D80" s="147">
        <f t="shared" si="21"/>
        <v>10000</v>
      </c>
      <c r="E80" s="147">
        <f t="shared" si="22"/>
        <v>736.17803218520282</v>
      </c>
      <c r="F80" s="130">
        <f t="shared" si="27"/>
        <v>1429.7468126180429</v>
      </c>
      <c r="G80" s="280"/>
      <c r="H80" s="240"/>
      <c r="I80" s="44"/>
      <c r="J80" s="44"/>
      <c r="K80" s="280"/>
      <c r="M80" s="279"/>
      <c r="N80" s="279"/>
      <c r="O80" s="280"/>
      <c r="P80" s="240"/>
      <c r="Q80" s="44"/>
      <c r="R80" s="280"/>
    </row>
    <row r="81" spans="1:18" x14ac:dyDescent="0.2">
      <c r="A81" s="194">
        <f t="shared" si="26"/>
        <v>42736</v>
      </c>
      <c r="B81" s="143">
        <f t="shared" si="25"/>
        <v>42825</v>
      </c>
      <c r="C81" s="147">
        <f t="shared" si="20"/>
        <v>622.99251185191724</v>
      </c>
      <c r="D81" s="147">
        <f t="shared" si="21"/>
        <v>10000</v>
      </c>
      <c r="E81" s="147">
        <f t="shared" si="22"/>
        <v>736.17803218520282</v>
      </c>
      <c r="F81" s="130">
        <f t="shared" si="27"/>
        <v>1359.1705440371202</v>
      </c>
      <c r="G81" s="280"/>
      <c r="H81" s="240"/>
      <c r="I81" s="44"/>
      <c r="J81" s="44"/>
      <c r="K81" s="280"/>
      <c r="M81" s="279"/>
      <c r="N81" s="279"/>
      <c r="O81" s="280"/>
      <c r="P81" s="240"/>
      <c r="Q81" s="44"/>
      <c r="R81" s="280"/>
    </row>
    <row r="82" spans="1:18" x14ac:dyDescent="0.2">
      <c r="A82" s="194">
        <f t="shared" si="26"/>
        <v>42826</v>
      </c>
      <c r="B82" s="143">
        <f t="shared" si="25"/>
        <v>42916</v>
      </c>
      <c r="C82" s="147">
        <f t="shared" si="20"/>
        <v>557.82239636595398</v>
      </c>
      <c r="D82" s="147">
        <f t="shared" si="21"/>
        <v>10000</v>
      </c>
      <c r="E82" s="147">
        <f t="shared" si="22"/>
        <v>736.17803218520282</v>
      </c>
      <c r="F82" s="130">
        <f t="shared" si="27"/>
        <v>1294.0004285511568</v>
      </c>
      <c r="G82" s="280"/>
      <c r="H82" s="240"/>
      <c r="I82" s="44"/>
      <c r="J82" s="44"/>
      <c r="K82" s="280"/>
      <c r="M82" s="279"/>
      <c r="N82" s="279"/>
      <c r="O82" s="280"/>
      <c r="P82" s="240"/>
      <c r="Q82" s="44"/>
      <c r="R82" s="280"/>
    </row>
    <row r="83" spans="1:18" x14ac:dyDescent="0.2">
      <c r="A83" s="194">
        <f t="shared" si="26"/>
        <v>42917</v>
      </c>
      <c r="B83" s="143">
        <f t="shared" si="25"/>
        <v>43008</v>
      </c>
      <c r="C83" s="147">
        <f t="shared" si="20"/>
        <v>463.28522837099672</v>
      </c>
      <c r="D83" s="147">
        <f t="shared" si="21"/>
        <v>10000</v>
      </c>
      <c r="E83" s="147">
        <f t="shared" si="22"/>
        <v>736.17803218520282</v>
      </c>
      <c r="F83" s="130">
        <f t="shared" si="27"/>
        <v>1199.4632605561997</v>
      </c>
      <c r="G83" s="280"/>
      <c r="H83" s="240"/>
      <c r="I83" s="44"/>
      <c r="J83" s="44"/>
      <c r="K83" s="280"/>
      <c r="M83" s="279"/>
      <c r="N83" s="279"/>
      <c r="O83" s="280"/>
      <c r="P83" s="240"/>
      <c r="Q83" s="44"/>
      <c r="R83" s="280"/>
    </row>
    <row r="84" spans="1:18" x14ac:dyDescent="0.2">
      <c r="A84" s="194">
        <f t="shared" si="26"/>
        <v>43009</v>
      </c>
      <c r="B84" s="143">
        <f t="shared" si="25"/>
        <v>43100</v>
      </c>
      <c r="C84" s="147">
        <f t="shared" si="20"/>
        <v>335.73742730112463</v>
      </c>
      <c r="D84" s="147">
        <f t="shared" si="21"/>
        <v>10000</v>
      </c>
      <c r="E84" s="147">
        <f t="shared" si="22"/>
        <v>736.17803218520282</v>
      </c>
      <c r="F84" s="130">
        <f t="shared" si="27"/>
        <v>1071.9154594863276</v>
      </c>
      <c r="G84" s="280"/>
      <c r="H84" s="240"/>
      <c r="I84" s="44"/>
      <c r="J84" s="44"/>
      <c r="K84" s="280"/>
      <c r="M84" s="279"/>
      <c r="N84" s="279"/>
      <c r="O84" s="280"/>
      <c r="P84" s="240"/>
      <c r="Q84" s="44"/>
      <c r="R84" s="280"/>
    </row>
    <row r="85" spans="1:18" x14ac:dyDescent="0.2">
      <c r="A85" s="194">
        <f t="shared" si="26"/>
        <v>43101</v>
      </c>
      <c r="B85" s="143">
        <f t="shared" si="25"/>
        <v>43190</v>
      </c>
      <c r="C85" s="147">
        <f t="shared" si="20"/>
        <v>176.57336089646006</v>
      </c>
      <c r="D85" s="147">
        <f t="shared" si="21"/>
        <v>10000</v>
      </c>
      <c r="E85" s="147">
        <f t="shared" si="22"/>
        <v>736.17803218520282</v>
      </c>
      <c r="F85" s="130">
        <f t="shared" si="27"/>
        <v>912.75139308166285</v>
      </c>
      <c r="G85" s="280"/>
      <c r="H85" s="240"/>
      <c r="I85" s="44"/>
      <c r="J85" s="44"/>
      <c r="K85" s="280"/>
      <c r="M85" s="279"/>
      <c r="N85" s="279"/>
      <c r="O85" s="280"/>
      <c r="P85" s="240"/>
      <c r="Q85" s="44"/>
      <c r="R85" s="280"/>
    </row>
    <row r="86" spans="1:18" ht="13.5" thickBot="1" x14ac:dyDescent="0.25">
      <c r="A86" s="195"/>
      <c r="B86" s="144"/>
      <c r="C86" s="145"/>
      <c r="D86" s="146">
        <f>SUM(D64:D85)</f>
        <v>200000</v>
      </c>
      <c r="E86" s="124"/>
      <c r="F86" s="128"/>
      <c r="G86" s="280"/>
      <c r="H86" s="240"/>
      <c r="I86" s="44"/>
      <c r="J86" s="44"/>
      <c r="K86" s="280"/>
      <c r="M86" s="279"/>
      <c r="N86" s="279"/>
      <c r="O86" s="280"/>
      <c r="P86" s="240"/>
      <c r="Q86" s="44"/>
      <c r="R86" s="280"/>
    </row>
    <row r="87" spans="1:18" ht="13.5" thickBot="1" x14ac:dyDescent="0.25">
      <c r="A87" s="43"/>
      <c r="B87" s="279"/>
      <c r="C87" s="279"/>
      <c r="D87" s="42"/>
      <c r="E87" s="43"/>
      <c r="F87" s="280"/>
      <c r="G87" s="280"/>
      <c r="H87" s="240"/>
      <c r="I87" s="44"/>
      <c r="J87" s="44"/>
      <c r="K87" s="280"/>
      <c r="M87" s="279"/>
      <c r="N87" s="279"/>
      <c r="O87" s="280"/>
      <c r="P87" s="240"/>
      <c r="Q87" s="44"/>
      <c r="R87" s="280"/>
    </row>
    <row r="88" spans="1:18" ht="13.5" thickBot="1" x14ac:dyDescent="0.25">
      <c r="A88" s="304" t="s">
        <v>71</v>
      </c>
      <c r="B88" s="305"/>
      <c r="C88" s="305"/>
      <c r="D88" s="305"/>
      <c r="E88" s="305"/>
      <c r="F88" s="305"/>
      <c r="G88" s="305"/>
      <c r="H88" s="305"/>
      <c r="I88" s="305"/>
      <c r="J88" s="305"/>
      <c r="K88" s="306"/>
    </row>
    <row r="89" spans="1:18" ht="13.5" thickBot="1" x14ac:dyDescent="0.25">
      <c r="A89" s="190" t="s">
        <v>110</v>
      </c>
      <c r="B89" s="185">
        <v>16</v>
      </c>
      <c r="C89" s="191"/>
      <c r="D89" s="191"/>
      <c r="E89" s="191"/>
      <c r="F89" s="191"/>
      <c r="G89" s="191"/>
      <c r="H89" s="191"/>
      <c r="I89" s="191"/>
      <c r="J89" s="191"/>
      <c r="K89" s="192"/>
    </row>
    <row r="90" spans="1:18" ht="51.75" thickBot="1" x14ac:dyDescent="0.25">
      <c r="A90" s="163" t="s">
        <v>9</v>
      </c>
      <c r="B90" s="164" t="s">
        <v>10</v>
      </c>
      <c r="C90" s="164" t="s">
        <v>11</v>
      </c>
      <c r="D90" s="164" t="s">
        <v>12</v>
      </c>
      <c r="E90" s="164" t="s">
        <v>13</v>
      </c>
      <c r="F90" s="164" t="s">
        <v>14</v>
      </c>
      <c r="G90" s="164" t="s">
        <v>32</v>
      </c>
      <c r="H90" s="164" t="s">
        <v>16</v>
      </c>
      <c r="I90" s="164" t="s">
        <v>85</v>
      </c>
      <c r="J90" s="164" t="s">
        <v>33</v>
      </c>
      <c r="K90" s="165" t="s">
        <v>15</v>
      </c>
    </row>
    <row r="91" spans="1:18" x14ac:dyDescent="0.2">
      <c r="A91" s="266"/>
      <c r="B91" s="267">
        <f>VLOOKUP(B89,A$1:F$31,2,FALSE)</f>
        <v>40786</v>
      </c>
      <c r="C91" s="267">
        <f>DATE(YEAR(B91),IF(MONTH(B91)&lt;=3,3,IF(MONTH(B91)&lt;=6,6,IF(MONTH(B91)&lt;=9,9,12))),IF(OR(MONTH(B91)&lt;=3,MONTH(B91)&gt;=10),31,30))</f>
        <v>40816</v>
      </c>
      <c r="D91" s="268">
        <f>C91-B91+1</f>
        <v>31</v>
      </c>
      <c r="E91" s="259">
        <f>VLOOKUP(C91,'FERC Interest Rate'!$A:$B,2,TRUE)</f>
        <v>3.2500000000000001E-2</v>
      </c>
      <c r="F91" s="254">
        <f>VLOOKUP(B89,$A$1:$F$31,5,FALSE)</f>
        <v>10000</v>
      </c>
      <c r="G91" s="272"/>
      <c r="H91" s="273"/>
      <c r="I91" s="254">
        <f>F91*E91*(D91/(DATE(YEAR(C91),12,31)-DATE(YEAR(C91),1,1)+1))</f>
        <v>27.602739726027398</v>
      </c>
      <c r="J91" s="272"/>
      <c r="K91" s="255">
        <f>F91+I91-H91-J91</f>
        <v>10027.602739726028</v>
      </c>
    </row>
    <row r="92" spans="1:18" x14ac:dyDescent="0.2">
      <c r="A92" s="256"/>
      <c r="B92" s="257">
        <f>C91+1</f>
        <v>40817</v>
      </c>
      <c r="C92" s="257">
        <f>EOMONTH(C91,3)</f>
        <v>40908</v>
      </c>
      <c r="D92" s="258">
        <f t="shared" ref="D92:D115" si="28">C92-B92+1</f>
        <v>92</v>
      </c>
      <c r="E92" s="259">
        <f>VLOOKUP(C92,'FERC Interest Rate'!$A:$B,2,TRUE)</f>
        <v>3.2500000000000001E-2</v>
      </c>
      <c r="F92" s="260">
        <f>K91</f>
        <v>10027.602739726028</v>
      </c>
      <c r="G92" s="272"/>
      <c r="H92" s="272"/>
      <c r="I92" s="254">
        <f t="shared" ref="I92:I101" si="29">F92*E92*(D92/(DATE(YEAR(C92),12,31)-DATE(YEAR(C92),1,1)+1))</f>
        <v>82.143923813098155</v>
      </c>
      <c r="J92" s="272"/>
      <c r="K92" s="255">
        <f t="shared" ref="K92:K115" si="30">F92+I92-H92-J92</f>
        <v>10109.746663539127</v>
      </c>
    </row>
    <row r="93" spans="1:18" x14ac:dyDescent="0.2">
      <c r="A93" s="256"/>
      <c r="B93" s="257">
        <f t="shared" ref="B93:B115" si="31">C92+1</f>
        <v>40909</v>
      </c>
      <c r="C93" s="257">
        <f t="shared" ref="C93:C117" si="32">EOMONTH(C92,3)</f>
        <v>40999</v>
      </c>
      <c r="D93" s="258">
        <f t="shared" si="28"/>
        <v>91</v>
      </c>
      <c r="E93" s="259">
        <f>VLOOKUP(C93,'FERC Interest Rate'!$A:$B,2,TRUE)</f>
        <v>3.2500000000000001E-2</v>
      </c>
      <c r="F93" s="260">
        <f t="shared" ref="F93:F115" si="33">K92</f>
        <v>10109.746663539127</v>
      </c>
      <c r="G93" s="272"/>
      <c r="H93" s="272"/>
      <c r="I93" s="254">
        <f t="shared" si="29"/>
        <v>81.69282993829772</v>
      </c>
      <c r="J93" s="272"/>
      <c r="K93" s="255">
        <f t="shared" si="30"/>
        <v>10191.439493477425</v>
      </c>
    </row>
    <row r="94" spans="1:18" x14ac:dyDescent="0.2">
      <c r="A94" s="256"/>
      <c r="B94" s="257">
        <f t="shared" si="31"/>
        <v>41000</v>
      </c>
      <c r="C94" s="257">
        <f t="shared" si="32"/>
        <v>41090</v>
      </c>
      <c r="D94" s="258">
        <f t="shared" si="28"/>
        <v>91</v>
      </c>
      <c r="E94" s="259">
        <f>VLOOKUP(C94,'FERC Interest Rate'!$A:$B,2,TRUE)</f>
        <v>3.2500000000000001E-2</v>
      </c>
      <c r="F94" s="260">
        <f t="shared" si="33"/>
        <v>10191.439493477425</v>
      </c>
      <c r="G94" s="272"/>
      <c r="H94" s="272"/>
      <c r="I94" s="254">
        <f t="shared" si="29"/>
        <v>82.352957109178917</v>
      </c>
      <c r="J94" s="272"/>
      <c r="K94" s="255">
        <f t="shared" si="30"/>
        <v>10273.792450586603</v>
      </c>
    </row>
    <row r="95" spans="1:18" x14ac:dyDescent="0.2">
      <c r="A95" s="256"/>
      <c r="B95" s="257">
        <f t="shared" si="31"/>
        <v>41091</v>
      </c>
      <c r="C95" s="257">
        <f t="shared" si="32"/>
        <v>41182</v>
      </c>
      <c r="D95" s="258">
        <f t="shared" si="28"/>
        <v>92</v>
      </c>
      <c r="E95" s="259">
        <f>VLOOKUP(C95,'FERC Interest Rate'!$A:$B,2,TRUE)</f>
        <v>3.2500000000000001E-2</v>
      </c>
      <c r="F95" s="260">
        <f t="shared" si="33"/>
        <v>10273.792450586603</v>
      </c>
      <c r="G95" s="272"/>
      <c r="H95" s="272"/>
      <c r="I95" s="254">
        <f t="shared" si="29"/>
        <v>83.930708817633729</v>
      </c>
      <c r="J95" s="272"/>
      <c r="K95" s="255">
        <f t="shared" si="30"/>
        <v>10357.723159404237</v>
      </c>
    </row>
    <row r="96" spans="1:18" x14ac:dyDescent="0.2">
      <c r="A96" s="256"/>
      <c r="B96" s="257">
        <f t="shared" si="31"/>
        <v>41183</v>
      </c>
      <c r="C96" s="257">
        <f t="shared" si="32"/>
        <v>41274</v>
      </c>
      <c r="D96" s="258">
        <f t="shared" si="28"/>
        <v>92</v>
      </c>
      <c r="E96" s="259">
        <f>VLOOKUP(C96,'FERC Interest Rate'!$A:$B,2,TRUE)</f>
        <v>3.2500000000000001E-2</v>
      </c>
      <c r="F96" s="260">
        <f t="shared" si="33"/>
        <v>10357.723159404237</v>
      </c>
      <c r="G96" s="272"/>
      <c r="H96" s="272"/>
      <c r="I96" s="254">
        <f t="shared" si="29"/>
        <v>84.616372258520954</v>
      </c>
      <c r="J96" s="272"/>
      <c r="K96" s="255">
        <f t="shared" si="30"/>
        <v>10442.339531662758</v>
      </c>
    </row>
    <row r="97" spans="1:11" x14ac:dyDescent="0.2">
      <c r="A97" s="256"/>
      <c r="B97" s="257">
        <f t="shared" si="31"/>
        <v>41275</v>
      </c>
      <c r="C97" s="257">
        <f t="shared" si="32"/>
        <v>41364</v>
      </c>
      <c r="D97" s="258">
        <f t="shared" si="28"/>
        <v>90</v>
      </c>
      <c r="E97" s="259">
        <f>VLOOKUP(C97,'FERC Interest Rate'!$A:$B,2,TRUE)</f>
        <v>3.2500000000000001E-2</v>
      </c>
      <c r="F97" s="260">
        <f t="shared" si="33"/>
        <v>10442.339531662758</v>
      </c>
      <c r="G97" s="272"/>
      <c r="H97" s="272"/>
      <c r="I97" s="254">
        <f t="shared" si="29"/>
        <v>83.681762000311139</v>
      </c>
      <c r="J97" s="272"/>
      <c r="K97" s="255">
        <f t="shared" si="30"/>
        <v>10526.021293663069</v>
      </c>
    </row>
    <row r="98" spans="1:11" x14ac:dyDescent="0.2">
      <c r="A98" s="156"/>
      <c r="B98" s="167">
        <f t="shared" ref="B98:B101" si="34">C97+1</f>
        <v>41365</v>
      </c>
      <c r="C98" s="167">
        <f t="shared" si="32"/>
        <v>41455</v>
      </c>
      <c r="D98" s="142">
        <f t="shared" ref="D98:D101" si="35">C98-B98+1</f>
        <v>91</v>
      </c>
      <c r="E98" s="160">
        <f>VLOOKUP(C98,'FERC Interest Rate'!$A:$B,2,TRUE)</f>
        <v>3.2500000000000001E-2</v>
      </c>
      <c r="F98" s="148">
        <f t="shared" si="33"/>
        <v>10526.021293663069</v>
      </c>
      <c r="G98" s="272"/>
      <c r="H98" s="147"/>
      <c r="I98" s="254">
        <f t="shared" si="29"/>
        <v>85.289610893174057</v>
      </c>
      <c r="J98" s="148"/>
      <c r="K98" s="130">
        <f t="shared" ref="K98:K101" si="36">F98+I98-H98-J98</f>
        <v>10611.310904556243</v>
      </c>
    </row>
    <row r="99" spans="1:11" x14ac:dyDescent="0.2">
      <c r="A99" s="156"/>
      <c r="B99" s="167">
        <f t="shared" si="34"/>
        <v>41456</v>
      </c>
      <c r="C99" s="167">
        <f t="shared" si="32"/>
        <v>41547</v>
      </c>
      <c r="D99" s="142">
        <f t="shared" si="35"/>
        <v>92</v>
      </c>
      <c r="E99" s="160">
        <f>VLOOKUP(C99,'FERC Interest Rate'!$A:$B,2,TRUE)</f>
        <v>3.2500000000000001E-2</v>
      </c>
      <c r="F99" s="148">
        <f t="shared" si="33"/>
        <v>10611.310904556243</v>
      </c>
      <c r="G99" s="147"/>
      <c r="H99" s="147"/>
      <c r="I99" s="254">
        <f t="shared" si="29"/>
        <v>86.925533163351147</v>
      </c>
      <c r="J99" s="148"/>
      <c r="K99" s="130">
        <f t="shared" si="36"/>
        <v>10698.236437719594</v>
      </c>
    </row>
    <row r="100" spans="1:11" x14ac:dyDescent="0.2">
      <c r="A100" s="156"/>
      <c r="B100" s="167">
        <f t="shared" si="34"/>
        <v>41548</v>
      </c>
      <c r="C100" s="167">
        <f t="shared" si="32"/>
        <v>41639</v>
      </c>
      <c r="D100" s="142">
        <f t="shared" si="35"/>
        <v>92</v>
      </c>
      <c r="E100" s="160">
        <f>VLOOKUP(C100,'FERC Interest Rate'!$A:$B,2,TRUE)</f>
        <v>3.2500000000000001E-2</v>
      </c>
      <c r="F100" s="148">
        <f t="shared" si="33"/>
        <v>10698.236437719594</v>
      </c>
      <c r="G100" s="147"/>
      <c r="H100" s="147"/>
      <c r="I100" s="254">
        <f t="shared" si="29"/>
        <v>87.637608078853674</v>
      </c>
      <c r="J100" s="148"/>
      <c r="K100" s="130">
        <f t="shared" si="36"/>
        <v>10785.874045798448</v>
      </c>
    </row>
    <row r="101" spans="1:11" x14ac:dyDescent="0.2">
      <c r="A101" s="156"/>
      <c r="B101" s="167">
        <f t="shared" si="34"/>
        <v>41640</v>
      </c>
      <c r="C101" s="167">
        <f t="shared" si="32"/>
        <v>41729</v>
      </c>
      <c r="D101" s="142">
        <f t="shared" si="35"/>
        <v>90</v>
      </c>
      <c r="E101" s="160">
        <f>VLOOKUP(C101,'FERC Interest Rate'!$A:$B,2,TRUE)</f>
        <v>3.2500000000000001E-2</v>
      </c>
      <c r="F101" s="148">
        <f t="shared" si="33"/>
        <v>10785.874045798448</v>
      </c>
      <c r="G101" s="147"/>
      <c r="H101" s="147">
        <f>($F$91/20)*4</f>
        <v>2000</v>
      </c>
      <c r="I101" s="254">
        <f t="shared" si="29"/>
        <v>86.434744065645091</v>
      </c>
      <c r="J101" s="148">
        <f>(SUM($I$91:$I$117)/20)*4</f>
        <v>174.46175797281836</v>
      </c>
      <c r="K101" s="130">
        <f t="shared" si="36"/>
        <v>8697.847031891275</v>
      </c>
    </row>
    <row r="102" spans="1:11" x14ac:dyDescent="0.2">
      <c r="A102" s="156"/>
      <c r="B102" s="167">
        <f t="shared" si="31"/>
        <v>41730</v>
      </c>
      <c r="C102" s="167">
        <f t="shared" si="32"/>
        <v>41820</v>
      </c>
      <c r="D102" s="142">
        <f t="shared" si="28"/>
        <v>91</v>
      </c>
      <c r="E102" s="160">
        <f>VLOOKUP(C102,'FERC Interest Rate'!$A:$B,2,TRUE)</f>
        <v>3.2500000000000001E-2</v>
      </c>
      <c r="F102" s="148">
        <f t="shared" si="33"/>
        <v>8697.847031891275</v>
      </c>
      <c r="G102" s="147">
        <f t="shared" ref="G102:G105" si="37">F102*E102*(D102/(DATE(YEAR(C102),12,31)-DATE(YEAR(C102),1,1)+1))</f>
        <v>70.476390676214933</v>
      </c>
      <c r="H102" s="147">
        <f t="shared" ref="H102:H117" si="38">$F$91/20</f>
        <v>500</v>
      </c>
      <c r="I102" s="148">
        <v>0</v>
      </c>
      <c r="J102" s="148">
        <f>SUM($I$91:$I$117)/20</f>
        <v>43.61543949320459</v>
      </c>
      <c r="K102" s="130">
        <f t="shared" si="30"/>
        <v>8154.2315923980705</v>
      </c>
    </row>
    <row r="103" spans="1:11" x14ac:dyDescent="0.2">
      <c r="A103" s="156"/>
      <c r="B103" s="167">
        <f t="shared" si="31"/>
        <v>41821</v>
      </c>
      <c r="C103" s="167">
        <f t="shared" si="32"/>
        <v>41912</v>
      </c>
      <c r="D103" s="142">
        <f t="shared" si="28"/>
        <v>92</v>
      </c>
      <c r="E103" s="160">
        <f>VLOOKUP(C103,'FERC Interest Rate'!$A:$B,2,TRUE)</f>
        <v>3.2500000000000001E-2</v>
      </c>
      <c r="F103" s="148">
        <f t="shared" si="33"/>
        <v>8154.2315923980705</v>
      </c>
      <c r="G103" s="147">
        <f t="shared" si="37"/>
        <v>66.797677976082824</v>
      </c>
      <c r="H103" s="147">
        <f t="shared" si="38"/>
        <v>500</v>
      </c>
      <c r="I103" s="148">
        <v>0</v>
      </c>
      <c r="J103" s="148">
        <f t="shared" ref="J103:J117" si="39">SUM($I$91:$I$117)/20</f>
        <v>43.61543949320459</v>
      </c>
      <c r="K103" s="130">
        <f t="shared" si="30"/>
        <v>7610.6161529048659</v>
      </c>
    </row>
    <row r="104" spans="1:11" x14ac:dyDescent="0.2">
      <c r="A104" s="156"/>
      <c r="B104" s="167">
        <f t="shared" si="31"/>
        <v>41913</v>
      </c>
      <c r="C104" s="167">
        <f t="shared" si="32"/>
        <v>42004</v>
      </c>
      <c r="D104" s="142">
        <f t="shared" si="28"/>
        <v>92</v>
      </c>
      <c r="E104" s="160">
        <f>VLOOKUP(C104,'FERC Interest Rate'!$A:$B,2,TRUE)</f>
        <v>3.2500000000000001E-2</v>
      </c>
      <c r="F104" s="148">
        <f t="shared" si="33"/>
        <v>7610.6161529048659</v>
      </c>
      <c r="G104" s="147">
        <f t="shared" si="37"/>
        <v>62.344499444343974</v>
      </c>
      <c r="H104" s="147">
        <f t="shared" si="38"/>
        <v>500</v>
      </c>
      <c r="I104" s="148">
        <v>0</v>
      </c>
      <c r="J104" s="148">
        <f t="shared" si="39"/>
        <v>43.61543949320459</v>
      </c>
      <c r="K104" s="130">
        <f t="shared" si="30"/>
        <v>7067.0007134116613</v>
      </c>
    </row>
    <row r="105" spans="1:11" x14ac:dyDescent="0.2">
      <c r="A105" s="156"/>
      <c r="B105" s="167">
        <f t="shared" si="31"/>
        <v>42005</v>
      </c>
      <c r="C105" s="167">
        <f t="shared" si="32"/>
        <v>42094</v>
      </c>
      <c r="D105" s="142">
        <f t="shared" si="28"/>
        <v>90</v>
      </c>
      <c r="E105" s="160">
        <f>VLOOKUP(C105,'FERC Interest Rate'!$A:$B,2,TRUE)</f>
        <v>3.2500000000000001E-2</v>
      </c>
      <c r="F105" s="148">
        <f t="shared" si="33"/>
        <v>7067.0007134116613</v>
      </c>
      <c r="G105" s="147">
        <f t="shared" si="37"/>
        <v>56.632813936244133</v>
      </c>
      <c r="H105" s="147">
        <f t="shared" si="38"/>
        <v>500</v>
      </c>
      <c r="I105" s="148">
        <v>0</v>
      </c>
      <c r="J105" s="148">
        <f t="shared" si="39"/>
        <v>43.61543949320459</v>
      </c>
      <c r="K105" s="130">
        <f t="shared" si="30"/>
        <v>6523.3852739184567</v>
      </c>
    </row>
    <row r="106" spans="1:11" x14ac:dyDescent="0.2">
      <c r="A106" s="156"/>
      <c r="B106" s="167">
        <f t="shared" si="31"/>
        <v>42095</v>
      </c>
      <c r="C106" s="167">
        <f t="shared" si="32"/>
        <v>42185</v>
      </c>
      <c r="D106" s="142">
        <f t="shared" si="28"/>
        <v>91</v>
      </c>
      <c r="E106" s="160">
        <f>VLOOKUP(C106,'FERC Interest Rate'!$A:$B,2,TRUE)</f>
        <v>3.2500000000000001E-2</v>
      </c>
      <c r="F106" s="148">
        <f t="shared" si="33"/>
        <v>6523.3852739184567</v>
      </c>
      <c r="G106" s="147">
        <f t="shared" ref="G106:G115" si="40">F106*E106*(D106/(DATE(YEAR(C106),12,31)-DATE(YEAR(C106),1,1)+1))</f>
        <v>52.857293007161196</v>
      </c>
      <c r="H106" s="147">
        <f t="shared" si="38"/>
        <v>500</v>
      </c>
      <c r="I106" s="148">
        <v>0</v>
      </c>
      <c r="J106" s="148">
        <f t="shared" si="39"/>
        <v>43.61543949320459</v>
      </c>
      <c r="K106" s="130">
        <f t="shared" si="30"/>
        <v>5979.7698344252522</v>
      </c>
    </row>
    <row r="107" spans="1:11" x14ac:dyDescent="0.2">
      <c r="A107" s="156"/>
      <c r="B107" s="167">
        <f t="shared" si="31"/>
        <v>42186</v>
      </c>
      <c r="C107" s="167">
        <f t="shared" si="32"/>
        <v>42277</v>
      </c>
      <c r="D107" s="142">
        <f t="shared" si="28"/>
        <v>92</v>
      </c>
      <c r="E107" s="160">
        <f>VLOOKUP(C107,'FERC Interest Rate'!$A:$B,2,TRUE)</f>
        <v>3.2500000000000001E-2</v>
      </c>
      <c r="F107" s="148">
        <f t="shared" si="33"/>
        <v>5979.7698344252522</v>
      </c>
      <c r="G107" s="147">
        <f t="shared" si="40"/>
        <v>48.984963849127411</v>
      </c>
      <c r="H107" s="147">
        <f t="shared" si="38"/>
        <v>500</v>
      </c>
      <c r="I107" s="148">
        <v>0</v>
      </c>
      <c r="J107" s="148">
        <f t="shared" si="39"/>
        <v>43.61543949320459</v>
      </c>
      <c r="K107" s="130">
        <f t="shared" si="30"/>
        <v>5436.1543949320476</v>
      </c>
    </row>
    <row r="108" spans="1:11" x14ac:dyDescent="0.2">
      <c r="A108" s="156"/>
      <c r="B108" s="167">
        <f t="shared" si="31"/>
        <v>42278</v>
      </c>
      <c r="C108" s="167">
        <f t="shared" si="32"/>
        <v>42369</v>
      </c>
      <c r="D108" s="142">
        <f t="shared" si="28"/>
        <v>92</v>
      </c>
      <c r="E108" s="160">
        <f>VLOOKUP(C108,'FERC Interest Rate'!$A:$B,2,TRUE)</f>
        <v>3.2500000000000001E-2</v>
      </c>
      <c r="F108" s="148">
        <f t="shared" si="33"/>
        <v>5436.1543949320476</v>
      </c>
      <c r="G108" s="147">
        <f t="shared" si="40"/>
        <v>44.531785317388561</v>
      </c>
      <c r="H108" s="147">
        <f t="shared" si="38"/>
        <v>500</v>
      </c>
      <c r="I108" s="148">
        <v>0</v>
      </c>
      <c r="J108" s="148">
        <f t="shared" si="39"/>
        <v>43.61543949320459</v>
      </c>
      <c r="K108" s="130">
        <f t="shared" si="30"/>
        <v>4892.538955438843</v>
      </c>
    </row>
    <row r="109" spans="1:11" x14ac:dyDescent="0.2">
      <c r="A109" s="156"/>
      <c r="B109" s="167">
        <f t="shared" si="31"/>
        <v>42370</v>
      </c>
      <c r="C109" s="167">
        <f t="shared" si="32"/>
        <v>42460</v>
      </c>
      <c r="D109" s="142">
        <f t="shared" si="28"/>
        <v>91</v>
      </c>
      <c r="E109" s="160">
        <f>VLOOKUP(C109,'FERC Interest Rate'!$A:$B,2,TRUE)</f>
        <v>3.2500000000000001E-2</v>
      </c>
      <c r="F109" s="148">
        <f t="shared" si="33"/>
        <v>4892.538955438843</v>
      </c>
      <c r="G109" s="147">
        <f t="shared" si="40"/>
        <v>39.534655630356227</v>
      </c>
      <c r="H109" s="147">
        <f t="shared" si="38"/>
        <v>500</v>
      </c>
      <c r="I109" s="148">
        <v>0</v>
      </c>
      <c r="J109" s="148">
        <f t="shared" si="39"/>
        <v>43.61543949320459</v>
      </c>
      <c r="K109" s="130">
        <f t="shared" si="30"/>
        <v>4348.9235159456384</v>
      </c>
    </row>
    <row r="110" spans="1:11" x14ac:dyDescent="0.2">
      <c r="A110" s="156"/>
      <c r="B110" s="167">
        <f t="shared" si="31"/>
        <v>42461</v>
      </c>
      <c r="C110" s="167">
        <f t="shared" si="32"/>
        <v>42551</v>
      </c>
      <c r="D110" s="142">
        <f t="shared" si="28"/>
        <v>91</v>
      </c>
      <c r="E110" s="160">
        <f>VLOOKUP(C110,'FERC Interest Rate'!$A:$B,2,TRUE)</f>
        <v>3.2500000000000001E-2</v>
      </c>
      <c r="F110" s="148">
        <f t="shared" si="33"/>
        <v>4348.9235159456384</v>
      </c>
      <c r="G110" s="147">
        <f t="shared" si="40"/>
        <v>35.141916115872206</v>
      </c>
      <c r="H110" s="147">
        <f t="shared" si="38"/>
        <v>500</v>
      </c>
      <c r="I110" s="148">
        <v>0</v>
      </c>
      <c r="J110" s="148">
        <f t="shared" si="39"/>
        <v>43.61543949320459</v>
      </c>
      <c r="K110" s="130">
        <f t="shared" si="30"/>
        <v>3805.3080764524339</v>
      </c>
    </row>
    <row r="111" spans="1:11" x14ac:dyDescent="0.2">
      <c r="A111" s="169"/>
      <c r="B111" s="167">
        <f t="shared" si="31"/>
        <v>42552</v>
      </c>
      <c r="C111" s="167">
        <f t="shared" si="32"/>
        <v>42643</v>
      </c>
      <c r="D111" s="142">
        <f t="shared" si="28"/>
        <v>92</v>
      </c>
      <c r="E111" s="160">
        <f>VLOOKUP(C111,'FERC Interest Rate'!$A:$B,2,TRUE)</f>
        <v>4.0333330000000001E-2</v>
      </c>
      <c r="F111" s="148">
        <f t="shared" si="33"/>
        <v>3805.3080764524339</v>
      </c>
      <c r="G111" s="147">
        <f t="shared" si="40"/>
        <v>38.579859750623918</v>
      </c>
      <c r="H111" s="147">
        <f t="shared" si="38"/>
        <v>500</v>
      </c>
      <c r="I111" s="148">
        <v>0</v>
      </c>
      <c r="J111" s="148">
        <f t="shared" si="39"/>
        <v>43.61543949320459</v>
      </c>
      <c r="K111" s="130">
        <f t="shared" si="30"/>
        <v>3261.6926369592293</v>
      </c>
    </row>
    <row r="112" spans="1:11" x14ac:dyDescent="0.2">
      <c r="A112" s="169"/>
      <c r="B112" s="167">
        <f t="shared" si="31"/>
        <v>42644</v>
      </c>
      <c r="C112" s="167">
        <f t="shared" si="32"/>
        <v>42735</v>
      </c>
      <c r="D112" s="142">
        <f t="shared" si="28"/>
        <v>92</v>
      </c>
      <c r="E112" s="160">
        <f>VLOOKUP(C112,'FERC Interest Rate'!$A:$B,2,TRUE)</f>
        <v>4.2833329999999996E-2</v>
      </c>
      <c r="F112" s="148">
        <f t="shared" si="33"/>
        <v>3261.6926369592293</v>
      </c>
      <c r="G112" s="147">
        <f t="shared" si="40"/>
        <v>35.118148773565373</v>
      </c>
      <c r="H112" s="147">
        <f t="shared" si="38"/>
        <v>500</v>
      </c>
      <c r="I112" s="148">
        <v>0</v>
      </c>
      <c r="J112" s="148">
        <f t="shared" si="39"/>
        <v>43.61543949320459</v>
      </c>
      <c r="K112" s="130">
        <f t="shared" si="30"/>
        <v>2718.0771974660247</v>
      </c>
    </row>
    <row r="113" spans="1:11" x14ac:dyDescent="0.2">
      <c r="A113" s="169"/>
      <c r="B113" s="167">
        <f t="shared" si="31"/>
        <v>42736</v>
      </c>
      <c r="C113" s="167">
        <f t="shared" si="32"/>
        <v>42825</v>
      </c>
      <c r="D113" s="142">
        <f t="shared" si="28"/>
        <v>90</v>
      </c>
      <c r="E113" s="160">
        <f>VLOOKUP(C113,'FERC Interest Rate'!$A:$B,2,TRUE)</f>
        <v>4.7066670000000005E-2</v>
      </c>
      <c r="F113" s="148">
        <f t="shared" si="33"/>
        <v>2718.0771974660247</v>
      </c>
      <c r="G113" s="147">
        <f t="shared" si="40"/>
        <v>31.544591298326687</v>
      </c>
      <c r="H113" s="147">
        <f t="shared" si="38"/>
        <v>500</v>
      </c>
      <c r="I113" s="148">
        <v>0</v>
      </c>
      <c r="J113" s="148">
        <f t="shared" si="39"/>
        <v>43.61543949320459</v>
      </c>
      <c r="K113" s="130">
        <f t="shared" si="30"/>
        <v>2174.4617579728201</v>
      </c>
    </row>
    <row r="114" spans="1:11" x14ac:dyDescent="0.2">
      <c r="A114" s="169"/>
      <c r="B114" s="167">
        <f t="shared" si="31"/>
        <v>42826</v>
      </c>
      <c r="C114" s="167">
        <f t="shared" si="32"/>
        <v>42916</v>
      </c>
      <c r="D114" s="142">
        <f t="shared" si="28"/>
        <v>91</v>
      </c>
      <c r="E114" s="160">
        <f>VLOOKUP(C114,'FERC Interest Rate'!$A:$B,2,TRUE)</f>
        <v>5.21E-2</v>
      </c>
      <c r="F114" s="148">
        <f t="shared" si="33"/>
        <v>2174.4617579728201</v>
      </c>
      <c r="G114" s="147">
        <f t="shared" si="40"/>
        <v>28.244768878698459</v>
      </c>
      <c r="H114" s="147">
        <f t="shared" si="38"/>
        <v>500</v>
      </c>
      <c r="I114" s="148">
        <v>0</v>
      </c>
      <c r="J114" s="148">
        <f t="shared" si="39"/>
        <v>43.61543949320459</v>
      </c>
      <c r="K114" s="130">
        <f t="shared" si="30"/>
        <v>1630.8463184796155</v>
      </c>
    </row>
    <row r="115" spans="1:11" x14ac:dyDescent="0.2">
      <c r="A115" s="169"/>
      <c r="B115" s="167">
        <f t="shared" si="31"/>
        <v>42917</v>
      </c>
      <c r="C115" s="167">
        <f t="shared" si="32"/>
        <v>43008</v>
      </c>
      <c r="D115" s="142">
        <f t="shared" si="28"/>
        <v>92</v>
      </c>
      <c r="E115" s="160">
        <f>VLOOKUP(C115,'FERC Interest Rate'!$A:$B,2,TRUE)</f>
        <v>5.7066670000000007E-2</v>
      </c>
      <c r="F115" s="148">
        <f t="shared" si="33"/>
        <v>1630.8463184796155</v>
      </c>
      <c r="G115" s="147">
        <f t="shared" si="40"/>
        <v>23.457975666630094</v>
      </c>
      <c r="H115" s="147">
        <f t="shared" si="38"/>
        <v>500</v>
      </c>
      <c r="I115" s="148">
        <v>0</v>
      </c>
      <c r="J115" s="148">
        <f t="shared" si="39"/>
        <v>43.61543949320459</v>
      </c>
      <c r="K115" s="130">
        <f t="shared" si="30"/>
        <v>1087.230878986411</v>
      </c>
    </row>
    <row r="116" spans="1:11" x14ac:dyDescent="0.2">
      <c r="A116" s="169"/>
      <c r="B116" s="167">
        <f t="shared" ref="B116:B117" si="41">C115+1</f>
        <v>43009</v>
      </c>
      <c r="C116" s="167">
        <f t="shared" si="32"/>
        <v>43100</v>
      </c>
      <c r="D116" s="142">
        <f t="shared" ref="D116:D117" si="42">C116-B116+1</f>
        <v>92</v>
      </c>
      <c r="E116" s="160">
        <f>VLOOKUP(C116,'FERC Interest Rate'!$A:$B,2,TRUE)</f>
        <v>6.2033329999999998E-2</v>
      </c>
      <c r="F116" s="148">
        <f t="shared" ref="F116:F117" si="43">K115</f>
        <v>1087.230878986411</v>
      </c>
      <c r="G116" s="147">
        <f t="shared" ref="G116:G117" si="44">F116*E116*(D116/(DATE(YEAR(C116),12,31)-DATE(YEAR(C116),1,1)+1))</f>
        <v>16.999722671278292</v>
      </c>
      <c r="H116" s="147">
        <f t="shared" si="38"/>
        <v>500</v>
      </c>
      <c r="I116" s="148">
        <v>0</v>
      </c>
      <c r="J116" s="148">
        <f t="shared" si="39"/>
        <v>43.61543949320459</v>
      </c>
      <c r="K116" s="130">
        <f t="shared" ref="K116:K117" si="45">F116+I116-H116-J116</f>
        <v>543.6154394932064</v>
      </c>
    </row>
    <row r="117" spans="1:11" x14ac:dyDescent="0.2">
      <c r="A117" s="169"/>
      <c r="B117" s="167">
        <f t="shared" si="41"/>
        <v>43101</v>
      </c>
      <c r="C117" s="167">
        <f t="shared" si="32"/>
        <v>43190</v>
      </c>
      <c r="D117" s="142">
        <f t="shared" si="42"/>
        <v>90</v>
      </c>
      <c r="E117" s="160">
        <f>VLOOKUP(C117,'FERC Interest Rate'!$A:$B,2,TRUE)</f>
        <v>6.6699999999999995E-2</v>
      </c>
      <c r="F117" s="148">
        <f t="shared" si="43"/>
        <v>543.6154394932064</v>
      </c>
      <c r="G117" s="147">
        <f t="shared" si="44"/>
        <v>8.9406122829526513</v>
      </c>
      <c r="H117" s="147">
        <f t="shared" si="38"/>
        <v>500</v>
      </c>
      <c r="I117" s="148">
        <v>0</v>
      </c>
      <c r="J117" s="148">
        <f t="shared" si="39"/>
        <v>43.61543949320459</v>
      </c>
      <c r="K117" s="130">
        <f t="shared" si="45"/>
        <v>1.8047785488306545E-12</v>
      </c>
    </row>
    <row r="118" spans="1:11" ht="13.5" thickBot="1" x14ac:dyDescent="0.25">
      <c r="A118" s="129"/>
      <c r="B118" s="168"/>
      <c r="C118" s="168"/>
      <c r="D118" s="121"/>
      <c r="E118" s="122"/>
      <c r="F118" s="145"/>
      <c r="G118" s="145"/>
      <c r="H118" s="146">
        <f>SUM(H101:H117)</f>
        <v>10000</v>
      </c>
      <c r="I118" s="146">
        <f>SUM(I91:I117)</f>
        <v>872.30878986409186</v>
      </c>
      <c r="J118" s="146">
        <f t="shared" ref="J118" si="46">SUM(J101:J117)</f>
        <v>872.30878986409164</v>
      </c>
      <c r="K118" s="128"/>
    </row>
    <row r="119" spans="1:11" ht="13.5" thickBot="1" x14ac:dyDescent="0.25"/>
    <row r="120" spans="1:11" ht="13.5" thickBot="1" x14ac:dyDescent="0.25">
      <c r="A120" s="304" t="s">
        <v>71</v>
      </c>
      <c r="B120" s="305"/>
      <c r="C120" s="305"/>
      <c r="D120" s="305"/>
      <c r="E120" s="305"/>
      <c r="F120" s="305"/>
      <c r="G120" s="305"/>
      <c r="H120" s="305"/>
      <c r="I120" s="305"/>
      <c r="J120" s="305"/>
      <c r="K120" s="306"/>
    </row>
    <row r="121" spans="1:11" ht="13.5" thickBot="1" x14ac:dyDescent="0.25">
      <c r="A121" s="190" t="s">
        <v>110</v>
      </c>
      <c r="B121" s="185">
        <v>17</v>
      </c>
      <c r="C121" s="191"/>
      <c r="D121" s="191"/>
      <c r="E121" s="191"/>
      <c r="F121" s="191"/>
      <c r="G121" s="191"/>
      <c r="H121" s="191"/>
      <c r="I121" s="191"/>
      <c r="J121" s="191"/>
      <c r="K121" s="192"/>
    </row>
    <row r="122" spans="1:11" ht="51.75" thickBot="1" x14ac:dyDescent="0.25">
      <c r="A122" s="163" t="s">
        <v>9</v>
      </c>
      <c r="B122" s="164" t="s">
        <v>10</v>
      </c>
      <c r="C122" s="164" t="s">
        <v>11</v>
      </c>
      <c r="D122" s="164" t="s">
        <v>12</v>
      </c>
      <c r="E122" s="164" t="s">
        <v>13</v>
      </c>
      <c r="F122" s="164" t="s">
        <v>14</v>
      </c>
      <c r="G122" s="164" t="s">
        <v>32</v>
      </c>
      <c r="H122" s="164" t="s">
        <v>16</v>
      </c>
      <c r="I122" s="164" t="s">
        <v>85</v>
      </c>
      <c r="J122" s="164" t="s">
        <v>33</v>
      </c>
      <c r="K122" s="165" t="s">
        <v>15</v>
      </c>
    </row>
    <row r="123" spans="1:11" x14ac:dyDescent="0.2">
      <c r="A123" s="266"/>
      <c r="B123" s="267">
        <f>VLOOKUP(B121,A$1:F$31,2,FALSE)</f>
        <v>40786</v>
      </c>
      <c r="C123" s="267">
        <f>DATE(YEAR(B123),IF(MONTH(B123)&lt;=3,3,IF(MONTH(B123)&lt;=6,6,IF(MONTH(B123)&lt;=9,9,12))),IF(OR(MONTH(B123)&lt;=3,MONTH(B123)&gt;=10),31,30))</f>
        <v>40816</v>
      </c>
      <c r="D123" s="268">
        <f>C123-B123+1</f>
        <v>31</v>
      </c>
      <c r="E123" s="259">
        <f>VLOOKUP(C123,'FERC Interest Rate'!$A:$B,2,TRUE)</f>
        <v>3.2500000000000001E-2</v>
      </c>
      <c r="F123" s="254">
        <f>VLOOKUP(B121,$A$1:$F$31,5,FALSE)</f>
        <v>10000</v>
      </c>
      <c r="G123" s="272"/>
      <c r="H123" s="273"/>
      <c r="I123" s="254">
        <f>F123*E123*(D123/(DATE(YEAR(C123),12,31)-DATE(YEAR(C123),1,1)+1))</f>
        <v>27.602739726027398</v>
      </c>
      <c r="J123" s="272"/>
      <c r="K123" s="255">
        <f>F123+I123-H123-J123</f>
        <v>10027.602739726028</v>
      </c>
    </row>
    <row r="124" spans="1:11" x14ac:dyDescent="0.2">
      <c r="A124" s="256"/>
      <c r="B124" s="257">
        <f>C123+1</f>
        <v>40817</v>
      </c>
      <c r="C124" s="257">
        <f>EOMONTH(C123,3)</f>
        <v>40908</v>
      </c>
      <c r="D124" s="258">
        <f t="shared" ref="D124:D149" si="47">C124-B124+1</f>
        <v>92</v>
      </c>
      <c r="E124" s="259">
        <f>VLOOKUP(C124,'FERC Interest Rate'!$A:$B,2,TRUE)</f>
        <v>3.2500000000000001E-2</v>
      </c>
      <c r="F124" s="260">
        <f>K123</f>
        <v>10027.602739726028</v>
      </c>
      <c r="G124" s="272"/>
      <c r="H124" s="272"/>
      <c r="I124" s="254">
        <f t="shared" ref="I124:I133" si="48">F124*E124*(D124/(DATE(YEAR(C124),12,31)-DATE(YEAR(C124),1,1)+1))</f>
        <v>82.143923813098155</v>
      </c>
      <c r="J124" s="272"/>
      <c r="K124" s="255">
        <f t="shared" ref="K124:K149" si="49">F124+I124-H124-J124</f>
        <v>10109.746663539127</v>
      </c>
    </row>
    <row r="125" spans="1:11" x14ac:dyDescent="0.2">
      <c r="A125" s="256"/>
      <c r="B125" s="257">
        <f t="shared" ref="B125:B149" si="50">C124+1</f>
        <v>40909</v>
      </c>
      <c r="C125" s="257">
        <f t="shared" ref="C125:C149" si="51">EOMONTH(C124,3)</f>
        <v>40999</v>
      </c>
      <c r="D125" s="258">
        <f t="shared" si="47"/>
        <v>91</v>
      </c>
      <c r="E125" s="259">
        <f>VLOOKUP(C125,'FERC Interest Rate'!$A:$B,2,TRUE)</f>
        <v>3.2500000000000001E-2</v>
      </c>
      <c r="F125" s="260">
        <f t="shared" ref="F125:F135" si="52">K124</f>
        <v>10109.746663539127</v>
      </c>
      <c r="G125" s="272"/>
      <c r="H125" s="272"/>
      <c r="I125" s="254">
        <f t="shared" si="48"/>
        <v>81.69282993829772</v>
      </c>
      <c r="J125" s="272"/>
      <c r="K125" s="255">
        <f t="shared" si="49"/>
        <v>10191.439493477425</v>
      </c>
    </row>
    <row r="126" spans="1:11" x14ac:dyDescent="0.2">
      <c r="A126" s="256"/>
      <c r="B126" s="257">
        <f t="shared" si="50"/>
        <v>41000</v>
      </c>
      <c r="C126" s="257">
        <f t="shared" si="51"/>
        <v>41090</v>
      </c>
      <c r="D126" s="258">
        <f t="shared" si="47"/>
        <v>91</v>
      </c>
      <c r="E126" s="259">
        <f>VLOOKUP(C126,'FERC Interest Rate'!$A:$B,2,TRUE)</f>
        <v>3.2500000000000001E-2</v>
      </c>
      <c r="F126" s="260">
        <f t="shared" si="52"/>
        <v>10191.439493477425</v>
      </c>
      <c r="G126" s="272"/>
      <c r="H126" s="272"/>
      <c r="I126" s="254">
        <f t="shared" si="48"/>
        <v>82.352957109178917</v>
      </c>
      <c r="J126" s="272"/>
      <c r="K126" s="255">
        <f t="shared" si="49"/>
        <v>10273.792450586603</v>
      </c>
    </row>
    <row r="127" spans="1:11" x14ac:dyDescent="0.2">
      <c r="A127" s="256"/>
      <c r="B127" s="257">
        <f t="shared" si="50"/>
        <v>41091</v>
      </c>
      <c r="C127" s="257">
        <f t="shared" si="51"/>
        <v>41182</v>
      </c>
      <c r="D127" s="258">
        <f t="shared" si="47"/>
        <v>92</v>
      </c>
      <c r="E127" s="259">
        <f>VLOOKUP(C127,'FERC Interest Rate'!$A:$B,2,TRUE)</f>
        <v>3.2500000000000001E-2</v>
      </c>
      <c r="F127" s="260">
        <f t="shared" si="52"/>
        <v>10273.792450586603</v>
      </c>
      <c r="G127" s="272"/>
      <c r="H127" s="272"/>
      <c r="I127" s="254">
        <f t="shared" si="48"/>
        <v>83.930708817633729</v>
      </c>
      <c r="J127" s="272"/>
      <c r="K127" s="255">
        <f t="shared" si="49"/>
        <v>10357.723159404237</v>
      </c>
    </row>
    <row r="128" spans="1:11" x14ac:dyDescent="0.2">
      <c r="A128" s="256"/>
      <c r="B128" s="257">
        <f t="shared" si="50"/>
        <v>41183</v>
      </c>
      <c r="C128" s="257">
        <f t="shared" si="51"/>
        <v>41274</v>
      </c>
      <c r="D128" s="258">
        <f t="shared" si="47"/>
        <v>92</v>
      </c>
      <c r="E128" s="259">
        <f>VLOOKUP(C128,'FERC Interest Rate'!$A:$B,2,TRUE)</f>
        <v>3.2500000000000001E-2</v>
      </c>
      <c r="F128" s="260">
        <f t="shared" si="52"/>
        <v>10357.723159404237</v>
      </c>
      <c r="G128" s="272"/>
      <c r="H128" s="272"/>
      <c r="I128" s="254">
        <f t="shared" si="48"/>
        <v>84.616372258520954</v>
      </c>
      <c r="J128" s="272"/>
      <c r="K128" s="255">
        <f t="shared" si="49"/>
        <v>10442.339531662758</v>
      </c>
    </row>
    <row r="129" spans="1:11" x14ac:dyDescent="0.2">
      <c r="A129" s="256"/>
      <c r="B129" s="257">
        <f t="shared" si="50"/>
        <v>41275</v>
      </c>
      <c r="C129" s="257">
        <f t="shared" si="51"/>
        <v>41364</v>
      </c>
      <c r="D129" s="258">
        <f t="shared" si="47"/>
        <v>90</v>
      </c>
      <c r="E129" s="259">
        <f>VLOOKUP(C129,'FERC Interest Rate'!$A:$B,2,TRUE)</f>
        <v>3.2500000000000001E-2</v>
      </c>
      <c r="F129" s="260">
        <f t="shared" si="52"/>
        <v>10442.339531662758</v>
      </c>
      <c r="G129" s="272"/>
      <c r="H129" s="272"/>
      <c r="I129" s="254">
        <f t="shared" si="48"/>
        <v>83.681762000311139</v>
      </c>
      <c r="J129" s="272"/>
      <c r="K129" s="255">
        <f t="shared" si="49"/>
        <v>10526.021293663069</v>
      </c>
    </row>
    <row r="130" spans="1:11" x14ac:dyDescent="0.2">
      <c r="A130" s="156"/>
      <c r="B130" s="167">
        <f t="shared" ref="B130:B135" si="53">C129+1</f>
        <v>41365</v>
      </c>
      <c r="C130" s="167">
        <f t="shared" si="51"/>
        <v>41455</v>
      </c>
      <c r="D130" s="142">
        <f t="shared" ref="D130:D135" si="54">C130-B130+1</f>
        <v>91</v>
      </c>
      <c r="E130" s="160">
        <f>VLOOKUP(C130,'FERC Interest Rate'!$A:$B,2,TRUE)</f>
        <v>3.2500000000000001E-2</v>
      </c>
      <c r="F130" s="148">
        <f t="shared" si="52"/>
        <v>10526.021293663069</v>
      </c>
      <c r="G130" s="272"/>
      <c r="H130" s="147"/>
      <c r="I130" s="254">
        <f t="shared" si="48"/>
        <v>85.289610893174057</v>
      </c>
      <c r="J130" s="148"/>
      <c r="K130" s="130">
        <f t="shared" ref="K130:K135" si="55">F130+I130-H130-J130</f>
        <v>10611.310904556243</v>
      </c>
    </row>
    <row r="131" spans="1:11" x14ac:dyDescent="0.2">
      <c r="A131" s="156"/>
      <c r="B131" s="167">
        <f t="shared" si="53"/>
        <v>41456</v>
      </c>
      <c r="C131" s="167">
        <f t="shared" si="51"/>
        <v>41547</v>
      </c>
      <c r="D131" s="142">
        <f t="shared" si="54"/>
        <v>92</v>
      </c>
      <c r="E131" s="160">
        <f>VLOOKUP(C131,'FERC Interest Rate'!$A:$B,2,TRUE)</f>
        <v>3.2500000000000001E-2</v>
      </c>
      <c r="F131" s="148">
        <f t="shared" si="52"/>
        <v>10611.310904556243</v>
      </c>
      <c r="G131" s="147"/>
      <c r="H131" s="147"/>
      <c r="I131" s="254">
        <f t="shared" si="48"/>
        <v>86.925533163351147</v>
      </c>
      <c r="J131" s="148"/>
      <c r="K131" s="130">
        <f t="shared" si="55"/>
        <v>10698.236437719594</v>
      </c>
    </row>
    <row r="132" spans="1:11" x14ac:dyDescent="0.2">
      <c r="A132" s="156"/>
      <c r="B132" s="167">
        <f t="shared" si="53"/>
        <v>41548</v>
      </c>
      <c r="C132" s="167">
        <f t="shared" si="51"/>
        <v>41639</v>
      </c>
      <c r="D132" s="142">
        <f t="shared" si="54"/>
        <v>92</v>
      </c>
      <c r="E132" s="160">
        <f>VLOOKUP(C132,'FERC Interest Rate'!$A:$B,2,TRUE)</f>
        <v>3.2500000000000001E-2</v>
      </c>
      <c r="F132" s="148">
        <f t="shared" si="52"/>
        <v>10698.236437719594</v>
      </c>
      <c r="G132" s="147"/>
      <c r="H132" s="147"/>
      <c r="I132" s="254">
        <f t="shared" si="48"/>
        <v>87.637608078853674</v>
      </c>
      <c r="J132" s="148"/>
      <c r="K132" s="130">
        <f t="shared" si="55"/>
        <v>10785.874045798448</v>
      </c>
    </row>
    <row r="133" spans="1:11" x14ac:dyDescent="0.2">
      <c r="A133" s="156"/>
      <c r="B133" s="167">
        <f t="shared" si="53"/>
        <v>41640</v>
      </c>
      <c r="C133" s="167">
        <f t="shared" si="51"/>
        <v>41729</v>
      </c>
      <c r="D133" s="142">
        <f t="shared" si="54"/>
        <v>90</v>
      </c>
      <c r="E133" s="160">
        <f>VLOOKUP(C133,'FERC Interest Rate'!$A:$B,2,TRUE)</f>
        <v>3.2500000000000001E-2</v>
      </c>
      <c r="F133" s="148">
        <f t="shared" si="52"/>
        <v>10785.874045798448</v>
      </c>
      <c r="G133" s="147"/>
      <c r="H133" s="147">
        <f>($F$123/20)*4</f>
        <v>2000</v>
      </c>
      <c r="I133" s="254">
        <f t="shared" si="48"/>
        <v>86.434744065645091</v>
      </c>
      <c r="J133" s="148">
        <f>(SUM($I$123:$I$149)/20)*4</f>
        <v>174.46175797281836</v>
      </c>
      <c r="K133" s="130">
        <f t="shared" si="55"/>
        <v>8697.847031891275</v>
      </c>
    </row>
    <row r="134" spans="1:11" x14ac:dyDescent="0.2">
      <c r="A134" s="156"/>
      <c r="B134" s="167">
        <f t="shared" si="53"/>
        <v>41730</v>
      </c>
      <c r="C134" s="167">
        <f t="shared" si="51"/>
        <v>41820</v>
      </c>
      <c r="D134" s="142">
        <f t="shared" si="54"/>
        <v>91</v>
      </c>
      <c r="E134" s="160">
        <f>VLOOKUP(C134,'FERC Interest Rate'!$A:$B,2,TRUE)</f>
        <v>3.2500000000000001E-2</v>
      </c>
      <c r="F134" s="148">
        <f t="shared" si="52"/>
        <v>8697.847031891275</v>
      </c>
      <c r="G134" s="147">
        <f t="shared" ref="G134:G135" si="56">F134*E134*(D134/(DATE(YEAR(C134),12,31)-DATE(YEAR(C134),1,1)+1))</f>
        <v>70.476390676214933</v>
      </c>
      <c r="H134" s="147">
        <f t="shared" ref="H134:H135" si="57">$F$123/20</f>
        <v>500</v>
      </c>
      <c r="I134" s="148">
        <v>0</v>
      </c>
      <c r="J134" s="148">
        <f>SUM($I$123:$I$149)/20</f>
        <v>43.61543949320459</v>
      </c>
      <c r="K134" s="130">
        <f t="shared" si="55"/>
        <v>8154.2315923980705</v>
      </c>
    </row>
    <row r="135" spans="1:11" x14ac:dyDescent="0.2">
      <c r="A135" s="156"/>
      <c r="B135" s="167">
        <f t="shared" si="53"/>
        <v>41821</v>
      </c>
      <c r="C135" s="167">
        <f t="shared" si="51"/>
        <v>41912</v>
      </c>
      <c r="D135" s="142">
        <f t="shared" si="54"/>
        <v>92</v>
      </c>
      <c r="E135" s="160">
        <f>VLOOKUP(C135,'FERC Interest Rate'!$A:$B,2,TRUE)</f>
        <v>3.2500000000000001E-2</v>
      </c>
      <c r="F135" s="148">
        <f t="shared" si="52"/>
        <v>8154.2315923980705</v>
      </c>
      <c r="G135" s="147">
        <f t="shared" si="56"/>
        <v>66.797677976082824</v>
      </c>
      <c r="H135" s="147">
        <f t="shared" si="57"/>
        <v>500</v>
      </c>
      <c r="I135" s="148">
        <v>0</v>
      </c>
      <c r="J135" s="148">
        <f t="shared" ref="J135:J149" si="58">SUM($I$123:$I$149)/20</f>
        <v>43.61543949320459</v>
      </c>
      <c r="K135" s="130">
        <f t="shared" si="55"/>
        <v>7610.6161529048659</v>
      </c>
    </row>
    <row r="136" spans="1:11" x14ac:dyDescent="0.2">
      <c r="A136" s="156"/>
      <c r="B136" s="167">
        <f t="shared" si="50"/>
        <v>41913</v>
      </c>
      <c r="C136" s="167">
        <f t="shared" si="51"/>
        <v>42004</v>
      </c>
      <c r="D136" s="142">
        <f t="shared" si="47"/>
        <v>92</v>
      </c>
      <c r="E136" s="160">
        <f>VLOOKUP(C136,'FERC Interest Rate'!$A:$B,2,TRUE)</f>
        <v>3.2500000000000001E-2</v>
      </c>
      <c r="F136" s="148">
        <f t="shared" ref="F136:F149" si="59">K135</f>
        <v>7610.6161529048659</v>
      </c>
      <c r="G136" s="147">
        <f t="shared" ref="G136:G149" si="60">F136*E136*(D136/(DATE(YEAR(C136),12,31)-DATE(YEAR(C136),1,1)+1))</f>
        <v>62.344499444343974</v>
      </c>
      <c r="H136" s="147">
        <f t="shared" ref="H136:H149" si="61">$F$123/20</f>
        <v>500</v>
      </c>
      <c r="I136" s="148">
        <v>0</v>
      </c>
      <c r="J136" s="148">
        <f t="shared" si="58"/>
        <v>43.61543949320459</v>
      </c>
      <c r="K136" s="130">
        <f t="shared" si="49"/>
        <v>7067.0007134116613</v>
      </c>
    </row>
    <row r="137" spans="1:11" x14ac:dyDescent="0.2">
      <c r="A137" s="156"/>
      <c r="B137" s="167">
        <f t="shared" si="50"/>
        <v>42005</v>
      </c>
      <c r="C137" s="167">
        <f t="shared" si="51"/>
        <v>42094</v>
      </c>
      <c r="D137" s="142">
        <f t="shared" si="47"/>
        <v>90</v>
      </c>
      <c r="E137" s="160">
        <f>VLOOKUP(C137,'FERC Interest Rate'!$A:$B,2,TRUE)</f>
        <v>3.2500000000000001E-2</v>
      </c>
      <c r="F137" s="148">
        <f t="shared" si="59"/>
        <v>7067.0007134116613</v>
      </c>
      <c r="G137" s="147">
        <f t="shared" si="60"/>
        <v>56.632813936244133</v>
      </c>
      <c r="H137" s="147">
        <f t="shared" si="61"/>
        <v>500</v>
      </c>
      <c r="I137" s="148">
        <v>0</v>
      </c>
      <c r="J137" s="148">
        <f t="shared" si="58"/>
        <v>43.61543949320459</v>
      </c>
      <c r="K137" s="130">
        <f t="shared" si="49"/>
        <v>6523.3852739184567</v>
      </c>
    </row>
    <row r="138" spans="1:11" x14ac:dyDescent="0.2">
      <c r="A138" s="156"/>
      <c r="B138" s="167">
        <f t="shared" si="50"/>
        <v>42095</v>
      </c>
      <c r="C138" s="167">
        <f t="shared" si="51"/>
        <v>42185</v>
      </c>
      <c r="D138" s="142">
        <f t="shared" si="47"/>
        <v>91</v>
      </c>
      <c r="E138" s="160">
        <f>VLOOKUP(C138,'FERC Interest Rate'!$A:$B,2,TRUE)</f>
        <v>3.2500000000000001E-2</v>
      </c>
      <c r="F138" s="148">
        <f t="shared" si="59"/>
        <v>6523.3852739184567</v>
      </c>
      <c r="G138" s="147">
        <f t="shared" si="60"/>
        <v>52.857293007161196</v>
      </c>
      <c r="H138" s="147">
        <f t="shared" si="61"/>
        <v>500</v>
      </c>
      <c r="I138" s="148">
        <v>0</v>
      </c>
      <c r="J138" s="148">
        <f t="shared" si="58"/>
        <v>43.61543949320459</v>
      </c>
      <c r="K138" s="130">
        <f t="shared" si="49"/>
        <v>5979.7698344252522</v>
      </c>
    </row>
    <row r="139" spans="1:11" x14ac:dyDescent="0.2">
      <c r="A139" s="156"/>
      <c r="B139" s="167">
        <f t="shared" si="50"/>
        <v>42186</v>
      </c>
      <c r="C139" s="167">
        <f t="shared" si="51"/>
        <v>42277</v>
      </c>
      <c r="D139" s="142">
        <f t="shared" si="47"/>
        <v>92</v>
      </c>
      <c r="E139" s="160">
        <f>VLOOKUP(C139,'FERC Interest Rate'!$A:$B,2,TRUE)</f>
        <v>3.2500000000000001E-2</v>
      </c>
      <c r="F139" s="148">
        <f t="shared" si="59"/>
        <v>5979.7698344252522</v>
      </c>
      <c r="G139" s="147">
        <f t="shared" si="60"/>
        <v>48.984963849127411</v>
      </c>
      <c r="H139" s="147">
        <f t="shared" si="61"/>
        <v>500</v>
      </c>
      <c r="I139" s="148">
        <v>0</v>
      </c>
      <c r="J139" s="148">
        <f t="shared" si="58"/>
        <v>43.61543949320459</v>
      </c>
      <c r="K139" s="130">
        <f t="shared" si="49"/>
        <v>5436.1543949320476</v>
      </c>
    </row>
    <row r="140" spans="1:11" x14ac:dyDescent="0.2">
      <c r="A140" s="156"/>
      <c r="B140" s="167">
        <f t="shared" si="50"/>
        <v>42278</v>
      </c>
      <c r="C140" s="167">
        <f t="shared" si="51"/>
        <v>42369</v>
      </c>
      <c r="D140" s="142">
        <f t="shared" si="47"/>
        <v>92</v>
      </c>
      <c r="E140" s="160">
        <f>VLOOKUP(C140,'FERC Interest Rate'!$A:$B,2,TRUE)</f>
        <v>3.2500000000000001E-2</v>
      </c>
      <c r="F140" s="148">
        <f t="shared" si="59"/>
        <v>5436.1543949320476</v>
      </c>
      <c r="G140" s="147">
        <f t="shared" si="60"/>
        <v>44.531785317388561</v>
      </c>
      <c r="H140" s="147">
        <f t="shared" si="61"/>
        <v>500</v>
      </c>
      <c r="I140" s="148">
        <v>0</v>
      </c>
      <c r="J140" s="148">
        <f t="shared" si="58"/>
        <v>43.61543949320459</v>
      </c>
      <c r="K140" s="130">
        <f t="shared" si="49"/>
        <v>4892.538955438843</v>
      </c>
    </row>
    <row r="141" spans="1:11" x14ac:dyDescent="0.2">
      <c r="A141" s="156"/>
      <c r="B141" s="167">
        <f t="shared" si="50"/>
        <v>42370</v>
      </c>
      <c r="C141" s="167">
        <f t="shared" si="51"/>
        <v>42460</v>
      </c>
      <c r="D141" s="142">
        <f t="shared" si="47"/>
        <v>91</v>
      </c>
      <c r="E141" s="160">
        <f>VLOOKUP(C141,'FERC Interest Rate'!$A:$B,2,TRUE)</f>
        <v>3.2500000000000001E-2</v>
      </c>
      <c r="F141" s="148">
        <f t="shared" si="59"/>
        <v>4892.538955438843</v>
      </c>
      <c r="G141" s="147">
        <f t="shared" si="60"/>
        <v>39.534655630356227</v>
      </c>
      <c r="H141" s="147">
        <f t="shared" si="61"/>
        <v>500</v>
      </c>
      <c r="I141" s="148">
        <v>0</v>
      </c>
      <c r="J141" s="148">
        <f t="shared" si="58"/>
        <v>43.61543949320459</v>
      </c>
      <c r="K141" s="130">
        <f t="shared" si="49"/>
        <v>4348.9235159456384</v>
      </c>
    </row>
    <row r="142" spans="1:11" x14ac:dyDescent="0.2">
      <c r="A142" s="156"/>
      <c r="B142" s="167">
        <f t="shared" si="50"/>
        <v>42461</v>
      </c>
      <c r="C142" s="167">
        <f t="shared" si="51"/>
        <v>42551</v>
      </c>
      <c r="D142" s="142">
        <f t="shared" si="47"/>
        <v>91</v>
      </c>
      <c r="E142" s="160">
        <f>VLOOKUP(C142,'FERC Interest Rate'!$A:$B,2,TRUE)</f>
        <v>3.2500000000000001E-2</v>
      </c>
      <c r="F142" s="148">
        <f t="shared" si="59"/>
        <v>4348.9235159456384</v>
      </c>
      <c r="G142" s="147">
        <f t="shared" si="60"/>
        <v>35.141916115872206</v>
      </c>
      <c r="H142" s="147">
        <f t="shared" si="61"/>
        <v>500</v>
      </c>
      <c r="I142" s="148">
        <v>0</v>
      </c>
      <c r="J142" s="148">
        <f t="shared" si="58"/>
        <v>43.61543949320459</v>
      </c>
      <c r="K142" s="130">
        <f t="shared" si="49"/>
        <v>3805.3080764524339</v>
      </c>
    </row>
    <row r="143" spans="1:11" x14ac:dyDescent="0.2">
      <c r="A143" s="169"/>
      <c r="B143" s="167">
        <f t="shared" si="50"/>
        <v>42552</v>
      </c>
      <c r="C143" s="167">
        <f t="shared" si="51"/>
        <v>42643</v>
      </c>
      <c r="D143" s="142">
        <f t="shared" si="47"/>
        <v>92</v>
      </c>
      <c r="E143" s="160">
        <f>VLOOKUP(C143,'FERC Interest Rate'!$A:$B,2,TRUE)</f>
        <v>4.0333330000000001E-2</v>
      </c>
      <c r="F143" s="148">
        <f t="shared" si="59"/>
        <v>3805.3080764524339</v>
      </c>
      <c r="G143" s="147">
        <f t="shared" si="60"/>
        <v>38.579859750623918</v>
      </c>
      <c r="H143" s="147">
        <f t="shared" si="61"/>
        <v>500</v>
      </c>
      <c r="I143" s="148">
        <v>0</v>
      </c>
      <c r="J143" s="148">
        <f t="shared" si="58"/>
        <v>43.61543949320459</v>
      </c>
      <c r="K143" s="130">
        <f t="shared" si="49"/>
        <v>3261.6926369592293</v>
      </c>
    </row>
    <row r="144" spans="1:11" x14ac:dyDescent="0.2">
      <c r="A144" s="169"/>
      <c r="B144" s="167">
        <f t="shared" si="50"/>
        <v>42644</v>
      </c>
      <c r="C144" s="167">
        <f t="shared" si="51"/>
        <v>42735</v>
      </c>
      <c r="D144" s="142">
        <f t="shared" si="47"/>
        <v>92</v>
      </c>
      <c r="E144" s="160">
        <f>VLOOKUP(C144,'FERC Interest Rate'!$A:$B,2,TRUE)</f>
        <v>4.2833329999999996E-2</v>
      </c>
      <c r="F144" s="148">
        <f t="shared" si="59"/>
        <v>3261.6926369592293</v>
      </c>
      <c r="G144" s="147">
        <f t="shared" si="60"/>
        <v>35.118148773565373</v>
      </c>
      <c r="H144" s="147">
        <f t="shared" si="61"/>
        <v>500</v>
      </c>
      <c r="I144" s="148">
        <v>0</v>
      </c>
      <c r="J144" s="148">
        <f t="shared" si="58"/>
        <v>43.61543949320459</v>
      </c>
      <c r="K144" s="130">
        <f t="shared" si="49"/>
        <v>2718.0771974660247</v>
      </c>
    </row>
    <row r="145" spans="1:11" x14ac:dyDescent="0.2">
      <c r="A145" s="169"/>
      <c r="B145" s="167">
        <f t="shared" si="50"/>
        <v>42736</v>
      </c>
      <c r="C145" s="167">
        <f t="shared" si="51"/>
        <v>42825</v>
      </c>
      <c r="D145" s="142">
        <f t="shared" si="47"/>
        <v>90</v>
      </c>
      <c r="E145" s="160">
        <f>VLOOKUP(C145,'FERC Interest Rate'!$A:$B,2,TRUE)</f>
        <v>4.7066670000000005E-2</v>
      </c>
      <c r="F145" s="148">
        <f t="shared" si="59"/>
        <v>2718.0771974660247</v>
      </c>
      <c r="G145" s="147">
        <f t="shared" si="60"/>
        <v>31.544591298326687</v>
      </c>
      <c r="H145" s="147">
        <f t="shared" si="61"/>
        <v>500</v>
      </c>
      <c r="I145" s="148">
        <v>0</v>
      </c>
      <c r="J145" s="148">
        <f t="shared" si="58"/>
        <v>43.61543949320459</v>
      </c>
      <c r="K145" s="130">
        <f t="shared" si="49"/>
        <v>2174.4617579728201</v>
      </c>
    </row>
    <row r="146" spans="1:11" x14ac:dyDescent="0.2">
      <c r="A146" s="169"/>
      <c r="B146" s="167">
        <f t="shared" si="50"/>
        <v>42826</v>
      </c>
      <c r="C146" s="167">
        <f t="shared" si="51"/>
        <v>42916</v>
      </c>
      <c r="D146" s="142">
        <f t="shared" si="47"/>
        <v>91</v>
      </c>
      <c r="E146" s="160">
        <f>VLOOKUP(C146,'FERC Interest Rate'!$A:$B,2,TRUE)</f>
        <v>5.21E-2</v>
      </c>
      <c r="F146" s="148">
        <f t="shared" si="59"/>
        <v>2174.4617579728201</v>
      </c>
      <c r="G146" s="147">
        <f t="shared" si="60"/>
        <v>28.244768878698459</v>
      </c>
      <c r="H146" s="147">
        <f t="shared" si="61"/>
        <v>500</v>
      </c>
      <c r="I146" s="148">
        <v>0</v>
      </c>
      <c r="J146" s="148">
        <f t="shared" si="58"/>
        <v>43.61543949320459</v>
      </c>
      <c r="K146" s="130">
        <f t="shared" si="49"/>
        <v>1630.8463184796155</v>
      </c>
    </row>
    <row r="147" spans="1:11" x14ac:dyDescent="0.2">
      <c r="A147" s="169"/>
      <c r="B147" s="167">
        <f t="shared" si="50"/>
        <v>42917</v>
      </c>
      <c r="C147" s="167">
        <f t="shared" si="51"/>
        <v>43008</v>
      </c>
      <c r="D147" s="142">
        <f t="shared" si="47"/>
        <v>92</v>
      </c>
      <c r="E147" s="160">
        <f>VLOOKUP(C147,'FERC Interest Rate'!$A:$B,2,TRUE)</f>
        <v>5.7066670000000007E-2</v>
      </c>
      <c r="F147" s="148">
        <f t="shared" si="59"/>
        <v>1630.8463184796155</v>
      </c>
      <c r="G147" s="147">
        <f t="shared" si="60"/>
        <v>23.457975666630094</v>
      </c>
      <c r="H147" s="147">
        <f t="shared" si="61"/>
        <v>500</v>
      </c>
      <c r="I147" s="148">
        <v>0</v>
      </c>
      <c r="J147" s="148">
        <f t="shared" si="58"/>
        <v>43.61543949320459</v>
      </c>
      <c r="K147" s="130">
        <f t="shared" si="49"/>
        <v>1087.230878986411</v>
      </c>
    </row>
    <row r="148" spans="1:11" x14ac:dyDescent="0.2">
      <c r="A148" s="169"/>
      <c r="B148" s="167">
        <f t="shared" si="50"/>
        <v>43009</v>
      </c>
      <c r="C148" s="167">
        <f t="shared" si="51"/>
        <v>43100</v>
      </c>
      <c r="D148" s="142">
        <f t="shared" si="47"/>
        <v>92</v>
      </c>
      <c r="E148" s="160">
        <f>VLOOKUP(C148,'FERC Interest Rate'!$A:$B,2,TRUE)</f>
        <v>6.2033329999999998E-2</v>
      </c>
      <c r="F148" s="148">
        <f t="shared" si="59"/>
        <v>1087.230878986411</v>
      </c>
      <c r="G148" s="147">
        <f t="shared" si="60"/>
        <v>16.999722671278292</v>
      </c>
      <c r="H148" s="147">
        <f t="shared" si="61"/>
        <v>500</v>
      </c>
      <c r="I148" s="148">
        <v>0</v>
      </c>
      <c r="J148" s="148">
        <f t="shared" si="58"/>
        <v>43.61543949320459</v>
      </c>
      <c r="K148" s="130">
        <f t="shared" si="49"/>
        <v>543.6154394932064</v>
      </c>
    </row>
    <row r="149" spans="1:11" x14ac:dyDescent="0.2">
      <c r="A149" s="169"/>
      <c r="B149" s="167">
        <f t="shared" si="50"/>
        <v>43101</v>
      </c>
      <c r="C149" s="167">
        <f t="shared" si="51"/>
        <v>43190</v>
      </c>
      <c r="D149" s="142">
        <f t="shared" si="47"/>
        <v>90</v>
      </c>
      <c r="E149" s="160">
        <f>VLOOKUP(C149,'FERC Interest Rate'!$A:$B,2,TRUE)</f>
        <v>6.6699999999999995E-2</v>
      </c>
      <c r="F149" s="148">
        <f t="shared" si="59"/>
        <v>543.6154394932064</v>
      </c>
      <c r="G149" s="147">
        <f t="shared" si="60"/>
        <v>8.9406122829526513</v>
      </c>
      <c r="H149" s="147">
        <f t="shared" si="61"/>
        <v>500</v>
      </c>
      <c r="I149" s="148">
        <v>0</v>
      </c>
      <c r="J149" s="148">
        <f t="shared" si="58"/>
        <v>43.61543949320459</v>
      </c>
      <c r="K149" s="130">
        <f t="shared" si="49"/>
        <v>1.8047785488306545E-12</v>
      </c>
    </row>
    <row r="150" spans="1:11" ht="13.5" thickBot="1" x14ac:dyDescent="0.25">
      <c r="A150" s="129"/>
      <c r="B150" s="168"/>
      <c r="C150" s="168"/>
      <c r="D150" s="121"/>
      <c r="E150" s="122"/>
      <c r="F150" s="145"/>
      <c r="G150" s="145"/>
      <c r="H150" s="146">
        <f>SUM(H133:H149)</f>
        <v>10000</v>
      </c>
      <c r="I150" s="146">
        <f>SUM(I123:I149)</f>
        <v>872.30878986409186</v>
      </c>
      <c r="J150" s="146">
        <f t="shared" ref="J150" si="62">SUM(J133:J149)</f>
        <v>872.30878986409164</v>
      </c>
      <c r="K150" s="128"/>
    </row>
    <row r="151" spans="1:11" ht="13.5" thickBot="1" x14ac:dyDescent="0.25"/>
    <row r="152" spans="1:11" ht="13.5" thickBot="1" x14ac:dyDescent="0.25">
      <c r="A152" s="304" t="s">
        <v>71</v>
      </c>
      <c r="B152" s="305"/>
      <c r="C152" s="305"/>
      <c r="D152" s="305"/>
      <c r="E152" s="305"/>
      <c r="F152" s="305"/>
      <c r="G152" s="305"/>
      <c r="H152" s="305"/>
      <c r="I152" s="305"/>
      <c r="J152" s="305"/>
      <c r="K152" s="306"/>
    </row>
    <row r="153" spans="1:11" ht="13.5" thickBot="1" x14ac:dyDescent="0.25">
      <c r="A153" s="190" t="s">
        <v>110</v>
      </c>
      <c r="B153" s="185">
        <v>18</v>
      </c>
      <c r="C153" s="191"/>
      <c r="D153" s="191"/>
      <c r="E153" s="191"/>
      <c r="F153" s="191"/>
      <c r="G153" s="191"/>
      <c r="H153" s="191"/>
      <c r="I153" s="191"/>
      <c r="J153" s="191"/>
      <c r="K153" s="192"/>
    </row>
    <row r="154" spans="1:11" ht="51.75" thickBot="1" x14ac:dyDescent="0.25">
      <c r="A154" s="163" t="s">
        <v>9</v>
      </c>
      <c r="B154" s="164" t="s">
        <v>10</v>
      </c>
      <c r="C154" s="164" t="s">
        <v>11</v>
      </c>
      <c r="D154" s="164" t="s">
        <v>12</v>
      </c>
      <c r="E154" s="164" t="s">
        <v>13</v>
      </c>
      <c r="F154" s="164" t="s">
        <v>14</v>
      </c>
      <c r="G154" s="164" t="s">
        <v>32</v>
      </c>
      <c r="H154" s="164" t="s">
        <v>16</v>
      </c>
      <c r="I154" s="164" t="s">
        <v>85</v>
      </c>
      <c r="J154" s="164" t="s">
        <v>33</v>
      </c>
      <c r="K154" s="165" t="s">
        <v>15</v>
      </c>
    </row>
    <row r="155" spans="1:11" x14ac:dyDescent="0.2">
      <c r="A155" s="266"/>
      <c r="B155" s="267">
        <f>VLOOKUP(B153,A$1:F$31,2,FALSE)</f>
        <v>40820</v>
      </c>
      <c r="C155" s="267">
        <f>DATE(YEAR(B155),IF(MONTH(B155)&lt;=3,3,IF(MONTH(B155)&lt;=6,6,IF(MONTH(B155)&lt;=9,9,12))),IF(OR(MONTH(B155)&lt;=3,MONTH(B155)&gt;=10),31,30))</f>
        <v>40908</v>
      </c>
      <c r="D155" s="268">
        <f>C155-B155+1</f>
        <v>89</v>
      </c>
      <c r="E155" s="259">
        <f>VLOOKUP(C155,'FERC Interest Rate'!$A:$B,2,TRUE)</f>
        <v>3.2500000000000001E-2</v>
      </c>
      <c r="F155" s="254">
        <f>VLOOKUP(B153,$A$1:$F$31,5,FALSE)</f>
        <v>20000</v>
      </c>
      <c r="G155" s="273"/>
      <c r="H155" s="273"/>
      <c r="I155" s="254">
        <f>F155*E155*(D155/(DATE(YEAR(C155),12,31)-DATE(YEAR(C155),1,1)+1))</f>
        <v>158.49315068493149</v>
      </c>
      <c r="J155" s="272"/>
      <c r="K155" s="255">
        <f>F155+I155-H155-J155</f>
        <v>20158.493150684932</v>
      </c>
    </row>
    <row r="156" spans="1:11" x14ac:dyDescent="0.2">
      <c r="A156" s="256"/>
      <c r="B156" s="257">
        <f>C155+1</f>
        <v>40909</v>
      </c>
      <c r="C156" s="257">
        <f>EOMONTH(C155,3)</f>
        <v>40999</v>
      </c>
      <c r="D156" s="258">
        <f t="shared" ref="D156:D180" si="63">C156-B156+1</f>
        <v>91</v>
      </c>
      <c r="E156" s="259">
        <f>VLOOKUP(C156,'FERC Interest Rate'!$A:$B,2,TRUE)</f>
        <v>3.2500000000000001E-2</v>
      </c>
      <c r="F156" s="260">
        <f>K155</f>
        <v>20158.493150684932</v>
      </c>
      <c r="G156" s="273"/>
      <c r="H156" s="272"/>
      <c r="I156" s="254">
        <f t="shared" ref="I156:I164" si="64">F156*E156*(D156/(DATE(YEAR(C156),12,31)-DATE(YEAR(C156),1,1)+1))</f>
        <v>162.89274178456472</v>
      </c>
      <c r="J156" s="272"/>
      <c r="K156" s="255">
        <f t="shared" ref="K156:K180" si="65">F156+I156-H156-J156</f>
        <v>20321.385892469498</v>
      </c>
    </row>
    <row r="157" spans="1:11" x14ac:dyDescent="0.2">
      <c r="A157" s="256"/>
      <c r="B157" s="257">
        <f t="shared" ref="B157:B180" si="66">C156+1</f>
        <v>41000</v>
      </c>
      <c r="C157" s="257">
        <f t="shared" ref="C157:C180" si="67">EOMONTH(C156,3)</f>
        <v>41090</v>
      </c>
      <c r="D157" s="258">
        <f t="shared" si="63"/>
        <v>91</v>
      </c>
      <c r="E157" s="259">
        <f>VLOOKUP(C157,'FERC Interest Rate'!$A:$B,2,TRUE)</f>
        <v>3.2500000000000001E-2</v>
      </c>
      <c r="F157" s="260">
        <f t="shared" ref="F157:F169" si="68">K156</f>
        <v>20321.385892469498</v>
      </c>
      <c r="G157" s="273"/>
      <c r="H157" s="272"/>
      <c r="I157" s="254">
        <f t="shared" si="64"/>
        <v>164.20901305185393</v>
      </c>
      <c r="J157" s="272"/>
      <c r="K157" s="255">
        <f t="shared" si="65"/>
        <v>20485.594905521353</v>
      </c>
    </row>
    <row r="158" spans="1:11" x14ac:dyDescent="0.2">
      <c r="A158" s="256"/>
      <c r="B158" s="257">
        <f t="shared" si="66"/>
        <v>41091</v>
      </c>
      <c r="C158" s="257">
        <f t="shared" si="67"/>
        <v>41182</v>
      </c>
      <c r="D158" s="258">
        <f t="shared" si="63"/>
        <v>92</v>
      </c>
      <c r="E158" s="259">
        <f>VLOOKUP(C158,'FERC Interest Rate'!$A:$B,2,TRUE)</f>
        <v>3.2500000000000001E-2</v>
      </c>
      <c r="F158" s="260">
        <f t="shared" si="68"/>
        <v>20485.594905521353</v>
      </c>
      <c r="G158" s="273"/>
      <c r="H158" s="272"/>
      <c r="I158" s="254">
        <f t="shared" si="64"/>
        <v>167.35499663253782</v>
      </c>
      <c r="J158" s="272"/>
      <c r="K158" s="255">
        <f t="shared" si="65"/>
        <v>20652.94990215389</v>
      </c>
    </row>
    <row r="159" spans="1:11" x14ac:dyDescent="0.2">
      <c r="A159" s="256"/>
      <c r="B159" s="257">
        <f t="shared" si="66"/>
        <v>41183</v>
      </c>
      <c r="C159" s="257">
        <f t="shared" si="67"/>
        <v>41274</v>
      </c>
      <c r="D159" s="258">
        <f t="shared" si="63"/>
        <v>92</v>
      </c>
      <c r="E159" s="259">
        <f>VLOOKUP(C159,'FERC Interest Rate'!$A:$B,2,TRUE)</f>
        <v>3.2500000000000001E-2</v>
      </c>
      <c r="F159" s="260">
        <f t="shared" si="68"/>
        <v>20652.94990215389</v>
      </c>
      <c r="G159" s="273"/>
      <c r="H159" s="272"/>
      <c r="I159" s="254">
        <f t="shared" si="64"/>
        <v>168.72218635912606</v>
      </c>
      <c r="J159" s="272"/>
      <c r="K159" s="255">
        <f t="shared" si="65"/>
        <v>20821.672088513016</v>
      </c>
    </row>
    <row r="160" spans="1:11" x14ac:dyDescent="0.2">
      <c r="A160" s="256"/>
      <c r="B160" s="257">
        <f t="shared" si="66"/>
        <v>41275</v>
      </c>
      <c r="C160" s="257">
        <f t="shared" si="67"/>
        <v>41364</v>
      </c>
      <c r="D160" s="258">
        <f t="shared" si="63"/>
        <v>90</v>
      </c>
      <c r="E160" s="259">
        <f>VLOOKUP(C160,'FERC Interest Rate'!$A:$B,2,TRUE)</f>
        <v>3.2500000000000001E-2</v>
      </c>
      <c r="F160" s="260">
        <f t="shared" si="68"/>
        <v>20821.672088513016</v>
      </c>
      <c r="G160" s="273"/>
      <c r="H160" s="272"/>
      <c r="I160" s="254">
        <f t="shared" si="64"/>
        <v>166.85860509287829</v>
      </c>
      <c r="J160" s="272"/>
      <c r="K160" s="255">
        <f t="shared" si="65"/>
        <v>20988.530693605895</v>
      </c>
    </row>
    <row r="161" spans="1:11" x14ac:dyDescent="0.2">
      <c r="A161" s="156"/>
      <c r="B161" s="167">
        <f t="shared" ref="B161:B169" si="69">C160+1</f>
        <v>41365</v>
      </c>
      <c r="C161" s="167">
        <f t="shared" si="67"/>
        <v>41455</v>
      </c>
      <c r="D161" s="142">
        <f t="shared" ref="D161:D169" si="70">C161-B161+1</f>
        <v>91</v>
      </c>
      <c r="E161" s="160">
        <f>VLOOKUP(C161,'FERC Interest Rate'!$A:$B,2,TRUE)</f>
        <v>3.2500000000000001E-2</v>
      </c>
      <c r="F161" s="148">
        <f t="shared" si="68"/>
        <v>20988.530693605895</v>
      </c>
      <c r="G161" s="273"/>
      <c r="H161" s="147"/>
      <c r="I161" s="254">
        <f t="shared" si="64"/>
        <v>170.06460144202586</v>
      </c>
      <c r="J161" s="148"/>
      <c r="K161" s="130">
        <f t="shared" ref="K161:K169" si="71">F161+I161-H161-J161</f>
        <v>21158.595295047922</v>
      </c>
    </row>
    <row r="162" spans="1:11" x14ac:dyDescent="0.2">
      <c r="A162" s="156"/>
      <c r="B162" s="167">
        <f t="shared" si="69"/>
        <v>41456</v>
      </c>
      <c r="C162" s="167">
        <f t="shared" si="67"/>
        <v>41547</v>
      </c>
      <c r="D162" s="142">
        <f t="shared" si="70"/>
        <v>92</v>
      </c>
      <c r="E162" s="160">
        <f>VLOOKUP(C162,'FERC Interest Rate'!$A:$B,2,TRUE)</f>
        <v>3.2500000000000001E-2</v>
      </c>
      <c r="F162" s="148">
        <f t="shared" si="68"/>
        <v>21158.595295047922</v>
      </c>
      <c r="G162" s="147"/>
      <c r="H162" s="147"/>
      <c r="I162" s="254">
        <f t="shared" si="64"/>
        <v>173.32657515669396</v>
      </c>
      <c r="J162" s="148"/>
      <c r="K162" s="130">
        <f t="shared" si="71"/>
        <v>21331.921870204616</v>
      </c>
    </row>
    <row r="163" spans="1:11" x14ac:dyDescent="0.2">
      <c r="A163" s="156"/>
      <c r="B163" s="167">
        <f t="shared" si="69"/>
        <v>41548</v>
      </c>
      <c r="C163" s="167">
        <f t="shared" si="67"/>
        <v>41639</v>
      </c>
      <c r="D163" s="142">
        <f t="shared" si="70"/>
        <v>92</v>
      </c>
      <c r="E163" s="160">
        <f>VLOOKUP(C163,'FERC Interest Rate'!$A:$B,2,TRUE)</f>
        <v>3.2500000000000001E-2</v>
      </c>
      <c r="F163" s="148">
        <f t="shared" si="68"/>
        <v>21331.921870204616</v>
      </c>
      <c r="G163" s="147"/>
      <c r="H163" s="147"/>
      <c r="I163" s="254">
        <f t="shared" si="64"/>
        <v>174.74642847099128</v>
      </c>
      <c r="J163" s="148"/>
      <c r="K163" s="130">
        <f t="shared" si="71"/>
        <v>21506.668298675606</v>
      </c>
    </row>
    <row r="164" spans="1:11" x14ac:dyDescent="0.2">
      <c r="A164" s="156"/>
      <c r="B164" s="167">
        <f t="shared" si="69"/>
        <v>41640</v>
      </c>
      <c r="C164" s="167">
        <f t="shared" si="67"/>
        <v>41729</v>
      </c>
      <c r="D164" s="142">
        <f t="shared" si="70"/>
        <v>90</v>
      </c>
      <c r="E164" s="160">
        <f>VLOOKUP(C164,'FERC Interest Rate'!$A:$B,2,TRUE)</f>
        <v>3.2500000000000001E-2</v>
      </c>
      <c r="F164" s="148">
        <f t="shared" si="68"/>
        <v>21506.668298675606</v>
      </c>
      <c r="G164" s="147"/>
      <c r="H164" s="147">
        <f>($F$155/20)*4</f>
        <v>4000</v>
      </c>
      <c r="I164" s="254">
        <f t="shared" si="64"/>
        <v>172.34795828390725</v>
      </c>
      <c r="J164" s="148">
        <f>(SUM($I$155:$I$180)/20)*4</f>
        <v>335.80325139190211</v>
      </c>
      <c r="K164" s="130">
        <f t="shared" si="71"/>
        <v>17343.21300556761</v>
      </c>
    </row>
    <row r="165" spans="1:11" x14ac:dyDescent="0.2">
      <c r="A165" s="156"/>
      <c r="B165" s="167">
        <f t="shared" si="69"/>
        <v>41730</v>
      </c>
      <c r="C165" s="167">
        <f t="shared" si="67"/>
        <v>41820</v>
      </c>
      <c r="D165" s="142">
        <f t="shared" si="70"/>
        <v>91</v>
      </c>
      <c r="E165" s="160">
        <f>VLOOKUP(C165,'FERC Interest Rate'!$A:$B,2,TRUE)</f>
        <v>3.2500000000000001E-2</v>
      </c>
      <c r="F165" s="148">
        <f t="shared" si="68"/>
        <v>17343.21300556761</v>
      </c>
      <c r="G165" s="147">
        <f t="shared" ref="G165:G169" si="72">F165*E165*(D165/(DATE(YEAR(C165),12,31)-DATE(YEAR(C165),1,1)+1))</f>
        <v>140.5275409971677</v>
      </c>
      <c r="H165" s="147">
        <f t="shared" ref="H165:H169" si="73">$F$155/20</f>
        <v>1000</v>
      </c>
      <c r="I165" s="148">
        <v>0</v>
      </c>
      <c r="J165" s="148">
        <f>SUM($I$155:$I$180)/20</f>
        <v>83.950812847975527</v>
      </c>
      <c r="K165" s="130">
        <f t="shared" si="71"/>
        <v>16259.262192719634</v>
      </c>
    </row>
    <row r="166" spans="1:11" x14ac:dyDescent="0.2">
      <c r="A166" s="156"/>
      <c r="B166" s="167">
        <f t="shared" si="69"/>
        <v>41821</v>
      </c>
      <c r="C166" s="167">
        <f t="shared" si="67"/>
        <v>41912</v>
      </c>
      <c r="D166" s="142">
        <f t="shared" si="70"/>
        <v>92</v>
      </c>
      <c r="E166" s="160">
        <f>VLOOKUP(C166,'FERC Interest Rate'!$A:$B,2,TRUE)</f>
        <v>3.2500000000000001E-2</v>
      </c>
      <c r="F166" s="148">
        <f t="shared" si="68"/>
        <v>16259.262192719634</v>
      </c>
      <c r="G166" s="147">
        <f t="shared" si="72"/>
        <v>133.19231220885402</v>
      </c>
      <c r="H166" s="147">
        <f t="shared" si="73"/>
        <v>1000</v>
      </c>
      <c r="I166" s="148">
        <v>0</v>
      </c>
      <c r="J166" s="148">
        <f t="shared" ref="J166:J180" si="74">SUM($I$155:$I$180)/20</f>
        <v>83.950812847975527</v>
      </c>
      <c r="K166" s="130">
        <f t="shared" si="71"/>
        <v>15175.311379871659</v>
      </c>
    </row>
    <row r="167" spans="1:11" x14ac:dyDescent="0.2">
      <c r="A167" s="156"/>
      <c r="B167" s="167">
        <f t="shared" si="69"/>
        <v>41913</v>
      </c>
      <c r="C167" s="167">
        <f t="shared" si="67"/>
        <v>42004</v>
      </c>
      <c r="D167" s="142">
        <f t="shared" si="70"/>
        <v>92</v>
      </c>
      <c r="E167" s="160">
        <f>VLOOKUP(C167,'FERC Interest Rate'!$A:$B,2,TRUE)</f>
        <v>3.2500000000000001E-2</v>
      </c>
      <c r="F167" s="148">
        <f t="shared" si="68"/>
        <v>15175.311379871659</v>
      </c>
      <c r="G167" s="147">
        <f t="shared" si="72"/>
        <v>124.31282472826373</v>
      </c>
      <c r="H167" s="147">
        <f t="shared" si="73"/>
        <v>1000</v>
      </c>
      <c r="I167" s="148">
        <v>0</v>
      </c>
      <c r="J167" s="148">
        <f t="shared" si="74"/>
        <v>83.950812847975527</v>
      </c>
      <c r="K167" s="130">
        <f t="shared" si="71"/>
        <v>14091.360567023683</v>
      </c>
    </row>
    <row r="168" spans="1:11" x14ac:dyDescent="0.2">
      <c r="A168" s="156"/>
      <c r="B168" s="167">
        <f t="shared" si="69"/>
        <v>42005</v>
      </c>
      <c r="C168" s="167">
        <f t="shared" si="67"/>
        <v>42094</v>
      </c>
      <c r="D168" s="142">
        <f t="shared" si="70"/>
        <v>90</v>
      </c>
      <c r="E168" s="160">
        <f>VLOOKUP(C168,'FERC Interest Rate'!$A:$B,2,TRUE)</f>
        <v>3.2500000000000001E-2</v>
      </c>
      <c r="F168" s="148">
        <f t="shared" si="68"/>
        <v>14091.360567023683</v>
      </c>
      <c r="G168" s="147">
        <f t="shared" si="72"/>
        <v>112.92391687272404</v>
      </c>
      <c r="H168" s="147">
        <f t="shared" si="73"/>
        <v>1000</v>
      </c>
      <c r="I168" s="148">
        <v>0</v>
      </c>
      <c r="J168" s="148">
        <f t="shared" si="74"/>
        <v>83.950812847975527</v>
      </c>
      <c r="K168" s="130">
        <f t="shared" si="71"/>
        <v>13007.409754175707</v>
      </c>
    </row>
    <row r="169" spans="1:11" x14ac:dyDescent="0.2">
      <c r="A169" s="156"/>
      <c r="B169" s="167">
        <f t="shared" si="69"/>
        <v>42095</v>
      </c>
      <c r="C169" s="167">
        <f t="shared" si="67"/>
        <v>42185</v>
      </c>
      <c r="D169" s="142">
        <f t="shared" si="70"/>
        <v>91</v>
      </c>
      <c r="E169" s="160">
        <f>VLOOKUP(C169,'FERC Interest Rate'!$A:$B,2,TRUE)</f>
        <v>3.2500000000000001E-2</v>
      </c>
      <c r="F169" s="148">
        <f t="shared" si="68"/>
        <v>13007.409754175707</v>
      </c>
      <c r="G169" s="147">
        <f t="shared" si="72"/>
        <v>105.39565574787576</v>
      </c>
      <c r="H169" s="147">
        <f t="shared" si="73"/>
        <v>1000</v>
      </c>
      <c r="I169" s="148">
        <v>0</v>
      </c>
      <c r="J169" s="148">
        <f t="shared" si="74"/>
        <v>83.950812847975527</v>
      </c>
      <c r="K169" s="130">
        <f t="shared" si="71"/>
        <v>11923.458941327732</v>
      </c>
    </row>
    <row r="170" spans="1:11" x14ac:dyDescent="0.2">
      <c r="A170" s="156"/>
      <c r="B170" s="167">
        <f t="shared" si="66"/>
        <v>42186</v>
      </c>
      <c r="C170" s="167">
        <f t="shared" si="67"/>
        <v>42277</v>
      </c>
      <c r="D170" s="142">
        <f t="shared" si="63"/>
        <v>92</v>
      </c>
      <c r="E170" s="160">
        <f>VLOOKUP(C170,'FERC Interest Rate'!$A:$B,2,TRUE)</f>
        <v>3.2500000000000001E-2</v>
      </c>
      <c r="F170" s="148">
        <f t="shared" ref="F170:F180" si="75">K169</f>
        <v>11923.458941327732</v>
      </c>
      <c r="G170" s="147">
        <f t="shared" ref="G170:G180" si="76">F170*E170*(D170/(DATE(YEAR(C170),12,31)-DATE(YEAR(C170),1,1)+1))</f>
        <v>97.674362286492936</v>
      </c>
      <c r="H170" s="147">
        <f t="shared" ref="H170:H180" si="77">$F$155/20</f>
        <v>1000</v>
      </c>
      <c r="I170" s="148">
        <v>0</v>
      </c>
      <c r="J170" s="148">
        <f t="shared" si="74"/>
        <v>83.950812847975527</v>
      </c>
      <c r="K170" s="130">
        <f t="shared" si="65"/>
        <v>10839.508128479756</v>
      </c>
    </row>
    <row r="171" spans="1:11" x14ac:dyDescent="0.2">
      <c r="A171" s="156"/>
      <c r="B171" s="167">
        <f t="shared" si="66"/>
        <v>42278</v>
      </c>
      <c r="C171" s="167">
        <f t="shared" si="67"/>
        <v>42369</v>
      </c>
      <c r="D171" s="142">
        <f t="shared" si="63"/>
        <v>92</v>
      </c>
      <c r="E171" s="160">
        <f>VLOOKUP(C171,'FERC Interest Rate'!$A:$B,2,TRUE)</f>
        <v>3.2500000000000001E-2</v>
      </c>
      <c r="F171" s="148">
        <f t="shared" si="75"/>
        <v>10839.508128479756</v>
      </c>
      <c r="G171" s="147">
        <f t="shared" si="76"/>
        <v>88.794874805902666</v>
      </c>
      <c r="H171" s="147">
        <f t="shared" si="77"/>
        <v>1000</v>
      </c>
      <c r="I171" s="148">
        <v>0</v>
      </c>
      <c r="J171" s="148">
        <f t="shared" si="74"/>
        <v>83.950812847975527</v>
      </c>
      <c r="K171" s="130">
        <f t="shared" si="65"/>
        <v>9755.5573156317805</v>
      </c>
    </row>
    <row r="172" spans="1:11" x14ac:dyDescent="0.2">
      <c r="A172" s="156"/>
      <c r="B172" s="167">
        <f t="shared" si="66"/>
        <v>42370</v>
      </c>
      <c r="C172" s="167">
        <f t="shared" si="67"/>
        <v>42460</v>
      </c>
      <c r="D172" s="142">
        <f t="shared" si="63"/>
        <v>91</v>
      </c>
      <c r="E172" s="160">
        <f>VLOOKUP(C172,'FERC Interest Rate'!$A:$B,2,TRUE)</f>
        <v>3.2500000000000001E-2</v>
      </c>
      <c r="F172" s="148">
        <f t="shared" si="75"/>
        <v>9755.5573156317805</v>
      </c>
      <c r="G172" s="147">
        <f t="shared" si="76"/>
        <v>78.830767106505434</v>
      </c>
      <c r="H172" s="147">
        <f t="shared" si="77"/>
        <v>1000</v>
      </c>
      <c r="I172" s="148">
        <v>0</v>
      </c>
      <c r="J172" s="148">
        <f t="shared" si="74"/>
        <v>83.950812847975527</v>
      </c>
      <c r="K172" s="130">
        <f t="shared" si="65"/>
        <v>8671.6065027838049</v>
      </c>
    </row>
    <row r="173" spans="1:11" x14ac:dyDescent="0.2">
      <c r="A173" s="156"/>
      <c r="B173" s="167">
        <f t="shared" si="66"/>
        <v>42461</v>
      </c>
      <c r="C173" s="167">
        <f t="shared" si="67"/>
        <v>42551</v>
      </c>
      <c r="D173" s="142">
        <f t="shared" si="63"/>
        <v>91</v>
      </c>
      <c r="E173" s="160">
        <f>VLOOKUP(C173,'FERC Interest Rate'!$A:$B,2,TRUE)</f>
        <v>3.2500000000000001E-2</v>
      </c>
      <c r="F173" s="148">
        <f t="shared" si="75"/>
        <v>8671.6065027838049</v>
      </c>
      <c r="G173" s="147">
        <f t="shared" si="76"/>
        <v>70.0717929835604</v>
      </c>
      <c r="H173" s="147">
        <f t="shared" si="77"/>
        <v>1000</v>
      </c>
      <c r="I173" s="148">
        <v>0</v>
      </c>
      <c r="J173" s="148">
        <f t="shared" si="74"/>
        <v>83.950812847975527</v>
      </c>
      <c r="K173" s="130">
        <f t="shared" si="65"/>
        <v>7587.6556899358293</v>
      </c>
    </row>
    <row r="174" spans="1:11" x14ac:dyDescent="0.2">
      <c r="A174" s="156"/>
      <c r="B174" s="167">
        <f t="shared" si="66"/>
        <v>42552</v>
      </c>
      <c r="C174" s="167">
        <f t="shared" si="67"/>
        <v>42643</v>
      </c>
      <c r="D174" s="142">
        <f t="shared" si="63"/>
        <v>92</v>
      </c>
      <c r="E174" s="160">
        <f>VLOOKUP(C174,'FERC Interest Rate'!$A:$B,2,TRUE)</f>
        <v>4.0333330000000001E-2</v>
      </c>
      <c r="F174" s="148">
        <f t="shared" si="75"/>
        <v>7587.6556899358293</v>
      </c>
      <c r="G174" s="147">
        <f t="shared" si="76"/>
        <v>76.926936393189806</v>
      </c>
      <c r="H174" s="147">
        <f t="shared" si="77"/>
        <v>1000</v>
      </c>
      <c r="I174" s="148">
        <v>0</v>
      </c>
      <c r="J174" s="148">
        <f t="shared" si="74"/>
        <v>83.950812847975527</v>
      </c>
      <c r="K174" s="130">
        <f t="shared" si="65"/>
        <v>6503.7048770878537</v>
      </c>
    </row>
    <row r="175" spans="1:11" x14ac:dyDescent="0.2">
      <c r="A175" s="169"/>
      <c r="B175" s="167">
        <f t="shared" si="66"/>
        <v>42644</v>
      </c>
      <c r="C175" s="167">
        <f t="shared" si="67"/>
        <v>42735</v>
      </c>
      <c r="D175" s="142">
        <f t="shared" si="63"/>
        <v>92</v>
      </c>
      <c r="E175" s="160">
        <f>VLOOKUP(C175,'FERC Interest Rate'!$A:$B,2,TRUE)</f>
        <v>4.2833329999999996E-2</v>
      </c>
      <c r="F175" s="148">
        <f t="shared" si="75"/>
        <v>6503.7048770878537</v>
      </c>
      <c r="G175" s="147">
        <f t="shared" si="76"/>
        <v>70.024401706306108</v>
      </c>
      <c r="H175" s="147">
        <f t="shared" si="77"/>
        <v>1000</v>
      </c>
      <c r="I175" s="148">
        <v>0</v>
      </c>
      <c r="J175" s="148">
        <f t="shared" si="74"/>
        <v>83.950812847975527</v>
      </c>
      <c r="K175" s="130">
        <f t="shared" si="65"/>
        <v>5419.7540642398781</v>
      </c>
    </row>
    <row r="176" spans="1:11" x14ac:dyDescent="0.2">
      <c r="A176" s="169"/>
      <c r="B176" s="167">
        <f t="shared" si="66"/>
        <v>42736</v>
      </c>
      <c r="C176" s="167">
        <f t="shared" si="67"/>
        <v>42825</v>
      </c>
      <c r="D176" s="142">
        <f t="shared" si="63"/>
        <v>90</v>
      </c>
      <c r="E176" s="160">
        <f>VLOOKUP(C176,'FERC Interest Rate'!$A:$B,2,TRUE)</f>
        <v>4.7066670000000005E-2</v>
      </c>
      <c r="F176" s="148">
        <f t="shared" si="75"/>
        <v>5419.7540642398781</v>
      </c>
      <c r="G176" s="147">
        <f t="shared" si="76"/>
        <v>62.898848882318752</v>
      </c>
      <c r="H176" s="147">
        <f t="shared" si="77"/>
        <v>1000</v>
      </c>
      <c r="I176" s="148">
        <v>0</v>
      </c>
      <c r="J176" s="148">
        <f t="shared" si="74"/>
        <v>83.950812847975527</v>
      </c>
      <c r="K176" s="130">
        <f t="shared" si="65"/>
        <v>4335.8032513919024</v>
      </c>
    </row>
    <row r="177" spans="1:11" x14ac:dyDescent="0.2">
      <c r="A177" s="169"/>
      <c r="B177" s="167">
        <f t="shared" si="66"/>
        <v>42826</v>
      </c>
      <c r="C177" s="167">
        <f t="shared" si="67"/>
        <v>42916</v>
      </c>
      <c r="D177" s="142">
        <f t="shared" si="63"/>
        <v>91</v>
      </c>
      <c r="E177" s="160">
        <f>VLOOKUP(C177,'FERC Interest Rate'!$A:$B,2,TRUE)</f>
        <v>5.21E-2</v>
      </c>
      <c r="F177" s="148">
        <f t="shared" si="75"/>
        <v>4335.8032513919024</v>
      </c>
      <c r="G177" s="147">
        <f t="shared" si="76"/>
        <v>56.319114507326432</v>
      </c>
      <c r="H177" s="147">
        <f t="shared" si="77"/>
        <v>1000</v>
      </c>
      <c r="I177" s="148">
        <v>0</v>
      </c>
      <c r="J177" s="148">
        <f t="shared" si="74"/>
        <v>83.950812847975527</v>
      </c>
      <c r="K177" s="130">
        <f t="shared" si="65"/>
        <v>3251.8524385439268</v>
      </c>
    </row>
    <row r="178" spans="1:11" x14ac:dyDescent="0.2">
      <c r="A178" s="169"/>
      <c r="B178" s="167">
        <f t="shared" si="66"/>
        <v>42917</v>
      </c>
      <c r="C178" s="167">
        <f t="shared" si="67"/>
        <v>43008</v>
      </c>
      <c r="D178" s="142">
        <f t="shared" si="63"/>
        <v>92</v>
      </c>
      <c r="E178" s="160">
        <f>VLOOKUP(C178,'FERC Interest Rate'!$A:$B,2,TRUE)</f>
        <v>5.7066670000000007E-2</v>
      </c>
      <c r="F178" s="148">
        <f t="shared" si="75"/>
        <v>3251.8524385439268</v>
      </c>
      <c r="G178" s="147">
        <f t="shared" si="76"/>
        <v>46.774410629905496</v>
      </c>
      <c r="H178" s="147">
        <f t="shared" si="77"/>
        <v>1000</v>
      </c>
      <c r="I178" s="148">
        <v>0</v>
      </c>
      <c r="J178" s="148">
        <f t="shared" si="74"/>
        <v>83.950812847975527</v>
      </c>
      <c r="K178" s="130">
        <f t="shared" si="65"/>
        <v>2167.9016256959512</v>
      </c>
    </row>
    <row r="179" spans="1:11" x14ac:dyDescent="0.2">
      <c r="A179" s="169"/>
      <c r="B179" s="167">
        <f t="shared" si="66"/>
        <v>43009</v>
      </c>
      <c r="C179" s="167">
        <f t="shared" si="67"/>
        <v>43100</v>
      </c>
      <c r="D179" s="142">
        <f t="shared" si="63"/>
        <v>92</v>
      </c>
      <c r="E179" s="160">
        <f>VLOOKUP(C179,'FERC Interest Rate'!$A:$B,2,TRUE)</f>
        <v>6.2033329999999998E-2</v>
      </c>
      <c r="F179" s="148">
        <f t="shared" si="75"/>
        <v>2167.9016256959512</v>
      </c>
      <c r="G179" s="147">
        <f t="shared" si="76"/>
        <v>33.896872437804589</v>
      </c>
      <c r="H179" s="147">
        <f t="shared" si="77"/>
        <v>1000</v>
      </c>
      <c r="I179" s="148">
        <v>0</v>
      </c>
      <c r="J179" s="148">
        <f t="shared" si="74"/>
        <v>83.950812847975527</v>
      </c>
      <c r="K179" s="130">
        <f t="shared" si="65"/>
        <v>1083.9508128479756</v>
      </c>
    </row>
    <row r="180" spans="1:11" x14ac:dyDescent="0.2">
      <c r="A180" s="169"/>
      <c r="B180" s="167">
        <f t="shared" si="66"/>
        <v>43101</v>
      </c>
      <c r="C180" s="167">
        <f t="shared" si="67"/>
        <v>43190</v>
      </c>
      <c r="D180" s="142">
        <f t="shared" si="63"/>
        <v>90</v>
      </c>
      <c r="E180" s="160">
        <f>VLOOKUP(C180,'FERC Interest Rate'!$A:$B,2,TRUE)</f>
        <v>6.6699999999999995E-2</v>
      </c>
      <c r="F180" s="148">
        <f t="shared" si="75"/>
        <v>1083.9508128479756</v>
      </c>
      <c r="G180" s="147">
        <f t="shared" si="76"/>
        <v>17.827278711031223</v>
      </c>
      <c r="H180" s="147">
        <f t="shared" si="77"/>
        <v>1000</v>
      </c>
      <c r="I180" s="148">
        <v>0</v>
      </c>
      <c r="J180" s="148">
        <f t="shared" si="74"/>
        <v>83.950812847975527</v>
      </c>
      <c r="K180" s="130">
        <f t="shared" si="65"/>
        <v>0</v>
      </c>
    </row>
    <row r="181" spans="1:11" ht="13.5" thickBot="1" x14ac:dyDescent="0.25">
      <c r="A181" s="129"/>
      <c r="B181" s="168"/>
      <c r="C181" s="168"/>
      <c r="D181" s="121"/>
      <c r="E181" s="122"/>
      <c r="F181" s="145"/>
      <c r="G181" s="145"/>
      <c r="H181" s="146">
        <f>SUM(H164:H180)</f>
        <v>20000</v>
      </c>
      <c r="I181" s="123">
        <f>SUM(I155:I180)</f>
        <v>1679.0162569595107</v>
      </c>
      <c r="J181" s="123">
        <f>SUM(J164:J180)</f>
        <v>1679.0162569595109</v>
      </c>
      <c r="K181" s="128"/>
    </row>
    <row r="182" spans="1:11" ht="13.5" thickBot="1" x14ac:dyDescent="0.25"/>
    <row r="183" spans="1:11" ht="13.5" thickBot="1" x14ac:dyDescent="0.25">
      <c r="A183" s="304" t="s">
        <v>71</v>
      </c>
      <c r="B183" s="305"/>
      <c r="C183" s="305"/>
      <c r="D183" s="305"/>
      <c r="E183" s="305"/>
      <c r="F183" s="305"/>
      <c r="G183" s="305"/>
      <c r="H183" s="305"/>
      <c r="I183" s="305"/>
      <c r="J183" s="305"/>
      <c r="K183" s="306"/>
    </row>
    <row r="184" spans="1:11" ht="13.5" thickBot="1" x14ac:dyDescent="0.25">
      <c r="A184" s="190" t="s">
        <v>110</v>
      </c>
      <c r="B184" s="185">
        <v>19</v>
      </c>
      <c r="C184" s="191"/>
      <c r="D184" s="191"/>
      <c r="E184" s="191"/>
      <c r="F184" s="191"/>
      <c r="G184" s="191"/>
      <c r="H184" s="191"/>
      <c r="I184" s="191"/>
      <c r="J184" s="191"/>
      <c r="K184" s="192"/>
    </row>
    <row r="185" spans="1:11" ht="51.75" thickBot="1" x14ac:dyDescent="0.25">
      <c r="A185" s="163" t="s">
        <v>9</v>
      </c>
      <c r="B185" s="164" t="s">
        <v>10</v>
      </c>
      <c r="C185" s="164" t="s">
        <v>11</v>
      </c>
      <c r="D185" s="164" t="s">
        <v>12</v>
      </c>
      <c r="E185" s="164" t="s">
        <v>13</v>
      </c>
      <c r="F185" s="164" t="s">
        <v>14</v>
      </c>
      <c r="G185" s="164" t="s">
        <v>32</v>
      </c>
      <c r="H185" s="164" t="s">
        <v>16</v>
      </c>
      <c r="I185" s="164" t="s">
        <v>85</v>
      </c>
      <c r="J185" s="164" t="s">
        <v>33</v>
      </c>
      <c r="K185" s="165" t="s">
        <v>15</v>
      </c>
    </row>
    <row r="186" spans="1:11" x14ac:dyDescent="0.2">
      <c r="A186" s="266"/>
      <c r="B186" s="267">
        <f>VLOOKUP(B184,A$1:F$31,2,FALSE)</f>
        <v>40848</v>
      </c>
      <c r="C186" s="267">
        <f>DATE(YEAR(B186),IF(MONTH(B186)&lt;=3,3,IF(MONTH(B186)&lt;=6,6,IF(MONTH(B186)&lt;=9,9,12))),IF(OR(MONTH(B186)&lt;=3,MONTH(B186)&gt;=10),31,30))</f>
        <v>40908</v>
      </c>
      <c r="D186" s="268">
        <f>C186-B186+1</f>
        <v>61</v>
      </c>
      <c r="E186" s="259">
        <f>VLOOKUP(C186,'FERC Interest Rate'!$A:$B,2,TRUE)</f>
        <v>3.2500000000000001E-2</v>
      </c>
      <c r="F186" s="254">
        <f>VLOOKUP(B184,$A$1:$F$31,5,FALSE)</f>
        <v>20000</v>
      </c>
      <c r="G186" s="273"/>
      <c r="H186" s="273"/>
      <c r="I186" s="254">
        <f>F186*E186*(D186/(DATE(YEAR(C186),12,31)-DATE(YEAR(C186),1,1)+1))</f>
        <v>108.63013698630138</v>
      </c>
      <c r="J186" s="272"/>
      <c r="K186" s="255">
        <f>F186+I186-H186-J186</f>
        <v>20108.630136986303</v>
      </c>
    </row>
    <row r="187" spans="1:11" x14ac:dyDescent="0.2">
      <c r="A187" s="256"/>
      <c r="B187" s="257">
        <f>C186+1</f>
        <v>40909</v>
      </c>
      <c r="C187" s="257">
        <f>EOMONTH(C186,3)</f>
        <v>40999</v>
      </c>
      <c r="D187" s="258">
        <f t="shared" ref="D187:D211" si="78">C187-B187+1</f>
        <v>91</v>
      </c>
      <c r="E187" s="259">
        <f>VLOOKUP(C187,'FERC Interest Rate'!$A:$B,2,TRUE)</f>
        <v>3.2500000000000001E-2</v>
      </c>
      <c r="F187" s="260">
        <f>K186</f>
        <v>20108.630136986303</v>
      </c>
      <c r="G187" s="273"/>
      <c r="H187" s="272"/>
      <c r="I187" s="254">
        <f t="shared" ref="I187:I195" si="79">F187*E187*(D187/(DATE(YEAR(C187),12,31)-DATE(YEAR(C187),1,1)+1))</f>
        <v>162.48981866157649</v>
      </c>
      <c r="J187" s="272"/>
      <c r="K187" s="255">
        <f t="shared" ref="K187:K211" si="80">F187+I187-H187-J187</f>
        <v>20271.119955647879</v>
      </c>
    </row>
    <row r="188" spans="1:11" x14ac:dyDescent="0.2">
      <c r="A188" s="256"/>
      <c r="B188" s="257">
        <f t="shared" ref="B188:B211" si="81">C187+1</f>
        <v>41000</v>
      </c>
      <c r="C188" s="257">
        <f t="shared" ref="C188:C211" si="82">EOMONTH(C187,3)</f>
        <v>41090</v>
      </c>
      <c r="D188" s="258">
        <f t="shared" si="78"/>
        <v>91</v>
      </c>
      <c r="E188" s="259">
        <f>VLOOKUP(C188,'FERC Interest Rate'!$A:$B,2,TRUE)</f>
        <v>3.2500000000000001E-2</v>
      </c>
      <c r="F188" s="260">
        <f t="shared" ref="F188:F197" si="83">K187</f>
        <v>20271.119955647879</v>
      </c>
      <c r="G188" s="273"/>
      <c r="H188" s="272"/>
      <c r="I188" s="254">
        <f t="shared" si="79"/>
        <v>163.80283406783772</v>
      </c>
      <c r="J188" s="272"/>
      <c r="K188" s="255">
        <f t="shared" si="80"/>
        <v>20434.922789715718</v>
      </c>
    </row>
    <row r="189" spans="1:11" x14ac:dyDescent="0.2">
      <c r="A189" s="256"/>
      <c r="B189" s="257">
        <f t="shared" si="81"/>
        <v>41091</v>
      </c>
      <c r="C189" s="257">
        <f t="shared" si="82"/>
        <v>41182</v>
      </c>
      <c r="D189" s="258">
        <f t="shared" si="78"/>
        <v>92</v>
      </c>
      <c r="E189" s="259">
        <f>VLOOKUP(C189,'FERC Interest Rate'!$A:$B,2,TRUE)</f>
        <v>3.2500000000000001E-2</v>
      </c>
      <c r="F189" s="260">
        <f t="shared" si="83"/>
        <v>20434.922789715718</v>
      </c>
      <c r="G189" s="273"/>
      <c r="H189" s="272"/>
      <c r="I189" s="254">
        <f t="shared" si="79"/>
        <v>166.94103590505463</v>
      </c>
      <c r="J189" s="272"/>
      <c r="K189" s="255">
        <f t="shared" si="80"/>
        <v>20601.863825620774</v>
      </c>
    </row>
    <row r="190" spans="1:11" x14ac:dyDescent="0.2">
      <c r="A190" s="256"/>
      <c r="B190" s="257">
        <f t="shared" si="81"/>
        <v>41183</v>
      </c>
      <c r="C190" s="257">
        <f t="shared" si="82"/>
        <v>41274</v>
      </c>
      <c r="D190" s="258">
        <f t="shared" si="78"/>
        <v>92</v>
      </c>
      <c r="E190" s="259">
        <f>VLOOKUP(C190,'FERC Interest Rate'!$A:$B,2,TRUE)</f>
        <v>3.2500000000000001E-2</v>
      </c>
      <c r="F190" s="260">
        <f t="shared" si="83"/>
        <v>20601.863825620774</v>
      </c>
      <c r="G190" s="273"/>
      <c r="H190" s="272"/>
      <c r="I190" s="254">
        <f t="shared" si="79"/>
        <v>168.30484382132818</v>
      </c>
      <c r="J190" s="272"/>
      <c r="K190" s="255">
        <f t="shared" si="80"/>
        <v>20770.168669442101</v>
      </c>
    </row>
    <row r="191" spans="1:11" x14ac:dyDescent="0.2">
      <c r="A191" s="256"/>
      <c r="B191" s="257">
        <f t="shared" si="81"/>
        <v>41275</v>
      </c>
      <c r="C191" s="257">
        <f t="shared" si="82"/>
        <v>41364</v>
      </c>
      <c r="D191" s="258">
        <f t="shared" si="78"/>
        <v>90</v>
      </c>
      <c r="E191" s="259">
        <f>VLOOKUP(C191,'FERC Interest Rate'!$A:$B,2,TRUE)</f>
        <v>3.2500000000000001E-2</v>
      </c>
      <c r="F191" s="260">
        <f t="shared" si="83"/>
        <v>20770.168669442101</v>
      </c>
      <c r="G191" s="273"/>
      <c r="H191" s="272"/>
      <c r="I191" s="254">
        <f t="shared" si="79"/>
        <v>166.4458722140223</v>
      </c>
      <c r="J191" s="272"/>
      <c r="K191" s="255">
        <f t="shared" si="80"/>
        <v>20936.614541656123</v>
      </c>
    </row>
    <row r="192" spans="1:11" x14ac:dyDescent="0.2">
      <c r="A192" s="156"/>
      <c r="B192" s="167">
        <f t="shared" ref="B192:B197" si="84">C191+1</f>
        <v>41365</v>
      </c>
      <c r="C192" s="167">
        <f t="shared" si="82"/>
        <v>41455</v>
      </c>
      <c r="D192" s="142">
        <f t="shared" ref="D192:D197" si="85">C192-B192+1</f>
        <v>91</v>
      </c>
      <c r="E192" s="160">
        <f>VLOOKUP(C192,'FERC Interest Rate'!$A:$B,2,TRUE)</f>
        <v>3.2500000000000001E-2</v>
      </c>
      <c r="F192" s="148">
        <f t="shared" si="83"/>
        <v>20936.614541656123</v>
      </c>
      <c r="G192" s="273"/>
      <c r="H192" s="147"/>
      <c r="I192" s="254">
        <f t="shared" si="79"/>
        <v>169.64393837519995</v>
      </c>
      <c r="J192" s="148"/>
      <c r="K192" s="130">
        <f t="shared" ref="K192:K197" si="86">F192+I192-H192-J192</f>
        <v>21106.258480031323</v>
      </c>
    </row>
    <row r="193" spans="1:11" x14ac:dyDescent="0.2">
      <c r="A193" s="156"/>
      <c r="B193" s="167">
        <f t="shared" si="84"/>
        <v>41456</v>
      </c>
      <c r="C193" s="167">
        <f t="shared" si="82"/>
        <v>41547</v>
      </c>
      <c r="D193" s="142">
        <f t="shared" si="85"/>
        <v>92</v>
      </c>
      <c r="E193" s="160">
        <f>VLOOKUP(C193,'FERC Interest Rate'!$A:$B,2,TRUE)</f>
        <v>3.2500000000000001E-2</v>
      </c>
      <c r="F193" s="148">
        <f t="shared" si="83"/>
        <v>21106.258480031323</v>
      </c>
      <c r="G193" s="147"/>
      <c r="H193" s="147"/>
      <c r="I193" s="254">
        <f t="shared" si="79"/>
        <v>172.89784343916074</v>
      </c>
      <c r="J193" s="148"/>
      <c r="K193" s="130">
        <f t="shared" si="86"/>
        <v>21279.156323470484</v>
      </c>
    </row>
    <row r="194" spans="1:11" x14ac:dyDescent="0.2">
      <c r="A194" s="156"/>
      <c r="B194" s="167">
        <f t="shared" si="84"/>
        <v>41548</v>
      </c>
      <c r="C194" s="167">
        <f t="shared" si="82"/>
        <v>41639</v>
      </c>
      <c r="D194" s="142">
        <f t="shared" si="85"/>
        <v>92</v>
      </c>
      <c r="E194" s="160">
        <f>VLOOKUP(C194,'FERC Interest Rate'!$A:$B,2,TRUE)</f>
        <v>3.2500000000000001E-2</v>
      </c>
      <c r="F194" s="148">
        <f t="shared" si="83"/>
        <v>21279.156323470484</v>
      </c>
      <c r="G194" s="147"/>
      <c r="H194" s="147"/>
      <c r="I194" s="254">
        <f t="shared" si="79"/>
        <v>174.31418467719658</v>
      </c>
      <c r="J194" s="148"/>
      <c r="K194" s="130">
        <f t="shared" si="86"/>
        <v>21453.470508147682</v>
      </c>
    </row>
    <row r="195" spans="1:11" x14ac:dyDescent="0.2">
      <c r="A195" s="156"/>
      <c r="B195" s="167">
        <f t="shared" si="84"/>
        <v>41640</v>
      </c>
      <c r="C195" s="167">
        <f t="shared" si="82"/>
        <v>41729</v>
      </c>
      <c r="D195" s="142">
        <f t="shared" si="85"/>
        <v>90</v>
      </c>
      <c r="E195" s="160">
        <f>VLOOKUP(C195,'FERC Interest Rate'!$A:$B,2,TRUE)</f>
        <v>3.2500000000000001E-2</v>
      </c>
      <c r="F195" s="148">
        <f t="shared" si="83"/>
        <v>21453.470508147682</v>
      </c>
      <c r="G195" s="147"/>
      <c r="H195" s="147">
        <f>($F$186/20)*4</f>
        <v>4000</v>
      </c>
      <c r="I195" s="254">
        <f t="shared" si="79"/>
        <v>171.92164722282732</v>
      </c>
      <c r="J195" s="148">
        <f>(SUM($I$186:$I$211)/20)*4</f>
        <v>325.07843107410105</v>
      </c>
      <c r="K195" s="130">
        <f t="shared" si="86"/>
        <v>17300.313724296411</v>
      </c>
    </row>
    <row r="196" spans="1:11" x14ac:dyDescent="0.2">
      <c r="A196" s="156"/>
      <c r="B196" s="167">
        <f t="shared" si="84"/>
        <v>41730</v>
      </c>
      <c r="C196" s="167">
        <f t="shared" si="82"/>
        <v>41820</v>
      </c>
      <c r="D196" s="142">
        <f t="shared" si="85"/>
        <v>91</v>
      </c>
      <c r="E196" s="160">
        <f>VLOOKUP(C196,'FERC Interest Rate'!$A:$B,2,TRUE)</f>
        <v>3.2500000000000001E-2</v>
      </c>
      <c r="F196" s="148">
        <f t="shared" si="83"/>
        <v>17300.313724296411</v>
      </c>
      <c r="G196" s="147">
        <f t="shared" ref="G196:G197" si="87">F196*E196*(D196/(DATE(YEAR(C196),12,31)-DATE(YEAR(C196),1,1)+1))</f>
        <v>140.17993928659351</v>
      </c>
      <c r="H196" s="147">
        <f t="shared" ref="H196:H197" si="88">$F$186/20</f>
        <v>1000</v>
      </c>
      <c r="I196" s="148">
        <v>0</v>
      </c>
      <c r="J196" s="148">
        <f>SUM($I$186:$I$211)/20</f>
        <v>81.269607768525262</v>
      </c>
      <c r="K196" s="130">
        <f t="shared" si="86"/>
        <v>16219.044116527886</v>
      </c>
    </row>
    <row r="197" spans="1:11" x14ac:dyDescent="0.2">
      <c r="A197" s="156"/>
      <c r="B197" s="167">
        <f t="shared" si="84"/>
        <v>41821</v>
      </c>
      <c r="C197" s="167">
        <f t="shared" si="82"/>
        <v>41912</v>
      </c>
      <c r="D197" s="142">
        <f t="shared" si="85"/>
        <v>92</v>
      </c>
      <c r="E197" s="160">
        <f>VLOOKUP(C197,'FERC Interest Rate'!$A:$B,2,TRUE)</f>
        <v>3.2500000000000001E-2</v>
      </c>
      <c r="F197" s="148">
        <f t="shared" si="83"/>
        <v>16219.044116527886</v>
      </c>
      <c r="G197" s="147">
        <f t="shared" si="87"/>
        <v>132.862854543612</v>
      </c>
      <c r="H197" s="147">
        <f t="shared" si="88"/>
        <v>1000</v>
      </c>
      <c r="I197" s="148">
        <v>0</v>
      </c>
      <c r="J197" s="148">
        <f t="shared" ref="J197:J211" si="89">SUM($I$186:$I$211)/20</f>
        <v>81.269607768525262</v>
      </c>
      <c r="K197" s="130">
        <f t="shared" si="86"/>
        <v>15137.774508759361</v>
      </c>
    </row>
    <row r="198" spans="1:11" x14ac:dyDescent="0.2">
      <c r="A198" s="156"/>
      <c r="B198" s="167">
        <f t="shared" si="81"/>
        <v>41913</v>
      </c>
      <c r="C198" s="167">
        <f t="shared" si="82"/>
        <v>42004</v>
      </c>
      <c r="D198" s="142">
        <f t="shared" si="78"/>
        <v>92</v>
      </c>
      <c r="E198" s="160">
        <f>VLOOKUP(C198,'FERC Interest Rate'!$A:$B,2,TRUE)</f>
        <v>3.2500000000000001E-2</v>
      </c>
      <c r="F198" s="148">
        <f t="shared" ref="F198:F211" si="90">K197</f>
        <v>15137.774508759361</v>
      </c>
      <c r="G198" s="147">
        <f t="shared" ref="G198:G211" si="91">F198*E198*(D198/(DATE(YEAR(C198),12,31)-DATE(YEAR(C198),1,1)+1))</f>
        <v>124.00533090737122</v>
      </c>
      <c r="H198" s="147">
        <f t="shared" ref="H198:H211" si="92">$F$186/20</f>
        <v>1000</v>
      </c>
      <c r="I198" s="148">
        <v>0</v>
      </c>
      <c r="J198" s="148">
        <f t="shared" si="89"/>
        <v>81.269607768525262</v>
      </c>
      <c r="K198" s="130">
        <f t="shared" si="80"/>
        <v>14056.504900990836</v>
      </c>
    </row>
    <row r="199" spans="1:11" x14ac:dyDescent="0.2">
      <c r="A199" s="156"/>
      <c r="B199" s="167">
        <f t="shared" si="81"/>
        <v>42005</v>
      </c>
      <c r="C199" s="167">
        <f t="shared" si="82"/>
        <v>42094</v>
      </c>
      <c r="D199" s="142">
        <f t="shared" si="78"/>
        <v>90</v>
      </c>
      <c r="E199" s="160">
        <f>VLOOKUP(C199,'FERC Interest Rate'!$A:$B,2,TRUE)</f>
        <v>3.2500000000000001E-2</v>
      </c>
      <c r="F199" s="148">
        <f t="shared" si="90"/>
        <v>14056.504900990836</v>
      </c>
      <c r="G199" s="147">
        <f t="shared" si="91"/>
        <v>112.64459406958409</v>
      </c>
      <c r="H199" s="147">
        <f t="shared" si="92"/>
        <v>1000</v>
      </c>
      <c r="I199" s="148">
        <v>0</v>
      </c>
      <c r="J199" s="148">
        <f t="shared" si="89"/>
        <v>81.269607768525262</v>
      </c>
      <c r="K199" s="130">
        <f t="shared" si="80"/>
        <v>12975.235293222311</v>
      </c>
    </row>
    <row r="200" spans="1:11" x14ac:dyDescent="0.2">
      <c r="A200" s="156"/>
      <c r="B200" s="167">
        <f t="shared" si="81"/>
        <v>42095</v>
      </c>
      <c r="C200" s="167">
        <f t="shared" si="82"/>
        <v>42185</v>
      </c>
      <c r="D200" s="142">
        <f t="shared" si="78"/>
        <v>91</v>
      </c>
      <c r="E200" s="160">
        <f>VLOOKUP(C200,'FERC Interest Rate'!$A:$B,2,TRUE)</f>
        <v>3.2500000000000001E-2</v>
      </c>
      <c r="F200" s="148">
        <f t="shared" si="90"/>
        <v>12975.235293222311</v>
      </c>
      <c r="G200" s="147">
        <f t="shared" si="91"/>
        <v>105.13495446494518</v>
      </c>
      <c r="H200" s="147">
        <f t="shared" si="92"/>
        <v>1000</v>
      </c>
      <c r="I200" s="148">
        <v>0</v>
      </c>
      <c r="J200" s="148">
        <f t="shared" si="89"/>
        <v>81.269607768525262</v>
      </c>
      <c r="K200" s="130">
        <f t="shared" si="80"/>
        <v>11893.965685453786</v>
      </c>
    </row>
    <row r="201" spans="1:11" x14ac:dyDescent="0.2">
      <c r="A201" s="156"/>
      <c r="B201" s="167">
        <f t="shared" si="81"/>
        <v>42186</v>
      </c>
      <c r="C201" s="167">
        <f t="shared" si="82"/>
        <v>42277</v>
      </c>
      <c r="D201" s="142">
        <f t="shared" si="78"/>
        <v>92</v>
      </c>
      <c r="E201" s="160">
        <f>VLOOKUP(C201,'FERC Interest Rate'!$A:$B,2,TRUE)</f>
        <v>3.2500000000000001E-2</v>
      </c>
      <c r="F201" s="148">
        <f t="shared" si="90"/>
        <v>11893.965685453786</v>
      </c>
      <c r="G201" s="147">
        <f t="shared" si="91"/>
        <v>97.432759998648834</v>
      </c>
      <c r="H201" s="147">
        <f t="shared" si="92"/>
        <v>1000</v>
      </c>
      <c r="I201" s="148">
        <v>0</v>
      </c>
      <c r="J201" s="148">
        <f t="shared" si="89"/>
        <v>81.269607768525262</v>
      </c>
      <c r="K201" s="130">
        <f t="shared" si="80"/>
        <v>10812.696077685261</v>
      </c>
    </row>
    <row r="202" spans="1:11" x14ac:dyDescent="0.2">
      <c r="A202" s="156"/>
      <c r="B202" s="167">
        <f t="shared" si="81"/>
        <v>42278</v>
      </c>
      <c r="C202" s="167">
        <f t="shared" si="82"/>
        <v>42369</v>
      </c>
      <c r="D202" s="142">
        <f t="shared" si="78"/>
        <v>92</v>
      </c>
      <c r="E202" s="160">
        <f>VLOOKUP(C202,'FERC Interest Rate'!$A:$B,2,TRUE)</f>
        <v>3.2500000000000001E-2</v>
      </c>
      <c r="F202" s="148">
        <f t="shared" si="90"/>
        <v>10812.696077685261</v>
      </c>
      <c r="G202" s="147">
        <f t="shared" si="91"/>
        <v>88.575236362408035</v>
      </c>
      <c r="H202" s="147">
        <f t="shared" si="92"/>
        <v>1000</v>
      </c>
      <c r="I202" s="148">
        <v>0</v>
      </c>
      <c r="J202" s="148">
        <f t="shared" si="89"/>
        <v>81.269607768525262</v>
      </c>
      <c r="K202" s="130">
        <f t="shared" si="80"/>
        <v>9731.4264699167361</v>
      </c>
    </row>
    <row r="203" spans="1:11" x14ac:dyDescent="0.2">
      <c r="A203" s="156"/>
      <c r="B203" s="167">
        <f t="shared" si="81"/>
        <v>42370</v>
      </c>
      <c r="C203" s="167">
        <f t="shared" si="82"/>
        <v>42460</v>
      </c>
      <c r="D203" s="142">
        <f t="shared" si="78"/>
        <v>91</v>
      </c>
      <c r="E203" s="160">
        <f>VLOOKUP(C203,'FERC Interest Rate'!$A:$B,2,TRUE)</f>
        <v>3.2500000000000001E-2</v>
      </c>
      <c r="F203" s="148">
        <f t="shared" si="90"/>
        <v>9731.4264699167361</v>
      </c>
      <c r="G203" s="147">
        <f t="shared" si="91"/>
        <v>78.635775368247934</v>
      </c>
      <c r="H203" s="147">
        <f t="shared" si="92"/>
        <v>1000</v>
      </c>
      <c r="I203" s="148">
        <v>0</v>
      </c>
      <c r="J203" s="148">
        <f t="shared" si="89"/>
        <v>81.269607768525262</v>
      </c>
      <c r="K203" s="130">
        <f t="shared" si="80"/>
        <v>8650.1568621482111</v>
      </c>
    </row>
    <row r="204" spans="1:11" x14ac:dyDescent="0.2">
      <c r="A204" s="156"/>
      <c r="B204" s="167">
        <f t="shared" si="81"/>
        <v>42461</v>
      </c>
      <c r="C204" s="167">
        <f t="shared" si="82"/>
        <v>42551</v>
      </c>
      <c r="D204" s="142">
        <f t="shared" si="78"/>
        <v>91</v>
      </c>
      <c r="E204" s="160">
        <f>VLOOKUP(C204,'FERC Interest Rate'!$A:$B,2,TRUE)</f>
        <v>3.2500000000000001E-2</v>
      </c>
      <c r="F204" s="148">
        <f t="shared" si="90"/>
        <v>8650.1568621482111</v>
      </c>
      <c r="G204" s="147">
        <f t="shared" si="91"/>
        <v>69.89846699399817</v>
      </c>
      <c r="H204" s="147">
        <f t="shared" si="92"/>
        <v>1000</v>
      </c>
      <c r="I204" s="148">
        <v>0</v>
      </c>
      <c r="J204" s="148">
        <f t="shared" si="89"/>
        <v>81.269607768525262</v>
      </c>
      <c r="K204" s="130">
        <f t="shared" si="80"/>
        <v>7568.8872543796861</v>
      </c>
    </row>
    <row r="205" spans="1:11" x14ac:dyDescent="0.2">
      <c r="A205" s="156"/>
      <c r="B205" s="167">
        <f t="shared" si="81"/>
        <v>42552</v>
      </c>
      <c r="C205" s="167">
        <f t="shared" si="82"/>
        <v>42643</v>
      </c>
      <c r="D205" s="142">
        <f t="shared" si="78"/>
        <v>92</v>
      </c>
      <c r="E205" s="160">
        <f>VLOOKUP(C205,'FERC Interest Rate'!$A:$B,2,TRUE)</f>
        <v>4.0333330000000001E-2</v>
      </c>
      <c r="F205" s="148">
        <f t="shared" si="90"/>
        <v>7568.8872543796861</v>
      </c>
      <c r="G205" s="147">
        <f t="shared" si="91"/>
        <v>76.736653872840066</v>
      </c>
      <c r="H205" s="147">
        <f t="shared" si="92"/>
        <v>1000</v>
      </c>
      <c r="I205" s="148">
        <v>0</v>
      </c>
      <c r="J205" s="148">
        <f t="shared" si="89"/>
        <v>81.269607768525262</v>
      </c>
      <c r="K205" s="130">
        <f t="shared" si="80"/>
        <v>6487.617646611161</v>
      </c>
    </row>
    <row r="206" spans="1:11" x14ac:dyDescent="0.2">
      <c r="A206" s="169"/>
      <c r="B206" s="167">
        <f t="shared" si="81"/>
        <v>42644</v>
      </c>
      <c r="C206" s="167">
        <f t="shared" si="82"/>
        <v>42735</v>
      </c>
      <c r="D206" s="142">
        <f t="shared" si="78"/>
        <v>92</v>
      </c>
      <c r="E206" s="160">
        <f>VLOOKUP(C206,'FERC Interest Rate'!$A:$B,2,TRUE)</f>
        <v>4.2833329999999996E-2</v>
      </c>
      <c r="F206" s="148">
        <f t="shared" si="90"/>
        <v>6487.617646611161</v>
      </c>
      <c r="G206" s="147">
        <f t="shared" si="91"/>
        <v>69.851192941374237</v>
      </c>
      <c r="H206" s="147">
        <f t="shared" si="92"/>
        <v>1000</v>
      </c>
      <c r="I206" s="148">
        <v>0</v>
      </c>
      <c r="J206" s="148">
        <f t="shared" si="89"/>
        <v>81.269607768525262</v>
      </c>
      <c r="K206" s="130">
        <f t="shared" si="80"/>
        <v>5406.348038842636</v>
      </c>
    </row>
    <row r="207" spans="1:11" x14ac:dyDescent="0.2">
      <c r="A207" s="169"/>
      <c r="B207" s="167">
        <f t="shared" si="81"/>
        <v>42736</v>
      </c>
      <c r="C207" s="167">
        <f t="shared" si="82"/>
        <v>42825</v>
      </c>
      <c r="D207" s="142">
        <f t="shared" si="78"/>
        <v>90</v>
      </c>
      <c r="E207" s="160">
        <f>VLOOKUP(C207,'FERC Interest Rate'!$A:$B,2,TRUE)</f>
        <v>4.7066670000000005E-2</v>
      </c>
      <c r="F207" s="148">
        <f t="shared" si="90"/>
        <v>5406.348038842636</v>
      </c>
      <c r="G207" s="147">
        <f t="shared" si="91"/>
        <v>62.743265519018685</v>
      </c>
      <c r="H207" s="147">
        <f t="shared" si="92"/>
        <v>1000</v>
      </c>
      <c r="I207" s="148">
        <v>0</v>
      </c>
      <c r="J207" s="148">
        <f t="shared" si="89"/>
        <v>81.269607768525262</v>
      </c>
      <c r="K207" s="130">
        <f t="shared" si="80"/>
        <v>4325.078431074111</v>
      </c>
    </row>
    <row r="208" spans="1:11" x14ac:dyDescent="0.2">
      <c r="A208" s="169"/>
      <c r="B208" s="167">
        <f t="shared" si="81"/>
        <v>42826</v>
      </c>
      <c r="C208" s="167">
        <f t="shared" si="82"/>
        <v>42916</v>
      </c>
      <c r="D208" s="142">
        <f t="shared" si="78"/>
        <v>91</v>
      </c>
      <c r="E208" s="160">
        <f>VLOOKUP(C208,'FERC Interest Rate'!$A:$B,2,TRUE)</f>
        <v>5.21E-2</v>
      </c>
      <c r="F208" s="148">
        <f t="shared" si="90"/>
        <v>4325.078431074111</v>
      </c>
      <c r="G208" s="147">
        <f t="shared" si="91"/>
        <v>56.179806437165666</v>
      </c>
      <c r="H208" s="147">
        <f t="shared" si="92"/>
        <v>1000</v>
      </c>
      <c r="I208" s="148">
        <v>0</v>
      </c>
      <c r="J208" s="148">
        <f t="shared" si="89"/>
        <v>81.269607768525262</v>
      </c>
      <c r="K208" s="130">
        <f t="shared" si="80"/>
        <v>3243.8088233055855</v>
      </c>
    </row>
    <row r="209" spans="1:11" x14ac:dyDescent="0.2">
      <c r="A209" s="169"/>
      <c r="B209" s="167">
        <f t="shared" si="81"/>
        <v>42917</v>
      </c>
      <c r="C209" s="167">
        <f t="shared" si="82"/>
        <v>43008</v>
      </c>
      <c r="D209" s="142">
        <f t="shared" si="78"/>
        <v>92</v>
      </c>
      <c r="E209" s="160">
        <f>VLOOKUP(C209,'FERC Interest Rate'!$A:$B,2,TRUE)</f>
        <v>5.7066670000000007E-2</v>
      </c>
      <c r="F209" s="148">
        <f t="shared" si="90"/>
        <v>3243.8088233055855</v>
      </c>
      <c r="G209" s="147">
        <f t="shared" si="91"/>
        <v>46.658711849220474</v>
      </c>
      <c r="H209" s="147">
        <f t="shared" si="92"/>
        <v>1000</v>
      </c>
      <c r="I209" s="148">
        <v>0</v>
      </c>
      <c r="J209" s="148">
        <f t="shared" si="89"/>
        <v>81.269607768525262</v>
      </c>
      <c r="K209" s="130">
        <f t="shared" si="80"/>
        <v>2162.53921553706</v>
      </c>
    </row>
    <row r="210" spans="1:11" x14ac:dyDescent="0.2">
      <c r="A210" s="169"/>
      <c r="B210" s="167">
        <f t="shared" si="81"/>
        <v>43009</v>
      </c>
      <c r="C210" s="167">
        <f t="shared" si="82"/>
        <v>43100</v>
      </c>
      <c r="D210" s="142">
        <f t="shared" si="78"/>
        <v>92</v>
      </c>
      <c r="E210" s="160">
        <f>VLOOKUP(C210,'FERC Interest Rate'!$A:$B,2,TRUE)</f>
        <v>6.2033329999999998E-2</v>
      </c>
      <c r="F210" s="148">
        <f t="shared" si="90"/>
        <v>2162.53921553706</v>
      </c>
      <c r="G210" s="147">
        <f t="shared" si="91"/>
        <v>33.813026874444787</v>
      </c>
      <c r="H210" s="147">
        <f t="shared" si="92"/>
        <v>1000</v>
      </c>
      <c r="I210" s="148">
        <v>0</v>
      </c>
      <c r="J210" s="148">
        <f t="shared" si="89"/>
        <v>81.269607768525262</v>
      </c>
      <c r="K210" s="130">
        <f t="shared" si="80"/>
        <v>1081.2696077685348</v>
      </c>
    </row>
    <row r="211" spans="1:11" x14ac:dyDescent="0.2">
      <c r="A211" s="169"/>
      <c r="B211" s="167">
        <f t="shared" si="81"/>
        <v>43101</v>
      </c>
      <c r="C211" s="167">
        <f t="shared" si="82"/>
        <v>43190</v>
      </c>
      <c r="D211" s="142">
        <f t="shared" si="78"/>
        <v>90</v>
      </c>
      <c r="E211" s="160">
        <f>VLOOKUP(C211,'FERC Interest Rate'!$A:$B,2,TRUE)</f>
        <v>6.6699999999999995E-2</v>
      </c>
      <c r="F211" s="148">
        <f t="shared" si="90"/>
        <v>1081.2696077685348</v>
      </c>
      <c r="G211" s="147">
        <f t="shared" si="91"/>
        <v>17.783182069683601</v>
      </c>
      <c r="H211" s="147">
        <f t="shared" si="92"/>
        <v>1000</v>
      </c>
      <c r="I211" s="148">
        <v>0</v>
      </c>
      <c r="J211" s="148">
        <f t="shared" si="89"/>
        <v>81.269607768525262</v>
      </c>
      <c r="K211" s="130">
        <f t="shared" si="80"/>
        <v>9.5354835139005445E-12</v>
      </c>
    </row>
    <row r="212" spans="1:11" ht="13.5" thickBot="1" x14ac:dyDescent="0.25">
      <c r="A212" s="129"/>
      <c r="B212" s="168"/>
      <c r="C212" s="168"/>
      <c r="D212" s="121"/>
      <c r="E212" s="122"/>
      <c r="F212" s="145"/>
      <c r="G212" s="145"/>
      <c r="H212" s="146">
        <f>SUM(H195:H211)</f>
        <v>20000</v>
      </c>
      <c r="I212" s="146">
        <f>SUM(I186:I211)</f>
        <v>1625.3921553705052</v>
      </c>
      <c r="J212" s="146">
        <f>SUM(J195:J211)</f>
        <v>1625.3921553705052</v>
      </c>
      <c r="K212" s="128"/>
    </row>
    <row r="213" spans="1:11" ht="13.5" thickBot="1" x14ac:dyDescent="0.25"/>
    <row r="214" spans="1:11" ht="13.5" thickBot="1" x14ac:dyDescent="0.25">
      <c r="A214" s="304" t="s">
        <v>71</v>
      </c>
      <c r="B214" s="305"/>
      <c r="C214" s="305"/>
      <c r="D214" s="305"/>
      <c r="E214" s="305"/>
      <c r="F214" s="305"/>
      <c r="G214" s="305"/>
      <c r="H214" s="305"/>
      <c r="I214" s="305"/>
      <c r="J214" s="305"/>
      <c r="K214" s="306"/>
    </row>
    <row r="215" spans="1:11" ht="13.5" thickBot="1" x14ac:dyDescent="0.25">
      <c r="A215" s="190" t="s">
        <v>110</v>
      </c>
      <c r="B215" s="185">
        <v>20</v>
      </c>
      <c r="C215" s="191"/>
      <c r="D215" s="191"/>
      <c r="E215" s="191"/>
      <c r="F215" s="191"/>
      <c r="G215" s="191"/>
      <c r="H215" s="191"/>
      <c r="I215" s="191"/>
      <c r="J215" s="191"/>
      <c r="K215" s="192"/>
    </row>
    <row r="216" spans="1:11" ht="51.75" thickBot="1" x14ac:dyDescent="0.25">
      <c r="A216" s="163" t="s">
        <v>9</v>
      </c>
      <c r="B216" s="164" t="s">
        <v>10</v>
      </c>
      <c r="C216" s="164" t="s">
        <v>11</v>
      </c>
      <c r="D216" s="164" t="s">
        <v>12</v>
      </c>
      <c r="E216" s="164" t="s">
        <v>13</v>
      </c>
      <c r="F216" s="164" t="s">
        <v>14</v>
      </c>
      <c r="G216" s="164" t="s">
        <v>32</v>
      </c>
      <c r="H216" s="164" t="s">
        <v>16</v>
      </c>
      <c r="I216" s="164" t="s">
        <v>85</v>
      </c>
      <c r="J216" s="164" t="s">
        <v>33</v>
      </c>
      <c r="K216" s="165" t="s">
        <v>15</v>
      </c>
    </row>
    <row r="217" spans="1:11" x14ac:dyDescent="0.2">
      <c r="A217" s="266"/>
      <c r="B217" s="267">
        <f>VLOOKUP(B215,A$1:F$31,2,FALSE)</f>
        <v>40892</v>
      </c>
      <c r="C217" s="267">
        <f>DATE(YEAR(B217),IF(MONTH(B217)&lt;=3,3,IF(MONTH(B217)&lt;=6,6,IF(MONTH(B217)&lt;=9,9,12))),IF(OR(MONTH(B217)&lt;=3,MONTH(B217)&gt;=10),31,30))</f>
        <v>40908</v>
      </c>
      <c r="D217" s="268">
        <f>C217-B217+1</f>
        <v>17</v>
      </c>
      <c r="E217" s="259">
        <f>VLOOKUP(C217,'FERC Interest Rate'!$A:$B,2,TRUE)</f>
        <v>3.2500000000000001E-2</v>
      </c>
      <c r="F217" s="254">
        <f>VLOOKUP(B215,$A$1:$F$31,5,FALSE)</f>
        <v>20000</v>
      </c>
      <c r="G217" s="273"/>
      <c r="H217" s="273"/>
      <c r="I217" s="254">
        <f>F217*E217*(D217/(DATE(YEAR(C217),12,31)-DATE(YEAR(C217),1,1)+1))</f>
        <v>30.273972602739729</v>
      </c>
      <c r="J217" s="272"/>
      <c r="K217" s="255">
        <f>F217+I217-H217-J217</f>
        <v>20030.273972602739</v>
      </c>
    </row>
    <row r="218" spans="1:11" x14ac:dyDescent="0.2">
      <c r="A218" s="256"/>
      <c r="B218" s="257">
        <f>C217+1</f>
        <v>40909</v>
      </c>
      <c r="C218" s="257">
        <f>EOMONTH(C217,3)</f>
        <v>40999</v>
      </c>
      <c r="D218" s="258">
        <f t="shared" ref="D218:D242" si="93">C218-B218+1</f>
        <v>91</v>
      </c>
      <c r="E218" s="259">
        <f>VLOOKUP(C218,'FERC Interest Rate'!$A:$B,2,TRUE)</f>
        <v>3.2500000000000001E-2</v>
      </c>
      <c r="F218" s="260">
        <f>K217</f>
        <v>20030.273972602739</v>
      </c>
      <c r="G218" s="273"/>
      <c r="H218" s="272"/>
      <c r="I218" s="254">
        <f t="shared" ref="I218:I226" si="94">F218*E218*(D218/(DATE(YEAR(C218),12,31)-DATE(YEAR(C218),1,1)+1))</f>
        <v>161.85665375402351</v>
      </c>
      <c r="J218" s="272"/>
      <c r="K218" s="255">
        <f t="shared" ref="K218:K242" si="95">F218+I218-H218-J218</f>
        <v>20192.130626356764</v>
      </c>
    </row>
    <row r="219" spans="1:11" x14ac:dyDescent="0.2">
      <c r="A219" s="256"/>
      <c r="B219" s="257">
        <f t="shared" ref="B219:B242" si="96">C218+1</f>
        <v>41000</v>
      </c>
      <c r="C219" s="257">
        <f t="shared" ref="C219:C242" si="97">EOMONTH(C218,3)</f>
        <v>41090</v>
      </c>
      <c r="D219" s="258">
        <f t="shared" si="93"/>
        <v>91</v>
      </c>
      <c r="E219" s="259">
        <f>VLOOKUP(C219,'FERC Interest Rate'!$A:$B,2,TRUE)</f>
        <v>3.2500000000000001E-2</v>
      </c>
      <c r="F219" s="260">
        <f t="shared" ref="F219:F226" si="98">K218</f>
        <v>20192.130626356764</v>
      </c>
      <c r="G219" s="273"/>
      <c r="H219" s="272"/>
      <c r="I219" s="254">
        <f t="shared" si="94"/>
        <v>163.1645528072408</v>
      </c>
      <c r="J219" s="272"/>
      <c r="K219" s="255">
        <f t="shared" si="95"/>
        <v>20355.295179164004</v>
      </c>
    </row>
    <row r="220" spans="1:11" x14ac:dyDescent="0.2">
      <c r="A220" s="256"/>
      <c r="B220" s="257">
        <f t="shared" si="96"/>
        <v>41091</v>
      </c>
      <c r="C220" s="257">
        <f t="shared" si="97"/>
        <v>41182</v>
      </c>
      <c r="D220" s="258">
        <f t="shared" si="93"/>
        <v>92</v>
      </c>
      <c r="E220" s="259">
        <f>VLOOKUP(C220,'FERC Interest Rate'!$A:$B,2,TRUE)</f>
        <v>3.2500000000000001E-2</v>
      </c>
      <c r="F220" s="260">
        <f t="shared" si="98"/>
        <v>20355.295179164004</v>
      </c>
      <c r="G220" s="273"/>
      <c r="H220" s="272"/>
      <c r="I220" s="254">
        <f t="shared" si="94"/>
        <v>166.29052619043819</v>
      </c>
      <c r="J220" s="272"/>
      <c r="K220" s="255">
        <f t="shared" si="95"/>
        <v>20521.585705354442</v>
      </c>
    </row>
    <row r="221" spans="1:11" x14ac:dyDescent="0.2">
      <c r="A221" s="256"/>
      <c r="B221" s="257">
        <f t="shared" si="96"/>
        <v>41183</v>
      </c>
      <c r="C221" s="257">
        <f t="shared" si="97"/>
        <v>41274</v>
      </c>
      <c r="D221" s="258">
        <f t="shared" si="93"/>
        <v>92</v>
      </c>
      <c r="E221" s="259">
        <f>VLOOKUP(C221,'FERC Interest Rate'!$A:$B,2,TRUE)</f>
        <v>3.2500000000000001E-2</v>
      </c>
      <c r="F221" s="260">
        <f t="shared" si="98"/>
        <v>20521.585705354442</v>
      </c>
      <c r="G221" s="273"/>
      <c r="H221" s="272"/>
      <c r="I221" s="254">
        <f t="shared" si="94"/>
        <v>167.64901983336009</v>
      </c>
      <c r="J221" s="272"/>
      <c r="K221" s="255">
        <f t="shared" si="95"/>
        <v>20689.234725187802</v>
      </c>
    </row>
    <row r="222" spans="1:11" x14ac:dyDescent="0.2">
      <c r="A222" s="256"/>
      <c r="B222" s="257">
        <f t="shared" si="96"/>
        <v>41275</v>
      </c>
      <c r="C222" s="257">
        <f t="shared" si="97"/>
        <v>41364</v>
      </c>
      <c r="D222" s="258">
        <f t="shared" si="93"/>
        <v>90</v>
      </c>
      <c r="E222" s="259">
        <f>VLOOKUP(C222,'FERC Interest Rate'!$A:$B,2,TRUE)</f>
        <v>3.2500000000000001E-2</v>
      </c>
      <c r="F222" s="260">
        <f t="shared" si="98"/>
        <v>20689.234725187802</v>
      </c>
      <c r="G222" s="273"/>
      <c r="H222" s="272"/>
      <c r="I222" s="254">
        <f t="shared" si="94"/>
        <v>165.79729197582006</v>
      </c>
      <c r="J222" s="272"/>
      <c r="K222" s="255">
        <f t="shared" si="95"/>
        <v>20855.032017163623</v>
      </c>
    </row>
    <row r="223" spans="1:11" x14ac:dyDescent="0.2">
      <c r="A223" s="156"/>
      <c r="B223" s="167">
        <f t="shared" ref="B223:B226" si="99">C222+1</f>
        <v>41365</v>
      </c>
      <c r="C223" s="167">
        <f t="shared" si="97"/>
        <v>41455</v>
      </c>
      <c r="D223" s="142">
        <f t="shared" ref="D223:D226" si="100">C223-B223+1</f>
        <v>91</v>
      </c>
      <c r="E223" s="160">
        <f>VLOOKUP(C223,'FERC Interest Rate'!$A:$B,2,TRUE)</f>
        <v>3.2500000000000001E-2</v>
      </c>
      <c r="F223" s="148">
        <f t="shared" si="98"/>
        <v>20855.032017163623</v>
      </c>
      <c r="G223" s="273"/>
      <c r="H223" s="147"/>
      <c r="I223" s="254">
        <f t="shared" si="94"/>
        <v>168.98289641304498</v>
      </c>
      <c r="J223" s="148"/>
      <c r="K223" s="130">
        <f t="shared" ref="K223:K226" si="101">F223+I223-H223-J223</f>
        <v>21024.01491357667</v>
      </c>
    </row>
    <row r="224" spans="1:11" x14ac:dyDescent="0.2">
      <c r="A224" s="156"/>
      <c r="B224" s="167">
        <f t="shared" si="99"/>
        <v>41456</v>
      </c>
      <c r="C224" s="167">
        <f t="shared" si="97"/>
        <v>41547</v>
      </c>
      <c r="D224" s="142">
        <f t="shared" si="100"/>
        <v>92</v>
      </c>
      <c r="E224" s="160">
        <f>VLOOKUP(C224,'FERC Interest Rate'!$A:$B,2,TRUE)</f>
        <v>3.2500000000000001E-2</v>
      </c>
      <c r="F224" s="148">
        <f t="shared" si="98"/>
        <v>21024.01491357667</v>
      </c>
      <c r="G224" s="147"/>
      <c r="H224" s="147"/>
      <c r="I224" s="254">
        <f t="shared" si="94"/>
        <v>172.22412216875136</v>
      </c>
      <c r="J224" s="148"/>
      <c r="K224" s="130">
        <f t="shared" si="101"/>
        <v>21196.239035745421</v>
      </c>
    </row>
    <row r="225" spans="1:11" x14ac:dyDescent="0.2">
      <c r="A225" s="156"/>
      <c r="B225" s="167">
        <f t="shared" si="99"/>
        <v>41548</v>
      </c>
      <c r="C225" s="167">
        <f t="shared" si="97"/>
        <v>41639</v>
      </c>
      <c r="D225" s="142">
        <f t="shared" si="100"/>
        <v>92</v>
      </c>
      <c r="E225" s="160">
        <f>VLOOKUP(C225,'FERC Interest Rate'!$A:$B,2,TRUE)</f>
        <v>3.2500000000000001E-2</v>
      </c>
      <c r="F225" s="148">
        <f t="shared" si="98"/>
        <v>21196.239035745421</v>
      </c>
      <c r="G225" s="147"/>
      <c r="H225" s="147"/>
      <c r="I225" s="254">
        <f t="shared" si="94"/>
        <v>173.63494442980499</v>
      </c>
      <c r="J225" s="148"/>
      <c r="K225" s="130">
        <f t="shared" si="101"/>
        <v>21369.873980175227</v>
      </c>
    </row>
    <row r="226" spans="1:11" x14ac:dyDescent="0.2">
      <c r="A226" s="156"/>
      <c r="B226" s="167">
        <f t="shared" si="99"/>
        <v>41640</v>
      </c>
      <c r="C226" s="167">
        <f t="shared" si="97"/>
        <v>41729</v>
      </c>
      <c r="D226" s="142">
        <f t="shared" si="100"/>
        <v>90</v>
      </c>
      <c r="E226" s="160">
        <f>VLOOKUP(C226,'FERC Interest Rate'!$A:$B,2,TRUE)</f>
        <v>3.2500000000000001E-2</v>
      </c>
      <c r="F226" s="148">
        <f t="shared" si="98"/>
        <v>21369.873980175227</v>
      </c>
      <c r="G226" s="147"/>
      <c r="H226" s="147">
        <f>($F$217/20)*4</f>
        <v>4000</v>
      </c>
      <c r="I226" s="254">
        <f t="shared" si="94"/>
        <v>171.25172984113024</v>
      </c>
      <c r="J226" s="148">
        <f>(SUM($I$217:$I$242)/20)*4</f>
        <v>308.22514200327083</v>
      </c>
      <c r="K226" s="130">
        <f t="shared" si="101"/>
        <v>17232.900568013087</v>
      </c>
    </row>
    <row r="227" spans="1:11" x14ac:dyDescent="0.2">
      <c r="A227" s="156"/>
      <c r="B227" s="167">
        <f t="shared" si="96"/>
        <v>41730</v>
      </c>
      <c r="C227" s="167">
        <f t="shared" si="97"/>
        <v>41820</v>
      </c>
      <c r="D227" s="142">
        <f t="shared" si="93"/>
        <v>91</v>
      </c>
      <c r="E227" s="160">
        <f>VLOOKUP(C227,'FERC Interest Rate'!$A:$B,2,TRUE)</f>
        <v>3.2500000000000001E-2</v>
      </c>
      <c r="F227" s="148">
        <f t="shared" ref="F227:F242" si="102">K226</f>
        <v>17232.900568013087</v>
      </c>
      <c r="G227" s="147">
        <f t="shared" ref="G227:G242" si="103">F227*E227*(D227/(DATE(YEAR(C227),12,31)-DATE(YEAR(C227),1,1)+1))</f>
        <v>139.63370802711972</v>
      </c>
      <c r="H227" s="147">
        <f t="shared" ref="H227:H242" si="104">$F$217/20</f>
        <v>1000</v>
      </c>
      <c r="I227" s="148">
        <v>0</v>
      </c>
      <c r="J227" s="148">
        <f>SUM($I$217:$I$242)/20</f>
        <v>77.056285500817708</v>
      </c>
      <c r="K227" s="130">
        <f t="shared" si="95"/>
        <v>16155.844282512269</v>
      </c>
    </row>
    <row r="228" spans="1:11" x14ac:dyDescent="0.2">
      <c r="A228" s="156"/>
      <c r="B228" s="167">
        <f t="shared" si="96"/>
        <v>41821</v>
      </c>
      <c r="C228" s="167">
        <f t="shared" si="97"/>
        <v>41912</v>
      </c>
      <c r="D228" s="142">
        <f t="shared" si="93"/>
        <v>92</v>
      </c>
      <c r="E228" s="160">
        <f>VLOOKUP(C228,'FERC Interest Rate'!$A:$B,2,TRUE)</f>
        <v>3.2500000000000001E-2</v>
      </c>
      <c r="F228" s="148">
        <f t="shared" si="102"/>
        <v>16155.844282512269</v>
      </c>
      <c r="G228" s="147">
        <f t="shared" si="103"/>
        <v>132.34513535537451</v>
      </c>
      <c r="H228" s="147">
        <f t="shared" si="104"/>
        <v>1000</v>
      </c>
      <c r="I228" s="148">
        <v>0</v>
      </c>
      <c r="J228" s="148">
        <f t="shared" ref="J228:J242" si="105">SUM($I$217:$I$242)/20</f>
        <v>77.056285500817708</v>
      </c>
      <c r="K228" s="130">
        <f t="shared" si="95"/>
        <v>15078.787997011452</v>
      </c>
    </row>
    <row r="229" spans="1:11" x14ac:dyDescent="0.2">
      <c r="A229" s="156"/>
      <c r="B229" s="167">
        <f t="shared" si="96"/>
        <v>41913</v>
      </c>
      <c r="C229" s="167">
        <f t="shared" si="97"/>
        <v>42004</v>
      </c>
      <c r="D229" s="142">
        <f t="shared" si="93"/>
        <v>92</v>
      </c>
      <c r="E229" s="160">
        <f>VLOOKUP(C229,'FERC Interest Rate'!$A:$B,2,TRUE)</f>
        <v>3.2500000000000001E-2</v>
      </c>
      <c r="F229" s="148">
        <f t="shared" si="102"/>
        <v>15078.787997011452</v>
      </c>
      <c r="G229" s="147">
        <f t="shared" si="103"/>
        <v>123.52212633168287</v>
      </c>
      <c r="H229" s="147">
        <f t="shared" si="104"/>
        <v>1000</v>
      </c>
      <c r="I229" s="148">
        <v>0</v>
      </c>
      <c r="J229" s="148">
        <f t="shared" si="105"/>
        <v>77.056285500817708</v>
      </c>
      <c r="K229" s="130">
        <f t="shared" si="95"/>
        <v>14001.731711510634</v>
      </c>
    </row>
    <row r="230" spans="1:11" x14ac:dyDescent="0.2">
      <c r="A230" s="156"/>
      <c r="B230" s="167">
        <f t="shared" si="96"/>
        <v>42005</v>
      </c>
      <c r="C230" s="167">
        <f t="shared" si="97"/>
        <v>42094</v>
      </c>
      <c r="D230" s="142">
        <f t="shared" si="93"/>
        <v>90</v>
      </c>
      <c r="E230" s="160">
        <f>VLOOKUP(C230,'FERC Interest Rate'!$A:$B,2,TRUE)</f>
        <v>3.2500000000000001E-2</v>
      </c>
      <c r="F230" s="148">
        <f t="shared" si="102"/>
        <v>14001.731711510634</v>
      </c>
      <c r="G230" s="147">
        <f t="shared" si="103"/>
        <v>112.20565823607836</v>
      </c>
      <c r="H230" s="147">
        <f t="shared" si="104"/>
        <v>1000</v>
      </c>
      <c r="I230" s="148">
        <v>0</v>
      </c>
      <c r="J230" s="148">
        <f t="shared" si="105"/>
        <v>77.056285500817708</v>
      </c>
      <c r="K230" s="130">
        <f t="shared" si="95"/>
        <v>12924.675426009817</v>
      </c>
    </row>
    <row r="231" spans="1:11" x14ac:dyDescent="0.2">
      <c r="A231" s="156"/>
      <c r="B231" s="167">
        <f t="shared" si="96"/>
        <v>42095</v>
      </c>
      <c r="C231" s="167">
        <f t="shared" si="97"/>
        <v>42185</v>
      </c>
      <c r="D231" s="142">
        <f t="shared" si="93"/>
        <v>91</v>
      </c>
      <c r="E231" s="160">
        <f>VLOOKUP(C231,'FERC Interest Rate'!$A:$B,2,TRUE)</f>
        <v>3.2500000000000001E-2</v>
      </c>
      <c r="F231" s="148">
        <f t="shared" si="102"/>
        <v>12924.675426009817</v>
      </c>
      <c r="G231" s="147">
        <f t="shared" si="103"/>
        <v>104.72528102033982</v>
      </c>
      <c r="H231" s="147">
        <f t="shared" si="104"/>
        <v>1000</v>
      </c>
      <c r="I231" s="148">
        <v>0</v>
      </c>
      <c r="J231" s="148">
        <f t="shared" si="105"/>
        <v>77.056285500817708</v>
      </c>
      <c r="K231" s="130">
        <f t="shared" si="95"/>
        <v>11847.619140508999</v>
      </c>
    </row>
    <row r="232" spans="1:11" x14ac:dyDescent="0.2">
      <c r="A232" s="156"/>
      <c r="B232" s="167">
        <f t="shared" si="96"/>
        <v>42186</v>
      </c>
      <c r="C232" s="167">
        <f t="shared" si="97"/>
        <v>42277</v>
      </c>
      <c r="D232" s="142">
        <f t="shared" si="93"/>
        <v>92</v>
      </c>
      <c r="E232" s="160">
        <f>VLOOKUP(C232,'FERC Interest Rate'!$A:$B,2,TRUE)</f>
        <v>3.2500000000000001E-2</v>
      </c>
      <c r="F232" s="148">
        <f t="shared" si="102"/>
        <v>11847.619140508999</v>
      </c>
      <c r="G232" s="147">
        <f t="shared" si="103"/>
        <v>97.053099260607979</v>
      </c>
      <c r="H232" s="147">
        <f t="shared" si="104"/>
        <v>1000</v>
      </c>
      <c r="I232" s="148">
        <v>0</v>
      </c>
      <c r="J232" s="148">
        <f t="shared" si="105"/>
        <v>77.056285500817708</v>
      </c>
      <c r="K232" s="130">
        <f t="shared" si="95"/>
        <v>10770.562855008182</v>
      </c>
    </row>
    <row r="233" spans="1:11" x14ac:dyDescent="0.2">
      <c r="A233" s="156"/>
      <c r="B233" s="167">
        <f t="shared" si="96"/>
        <v>42278</v>
      </c>
      <c r="C233" s="167">
        <f t="shared" si="97"/>
        <v>42369</v>
      </c>
      <c r="D233" s="142">
        <f t="shared" si="93"/>
        <v>92</v>
      </c>
      <c r="E233" s="160">
        <f>VLOOKUP(C233,'FERC Interest Rate'!$A:$B,2,TRUE)</f>
        <v>3.2500000000000001E-2</v>
      </c>
      <c r="F233" s="148">
        <f t="shared" si="102"/>
        <v>10770.562855008182</v>
      </c>
      <c r="G233" s="147">
        <f t="shared" si="103"/>
        <v>88.230090236916354</v>
      </c>
      <c r="H233" s="147">
        <f t="shared" si="104"/>
        <v>1000</v>
      </c>
      <c r="I233" s="148">
        <v>0</v>
      </c>
      <c r="J233" s="148">
        <f t="shared" si="105"/>
        <v>77.056285500817708</v>
      </c>
      <c r="K233" s="130">
        <f t="shared" si="95"/>
        <v>9693.5065695073645</v>
      </c>
    </row>
    <row r="234" spans="1:11" x14ac:dyDescent="0.2">
      <c r="A234" s="156"/>
      <c r="B234" s="167">
        <f t="shared" si="96"/>
        <v>42370</v>
      </c>
      <c r="C234" s="167">
        <f t="shared" si="97"/>
        <v>42460</v>
      </c>
      <c r="D234" s="142">
        <f t="shared" si="93"/>
        <v>91</v>
      </c>
      <c r="E234" s="160">
        <f>VLOOKUP(C234,'FERC Interest Rate'!$A:$B,2,TRUE)</f>
        <v>3.2500000000000001E-2</v>
      </c>
      <c r="F234" s="148">
        <f t="shared" si="102"/>
        <v>9693.5065695073645</v>
      </c>
      <c r="G234" s="147">
        <f t="shared" si="103"/>
        <v>78.329359779557464</v>
      </c>
      <c r="H234" s="147">
        <f t="shared" si="104"/>
        <v>1000</v>
      </c>
      <c r="I234" s="148">
        <v>0</v>
      </c>
      <c r="J234" s="148">
        <f t="shared" si="105"/>
        <v>77.056285500817708</v>
      </c>
      <c r="K234" s="130">
        <f t="shared" si="95"/>
        <v>8616.450284006547</v>
      </c>
    </row>
    <row r="235" spans="1:11" x14ac:dyDescent="0.2">
      <c r="A235" s="156"/>
      <c r="B235" s="167">
        <f t="shared" si="96"/>
        <v>42461</v>
      </c>
      <c r="C235" s="167">
        <f t="shared" si="97"/>
        <v>42551</v>
      </c>
      <c r="D235" s="142">
        <f t="shared" si="93"/>
        <v>91</v>
      </c>
      <c r="E235" s="160">
        <f>VLOOKUP(C235,'FERC Interest Rate'!$A:$B,2,TRUE)</f>
        <v>3.2500000000000001E-2</v>
      </c>
      <c r="F235" s="148">
        <f t="shared" si="102"/>
        <v>8616.450284006547</v>
      </c>
      <c r="G235" s="147">
        <f t="shared" si="103"/>
        <v>69.626097581828859</v>
      </c>
      <c r="H235" s="147">
        <f t="shared" si="104"/>
        <v>1000</v>
      </c>
      <c r="I235" s="148">
        <v>0</v>
      </c>
      <c r="J235" s="148">
        <f t="shared" si="105"/>
        <v>77.056285500817708</v>
      </c>
      <c r="K235" s="130">
        <f t="shared" si="95"/>
        <v>7539.3939985057295</v>
      </c>
    </row>
    <row r="236" spans="1:11" x14ac:dyDescent="0.2">
      <c r="A236" s="156"/>
      <c r="B236" s="167">
        <f t="shared" si="96"/>
        <v>42552</v>
      </c>
      <c r="C236" s="167">
        <f t="shared" si="97"/>
        <v>42643</v>
      </c>
      <c r="D236" s="142">
        <f t="shared" si="93"/>
        <v>92</v>
      </c>
      <c r="E236" s="160">
        <f>VLOOKUP(C236,'FERC Interest Rate'!$A:$B,2,TRUE)</f>
        <v>4.0333330000000001E-2</v>
      </c>
      <c r="F236" s="148">
        <f t="shared" si="102"/>
        <v>7539.3939985057295</v>
      </c>
      <c r="G236" s="147">
        <f t="shared" si="103"/>
        <v>76.437638483718857</v>
      </c>
      <c r="H236" s="147">
        <f t="shared" si="104"/>
        <v>1000</v>
      </c>
      <c r="I236" s="148">
        <v>0</v>
      </c>
      <c r="J236" s="148">
        <f t="shared" si="105"/>
        <v>77.056285500817708</v>
      </c>
      <c r="K236" s="130">
        <f t="shared" si="95"/>
        <v>6462.3377130049121</v>
      </c>
    </row>
    <row r="237" spans="1:11" x14ac:dyDescent="0.2">
      <c r="A237" s="169"/>
      <c r="B237" s="167">
        <f t="shared" si="96"/>
        <v>42644</v>
      </c>
      <c r="C237" s="167">
        <f t="shared" si="97"/>
        <v>42735</v>
      </c>
      <c r="D237" s="142">
        <f t="shared" si="93"/>
        <v>92</v>
      </c>
      <c r="E237" s="160">
        <f>VLOOKUP(C237,'FERC Interest Rate'!$A:$B,2,TRUE)</f>
        <v>4.2833329999999996E-2</v>
      </c>
      <c r="F237" s="148">
        <f t="shared" si="102"/>
        <v>6462.3377130049121</v>
      </c>
      <c r="G237" s="147">
        <f t="shared" si="103"/>
        <v>69.579007739338223</v>
      </c>
      <c r="H237" s="147">
        <f t="shared" si="104"/>
        <v>1000</v>
      </c>
      <c r="I237" s="148">
        <v>0</v>
      </c>
      <c r="J237" s="148">
        <f t="shared" si="105"/>
        <v>77.056285500817708</v>
      </c>
      <c r="K237" s="130">
        <f t="shared" si="95"/>
        <v>5385.2814275040946</v>
      </c>
    </row>
    <row r="238" spans="1:11" x14ac:dyDescent="0.2">
      <c r="A238" s="169"/>
      <c r="B238" s="167">
        <f t="shared" si="96"/>
        <v>42736</v>
      </c>
      <c r="C238" s="167">
        <f t="shared" si="97"/>
        <v>42825</v>
      </c>
      <c r="D238" s="142">
        <f t="shared" si="93"/>
        <v>90</v>
      </c>
      <c r="E238" s="160">
        <f>VLOOKUP(C238,'FERC Interest Rate'!$A:$B,2,TRUE)</f>
        <v>4.7066670000000005E-2</v>
      </c>
      <c r="F238" s="148">
        <f t="shared" si="102"/>
        <v>5385.2814275040946</v>
      </c>
      <c r="G238" s="147">
        <f t="shared" si="103"/>
        <v>62.498777376689794</v>
      </c>
      <c r="H238" s="147">
        <f t="shared" si="104"/>
        <v>1000</v>
      </c>
      <c r="I238" s="148">
        <v>0</v>
      </c>
      <c r="J238" s="148">
        <f t="shared" si="105"/>
        <v>77.056285500817708</v>
      </c>
      <c r="K238" s="130">
        <f t="shared" si="95"/>
        <v>4308.2251420032771</v>
      </c>
    </row>
    <row r="239" spans="1:11" x14ac:dyDescent="0.2">
      <c r="A239" s="169"/>
      <c r="B239" s="167">
        <f t="shared" si="96"/>
        <v>42826</v>
      </c>
      <c r="C239" s="167">
        <f t="shared" si="97"/>
        <v>42916</v>
      </c>
      <c r="D239" s="142">
        <f t="shared" si="93"/>
        <v>91</v>
      </c>
      <c r="E239" s="160">
        <f>VLOOKUP(C239,'FERC Interest Rate'!$A:$B,2,TRUE)</f>
        <v>5.21E-2</v>
      </c>
      <c r="F239" s="148">
        <f t="shared" si="102"/>
        <v>4308.2251420032771</v>
      </c>
      <c r="G239" s="147">
        <f t="shared" si="103"/>
        <v>55.960893755484207</v>
      </c>
      <c r="H239" s="147">
        <f t="shared" si="104"/>
        <v>1000</v>
      </c>
      <c r="I239" s="148">
        <v>0</v>
      </c>
      <c r="J239" s="148">
        <f t="shared" si="105"/>
        <v>77.056285500817708</v>
      </c>
      <c r="K239" s="130">
        <f t="shared" si="95"/>
        <v>3231.1688565024592</v>
      </c>
    </row>
    <row r="240" spans="1:11" x14ac:dyDescent="0.2">
      <c r="A240" s="169"/>
      <c r="B240" s="167">
        <f t="shared" si="96"/>
        <v>42917</v>
      </c>
      <c r="C240" s="167">
        <f t="shared" si="97"/>
        <v>43008</v>
      </c>
      <c r="D240" s="142">
        <f t="shared" si="93"/>
        <v>92</v>
      </c>
      <c r="E240" s="160">
        <f>VLOOKUP(C240,'FERC Interest Rate'!$A:$B,2,TRUE)</f>
        <v>5.7066670000000007E-2</v>
      </c>
      <c r="F240" s="148">
        <f t="shared" si="102"/>
        <v>3231.1688565024592</v>
      </c>
      <c r="G240" s="147">
        <f t="shared" si="103"/>
        <v>46.476899479572317</v>
      </c>
      <c r="H240" s="147">
        <f t="shared" si="104"/>
        <v>1000</v>
      </c>
      <c r="I240" s="148">
        <v>0</v>
      </c>
      <c r="J240" s="148">
        <f t="shared" si="105"/>
        <v>77.056285500817708</v>
      </c>
      <c r="K240" s="130">
        <f t="shared" si="95"/>
        <v>2154.1125710016413</v>
      </c>
    </row>
    <row r="241" spans="1:11" x14ac:dyDescent="0.2">
      <c r="A241" s="169"/>
      <c r="B241" s="167">
        <f t="shared" si="96"/>
        <v>43009</v>
      </c>
      <c r="C241" s="167">
        <f t="shared" si="97"/>
        <v>43100</v>
      </c>
      <c r="D241" s="142">
        <f t="shared" si="93"/>
        <v>92</v>
      </c>
      <c r="E241" s="160">
        <f>VLOOKUP(C241,'FERC Interest Rate'!$A:$B,2,TRUE)</f>
        <v>6.2033329999999998E-2</v>
      </c>
      <c r="F241" s="148">
        <f t="shared" si="102"/>
        <v>2154.1125710016413</v>
      </c>
      <c r="G241" s="147">
        <f t="shared" si="103"/>
        <v>33.681269560593371</v>
      </c>
      <c r="H241" s="147">
        <f t="shared" si="104"/>
        <v>1000</v>
      </c>
      <c r="I241" s="148">
        <v>0</v>
      </c>
      <c r="J241" s="148">
        <f t="shared" si="105"/>
        <v>77.056285500817708</v>
      </c>
      <c r="K241" s="130">
        <f t="shared" si="95"/>
        <v>1077.0562855008236</v>
      </c>
    </row>
    <row r="242" spans="1:11" x14ac:dyDescent="0.2">
      <c r="A242" s="169"/>
      <c r="B242" s="167">
        <f t="shared" si="96"/>
        <v>43101</v>
      </c>
      <c r="C242" s="167">
        <f t="shared" si="97"/>
        <v>43190</v>
      </c>
      <c r="D242" s="142">
        <f t="shared" si="93"/>
        <v>90</v>
      </c>
      <c r="E242" s="160">
        <f>VLOOKUP(C242,'FERC Interest Rate'!$A:$B,2,TRUE)</f>
        <v>6.6699999999999995E-2</v>
      </c>
      <c r="F242" s="148">
        <f t="shared" si="102"/>
        <v>1077.0562855008236</v>
      </c>
      <c r="G242" s="147">
        <f t="shared" si="103"/>
        <v>17.713887347565599</v>
      </c>
      <c r="H242" s="147">
        <f t="shared" si="104"/>
        <v>1000</v>
      </c>
      <c r="I242" s="148">
        <v>0</v>
      </c>
      <c r="J242" s="148">
        <f t="shared" si="105"/>
        <v>77.056285500817708</v>
      </c>
      <c r="K242" s="130">
        <f t="shared" si="95"/>
        <v>5.8975047068088315E-12</v>
      </c>
    </row>
    <row r="243" spans="1:11" ht="13.5" thickBot="1" x14ac:dyDescent="0.25">
      <c r="A243" s="129"/>
      <c r="B243" s="168"/>
      <c r="C243" s="168"/>
      <c r="D243" s="121"/>
      <c r="E243" s="122"/>
      <c r="F243" s="145"/>
      <c r="G243" s="145"/>
      <c r="H243" s="146">
        <f>SUM(H226:H242)</f>
        <v>20000</v>
      </c>
      <c r="I243" s="123">
        <f>SUM(I217:I242)</f>
        <v>1541.1257100163541</v>
      </c>
      <c r="J243" s="123">
        <f>SUM(J226:J242)</f>
        <v>1541.1257100163541</v>
      </c>
      <c r="K243" s="128"/>
    </row>
    <row r="244" spans="1:11" ht="13.5" thickBot="1" x14ac:dyDescent="0.25"/>
    <row r="245" spans="1:11" ht="13.5" thickBot="1" x14ac:dyDescent="0.25">
      <c r="A245" s="304" t="s">
        <v>71</v>
      </c>
      <c r="B245" s="305"/>
      <c r="C245" s="305"/>
      <c r="D245" s="305"/>
      <c r="E245" s="305"/>
      <c r="F245" s="305"/>
      <c r="G245" s="305"/>
      <c r="H245" s="305"/>
      <c r="I245" s="305"/>
      <c r="J245" s="305"/>
      <c r="K245" s="306"/>
    </row>
    <row r="246" spans="1:11" ht="13.5" thickBot="1" x14ac:dyDescent="0.25">
      <c r="A246" s="190" t="s">
        <v>110</v>
      </c>
      <c r="B246" s="185">
        <v>21</v>
      </c>
      <c r="C246" s="191"/>
      <c r="D246" s="191"/>
      <c r="E246" s="191"/>
      <c r="F246" s="191"/>
      <c r="G246" s="191"/>
      <c r="H246" s="191"/>
      <c r="I246" s="191"/>
      <c r="J246" s="191"/>
      <c r="K246" s="192"/>
    </row>
    <row r="247" spans="1:11" ht="51.75" thickBot="1" x14ac:dyDescent="0.25">
      <c r="A247" s="163" t="s">
        <v>9</v>
      </c>
      <c r="B247" s="164" t="s">
        <v>10</v>
      </c>
      <c r="C247" s="164" t="s">
        <v>11</v>
      </c>
      <c r="D247" s="164" t="s">
        <v>12</v>
      </c>
      <c r="E247" s="164" t="s">
        <v>13</v>
      </c>
      <c r="F247" s="164" t="s">
        <v>14</v>
      </c>
      <c r="G247" s="164" t="s">
        <v>32</v>
      </c>
      <c r="H247" s="164" t="s">
        <v>16</v>
      </c>
      <c r="I247" s="164" t="s">
        <v>85</v>
      </c>
      <c r="J247" s="164" t="s">
        <v>33</v>
      </c>
      <c r="K247" s="165" t="s">
        <v>15</v>
      </c>
    </row>
    <row r="248" spans="1:11" x14ac:dyDescent="0.2">
      <c r="A248" s="266"/>
      <c r="B248" s="267">
        <f>VLOOKUP(B246,A$1:F$31,2,FALSE)</f>
        <v>40911</v>
      </c>
      <c r="C248" s="267">
        <f>DATE(YEAR(B248),IF(MONTH(B248)&lt;=3,3,IF(MONTH(B248)&lt;=6,6,IF(MONTH(B248)&lt;=9,9,12))),IF(OR(MONTH(B248)&lt;=3,MONTH(B248)&gt;=10),31,30))</f>
        <v>40999</v>
      </c>
      <c r="D248" s="268">
        <f>C248-B248+1</f>
        <v>89</v>
      </c>
      <c r="E248" s="259">
        <f>VLOOKUP(C248,'FERC Interest Rate'!$A:$B,2,TRUE)</f>
        <v>3.2500000000000001E-2</v>
      </c>
      <c r="F248" s="254">
        <f>VLOOKUP(B246,$A$1:$F$31,5,FALSE)</f>
        <v>20000</v>
      </c>
      <c r="G248" s="273"/>
      <c r="H248" s="273"/>
      <c r="I248" s="254">
        <f>F248*E248*(D248/(DATE(YEAR(C248),12,31)-DATE(YEAR(C248),1,1)+1))</f>
        <v>158.06010928961749</v>
      </c>
      <c r="J248" s="272"/>
      <c r="K248" s="255">
        <f>F248+I248-H248-J248</f>
        <v>20158.060109289618</v>
      </c>
    </row>
    <row r="249" spans="1:11" x14ac:dyDescent="0.2">
      <c r="A249" s="256"/>
      <c r="B249" s="257">
        <f>C248+1</f>
        <v>41000</v>
      </c>
      <c r="C249" s="257">
        <f>EOMONTH(C248,3)</f>
        <v>41090</v>
      </c>
      <c r="D249" s="258">
        <f t="shared" ref="D249:D272" si="106">C249-B249+1</f>
        <v>91</v>
      </c>
      <c r="E249" s="259">
        <f>VLOOKUP(C249,'FERC Interest Rate'!$A:$B,2,TRUE)</f>
        <v>3.2500000000000001E-2</v>
      </c>
      <c r="F249" s="260">
        <f>K248</f>
        <v>20158.060109289618</v>
      </c>
      <c r="G249" s="273"/>
      <c r="H249" s="272"/>
      <c r="I249" s="254">
        <f t="shared" ref="I249:I256" si="107">F249*E249*(D249/(DATE(YEAR(C249),12,31)-DATE(YEAR(C249),1,1)+1))</f>
        <v>162.88924254979247</v>
      </c>
      <c r="J249" s="272"/>
      <c r="K249" s="255">
        <f t="shared" ref="K249:K272" si="108">F249+I249-H249-J249</f>
        <v>20320.949351839408</v>
      </c>
    </row>
    <row r="250" spans="1:11" x14ac:dyDescent="0.2">
      <c r="A250" s="256"/>
      <c r="B250" s="257">
        <f t="shared" ref="B250:B272" si="109">C249+1</f>
        <v>41091</v>
      </c>
      <c r="C250" s="257">
        <f t="shared" ref="C250:C272" si="110">EOMONTH(C249,3)</f>
        <v>41182</v>
      </c>
      <c r="D250" s="258">
        <f t="shared" si="106"/>
        <v>92</v>
      </c>
      <c r="E250" s="259">
        <f>VLOOKUP(C250,'FERC Interest Rate'!$A:$B,2,TRUE)</f>
        <v>3.2500000000000001E-2</v>
      </c>
      <c r="F250" s="260">
        <f t="shared" ref="F250:F257" si="111">K249</f>
        <v>20320.949351839408</v>
      </c>
      <c r="G250" s="273"/>
      <c r="H250" s="272"/>
      <c r="I250" s="254">
        <f t="shared" si="107"/>
        <v>166.00994142622903</v>
      </c>
      <c r="J250" s="272"/>
      <c r="K250" s="255">
        <f t="shared" si="108"/>
        <v>20486.959293265638</v>
      </c>
    </row>
    <row r="251" spans="1:11" x14ac:dyDescent="0.2">
      <c r="A251" s="256"/>
      <c r="B251" s="257">
        <f t="shared" si="109"/>
        <v>41183</v>
      </c>
      <c r="C251" s="257">
        <f t="shared" si="110"/>
        <v>41274</v>
      </c>
      <c r="D251" s="258">
        <f t="shared" si="106"/>
        <v>92</v>
      </c>
      <c r="E251" s="259">
        <f>VLOOKUP(C251,'FERC Interest Rate'!$A:$B,2,TRUE)</f>
        <v>3.2500000000000001E-2</v>
      </c>
      <c r="F251" s="260">
        <f t="shared" si="111"/>
        <v>20486.959293265638</v>
      </c>
      <c r="G251" s="273"/>
      <c r="H251" s="272"/>
      <c r="I251" s="254">
        <f t="shared" si="107"/>
        <v>167.36614286028487</v>
      </c>
      <c r="J251" s="272"/>
      <c r="K251" s="255">
        <f t="shared" si="108"/>
        <v>20654.325436125924</v>
      </c>
    </row>
    <row r="252" spans="1:11" x14ac:dyDescent="0.2">
      <c r="A252" s="256"/>
      <c r="B252" s="257">
        <f t="shared" si="109"/>
        <v>41275</v>
      </c>
      <c r="C252" s="257">
        <f t="shared" si="110"/>
        <v>41364</v>
      </c>
      <c r="D252" s="258">
        <f t="shared" si="106"/>
        <v>90</v>
      </c>
      <c r="E252" s="259">
        <f>VLOOKUP(C252,'FERC Interest Rate'!$A:$B,2,TRUE)</f>
        <v>3.2500000000000001E-2</v>
      </c>
      <c r="F252" s="260">
        <f t="shared" si="111"/>
        <v>20654.325436125924</v>
      </c>
      <c r="G252" s="273"/>
      <c r="H252" s="272"/>
      <c r="I252" s="254">
        <f t="shared" si="107"/>
        <v>165.51753945388583</v>
      </c>
      <c r="J252" s="272"/>
      <c r="K252" s="255">
        <f t="shared" si="108"/>
        <v>20819.84297557981</v>
      </c>
    </row>
    <row r="253" spans="1:11" x14ac:dyDescent="0.2">
      <c r="A253" s="156"/>
      <c r="B253" s="167">
        <f t="shared" ref="B253:B257" si="112">C252+1</f>
        <v>41365</v>
      </c>
      <c r="C253" s="167">
        <f t="shared" si="110"/>
        <v>41455</v>
      </c>
      <c r="D253" s="142">
        <f t="shared" ref="D253:D257" si="113">C253-B253+1</f>
        <v>91</v>
      </c>
      <c r="E253" s="160">
        <f>VLOOKUP(C253,'FERC Interest Rate'!$A:$B,2,TRUE)</f>
        <v>3.2500000000000001E-2</v>
      </c>
      <c r="F253" s="148">
        <f t="shared" si="111"/>
        <v>20819.84297557981</v>
      </c>
      <c r="G253" s="273"/>
      <c r="H253" s="147"/>
      <c r="I253" s="254">
        <f t="shared" si="107"/>
        <v>168.69776876788299</v>
      </c>
      <c r="J253" s="148"/>
      <c r="K253" s="130">
        <f t="shared" ref="K253:K257" si="114">F253+I253-H253-J253</f>
        <v>20988.540744347694</v>
      </c>
    </row>
    <row r="254" spans="1:11" x14ac:dyDescent="0.2">
      <c r="A254" s="156"/>
      <c r="B254" s="167">
        <f t="shared" si="112"/>
        <v>41456</v>
      </c>
      <c r="C254" s="167">
        <f t="shared" si="110"/>
        <v>41547</v>
      </c>
      <c r="D254" s="142">
        <f t="shared" si="113"/>
        <v>92</v>
      </c>
      <c r="E254" s="160">
        <f>VLOOKUP(C254,'FERC Interest Rate'!$A:$B,2,TRUE)</f>
        <v>3.2500000000000001E-2</v>
      </c>
      <c r="F254" s="148">
        <f t="shared" si="111"/>
        <v>20988.540744347694</v>
      </c>
      <c r="G254" s="147"/>
      <c r="H254" s="147"/>
      <c r="I254" s="254">
        <f t="shared" si="107"/>
        <v>171.93352554958798</v>
      </c>
      <c r="J254" s="148"/>
      <c r="K254" s="130">
        <f t="shared" si="114"/>
        <v>21160.47426989728</v>
      </c>
    </row>
    <row r="255" spans="1:11" x14ac:dyDescent="0.2">
      <c r="A255" s="156"/>
      <c r="B255" s="167">
        <f t="shared" si="112"/>
        <v>41548</v>
      </c>
      <c r="C255" s="167">
        <f t="shared" si="110"/>
        <v>41639</v>
      </c>
      <c r="D255" s="142">
        <f t="shared" si="113"/>
        <v>92</v>
      </c>
      <c r="E255" s="160">
        <f>VLOOKUP(C255,'FERC Interest Rate'!$A:$B,2,TRUE)</f>
        <v>3.2500000000000001E-2</v>
      </c>
      <c r="F255" s="148">
        <f t="shared" si="111"/>
        <v>21160.47426989728</v>
      </c>
      <c r="G255" s="147"/>
      <c r="H255" s="147"/>
      <c r="I255" s="254">
        <f t="shared" si="107"/>
        <v>173.34196730682979</v>
      </c>
      <c r="J255" s="148"/>
      <c r="K255" s="130">
        <f t="shared" si="114"/>
        <v>21333.816237204112</v>
      </c>
    </row>
    <row r="256" spans="1:11" x14ac:dyDescent="0.2">
      <c r="A256" s="156"/>
      <c r="B256" s="167">
        <f t="shared" si="112"/>
        <v>41640</v>
      </c>
      <c r="C256" s="167">
        <f t="shared" si="110"/>
        <v>41729</v>
      </c>
      <c r="D256" s="142">
        <f t="shared" si="113"/>
        <v>90</v>
      </c>
      <c r="E256" s="160">
        <f>VLOOKUP(C256,'FERC Interest Rate'!$A:$B,2,TRUE)</f>
        <v>3.2500000000000001E-2</v>
      </c>
      <c r="F256" s="148">
        <f t="shared" si="111"/>
        <v>21333.816237204112</v>
      </c>
      <c r="G256" s="147"/>
      <c r="H256" s="147">
        <f>($F$248/20)*4</f>
        <v>4000</v>
      </c>
      <c r="I256" s="254">
        <f t="shared" si="107"/>
        <v>170.96277395567679</v>
      </c>
      <c r="J256" s="148">
        <f>(SUM($I$248:$I$272)/20)*4</f>
        <v>300.95580223195742</v>
      </c>
      <c r="K256" s="130">
        <f t="shared" si="114"/>
        <v>17203.823208927832</v>
      </c>
    </row>
    <row r="257" spans="1:11" x14ac:dyDescent="0.2">
      <c r="A257" s="156"/>
      <c r="B257" s="167">
        <f t="shared" si="112"/>
        <v>41730</v>
      </c>
      <c r="C257" s="167">
        <f t="shared" si="110"/>
        <v>41820</v>
      </c>
      <c r="D257" s="142">
        <f t="shared" si="113"/>
        <v>91</v>
      </c>
      <c r="E257" s="160">
        <f>VLOOKUP(C257,'FERC Interest Rate'!$A:$B,2,TRUE)</f>
        <v>3.2500000000000001E-2</v>
      </c>
      <c r="F257" s="148">
        <f t="shared" si="111"/>
        <v>17203.823208927832</v>
      </c>
      <c r="G257" s="147">
        <f t="shared" ref="G257" si="115">F257*E257*(D257/(DATE(YEAR(C257),12,31)-DATE(YEAR(C257),1,1)+1))</f>
        <v>139.39810175453169</v>
      </c>
      <c r="H257" s="147">
        <f t="shared" ref="H257" si="116">$F$248/20</f>
        <v>1000</v>
      </c>
      <c r="I257" s="148">
        <v>0</v>
      </c>
      <c r="J257" s="148">
        <f>SUM($I$248:$I$272)/20</f>
        <v>75.238950557989355</v>
      </c>
      <c r="K257" s="130">
        <f t="shared" si="114"/>
        <v>16128.584258369843</v>
      </c>
    </row>
    <row r="258" spans="1:11" x14ac:dyDescent="0.2">
      <c r="A258" s="156"/>
      <c r="B258" s="167">
        <f t="shared" si="109"/>
        <v>41821</v>
      </c>
      <c r="C258" s="167">
        <f t="shared" si="110"/>
        <v>41912</v>
      </c>
      <c r="D258" s="142">
        <f t="shared" si="106"/>
        <v>92</v>
      </c>
      <c r="E258" s="160">
        <f>VLOOKUP(C258,'FERC Interest Rate'!$A:$B,2,TRUE)</f>
        <v>3.2500000000000001E-2</v>
      </c>
      <c r="F258" s="148">
        <f t="shared" ref="F258:F272" si="117">K257</f>
        <v>16128.584258369843</v>
      </c>
      <c r="G258" s="147">
        <f t="shared" ref="G258:G272" si="118">F258*E258*(D258/(DATE(YEAR(C258),12,31)-DATE(YEAR(C258),1,1)+1))</f>
        <v>132.12182721239955</v>
      </c>
      <c r="H258" s="147">
        <f t="shared" ref="H258:H272" si="119">$F$248/20</f>
        <v>1000</v>
      </c>
      <c r="I258" s="148">
        <v>0</v>
      </c>
      <c r="J258" s="148">
        <f t="shared" ref="J258:J272" si="120">SUM($I$248:$I$272)/20</f>
        <v>75.238950557989355</v>
      </c>
      <c r="K258" s="130">
        <f t="shared" si="108"/>
        <v>15053.345307811855</v>
      </c>
    </row>
    <row r="259" spans="1:11" x14ac:dyDescent="0.2">
      <c r="A259" s="156"/>
      <c r="B259" s="167">
        <f t="shared" si="109"/>
        <v>41913</v>
      </c>
      <c r="C259" s="167">
        <f t="shared" si="110"/>
        <v>42004</v>
      </c>
      <c r="D259" s="142">
        <f t="shared" si="106"/>
        <v>92</v>
      </c>
      <c r="E259" s="160">
        <f>VLOOKUP(C259,'FERC Interest Rate'!$A:$B,2,TRUE)</f>
        <v>3.2500000000000001E-2</v>
      </c>
      <c r="F259" s="148">
        <f t="shared" si="117"/>
        <v>15053.345307811855</v>
      </c>
      <c r="G259" s="147">
        <f t="shared" si="118"/>
        <v>123.31370539823959</v>
      </c>
      <c r="H259" s="147">
        <f t="shared" si="119"/>
        <v>1000</v>
      </c>
      <c r="I259" s="148">
        <v>0</v>
      </c>
      <c r="J259" s="148">
        <f t="shared" si="120"/>
        <v>75.238950557989355</v>
      </c>
      <c r="K259" s="130">
        <f t="shared" si="108"/>
        <v>13978.106357253866</v>
      </c>
    </row>
    <row r="260" spans="1:11" x14ac:dyDescent="0.2">
      <c r="A260" s="156"/>
      <c r="B260" s="167">
        <f t="shared" si="109"/>
        <v>42005</v>
      </c>
      <c r="C260" s="167">
        <f t="shared" si="110"/>
        <v>42094</v>
      </c>
      <c r="D260" s="142">
        <f t="shared" si="106"/>
        <v>90</v>
      </c>
      <c r="E260" s="160">
        <f>VLOOKUP(C260,'FERC Interest Rate'!$A:$B,2,TRUE)</f>
        <v>3.2500000000000001E-2</v>
      </c>
      <c r="F260" s="148">
        <f t="shared" si="117"/>
        <v>13978.106357253866</v>
      </c>
      <c r="G260" s="147">
        <f t="shared" si="118"/>
        <v>112.0163317670344</v>
      </c>
      <c r="H260" s="147">
        <f t="shared" si="119"/>
        <v>1000</v>
      </c>
      <c r="I260" s="148">
        <v>0</v>
      </c>
      <c r="J260" s="148">
        <f t="shared" si="120"/>
        <v>75.238950557989355</v>
      </c>
      <c r="K260" s="130">
        <f t="shared" si="108"/>
        <v>12902.867406695877</v>
      </c>
    </row>
    <row r="261" spans="1:11" x14ac:dyDescent="0.2">
      <c r="A261" s="156"/>
      <c r="B261" s="167">
        <f t="shared" si="109"/>
        <v>42095</v>
      </c>
      <c r="C261" s="167">
        <f t="shared" si="110"/>
        <v>42185</v>
      </c>
      <c r="D261" s="142">
        <f t="shared" si="106"/>
        <v>91</v>
      </c>
      <c r="E261" s="160">
        <f>VLOOKUP(C261,'FERC Interest Rate'!$A:$B,2,TRUE)</f>
        <v>3.2500000000000001E-2</v>
      </c>
      <c r="F261" s="148">
        <f t="shared" si="117"/>
        <v>12902.867406695877</v>
      </c>
      <c r="G261" s="147">
        <f t="shared" si="118"/>
        <v>104.5485763158988</v>
      </c>
      <c r="H261" s="147">
        <f t="shared" si="119"/>
        <v>1000</v>
      </c>
      <c r="I261" s="148">
        <v>0</v>
      </c>
      <c r="J261" s="148">
        <f t="shared" si="120"/>
        <v>75.238950557989355</v>
      </c>
      <c r="K261" s="130">
        <f t="shared" si="108"/>
        <v>11827.628456137889</v>
      </c>
    </row>
    <row r="262" spans="1:11" x14ac:dyDescent="0.2">
      <c r="A262" s="156"/>
      <c r="B262" s="167">
        <f t="shared" si="109"/>
        <v>42186</v>
      </c>
      <c r="C262" s="167">
        <f t="shared" si="110"/>
        <v>42277</v>
      </c>
      <c r="D262" s="142">
        <f t="shared" si="106"/>
        <v>92</v>
      </c>
      <c r="E262" s="160">
        <f>VLOOKUP(C262,'FERC Interest Rate'!$A:$B,2,TRUE)</f>
        <v>3.2500000000000001E-2</v>
      </c>
      <c r="F262" s="148">
        <f t="shared" si="117"/>
        <v>11827.628456137889</v>
      </c>
      <c r="G262" s="147">
        <f t="shared" si="118"/>
        <v>96.889339955759695</v>
      </c>
      <c r="H262" s="147">
        <f t="shared" si="119"/>
        <v>1000</v>
      </c>
      <c r="I262" s="148">
        <v>0</v>
      </c>
      <c r="J262" s="148">
        <f t="shared" si="120"/>
        <v>75.238950557989355</v>
      </c>
      <c r="K262" s="130">
        <f t="shared" si="108"/>
        <v>10752.3895055799</v>
      </c>
    </row>
    <row r="263" spans="1:11" x14ac:dyDescent="0.2">
      <c r="A263" s="156"/>
      <c r="B263" s="167">
        <f t="shared" si="109"/>
        <v>42278</v>
      </c>
      <c r="C263" s="167">
        <f t="shared" si="110"/>
        <v>42369</v>
      </c>
      <c r="D263" s="142">
        <f t="shared" si="106"/>
        <v>92</v>
      </c>
      <c r="E263" s="160">
        <f>VLOOKUP(C263,'FERC Interest Rate'!$A:$B,2,TRUE)</f>
        <v>3.2500000000000001E-2</v>
      </c>
      <c r="F263" s="148">
        <f t="shared" si="117"/>
        <v>10752.3895055799</v>
      </c>
      <c r="G263" s="147">
        <f t="shared" si="118"/>
        <v>88.081218141599749</v>
      </c>
      <c r="H263" s="147">
        <f t="shared" si="119"/>
        <v>1000</v>
      </c>
      <c r="I263" s="148">
        <v>0</v>
      </c>
      <c r="J263" s="148">
        <f t="shared" si="120"/>
        <v>75.238950557989355</v>
      </c>
      <c r="K263" s="130">
        <f t="shared" si="108"/>
        <v>9677.1505550219117</v>
      </c>
    </row>
    <row r="264" spans="1:11" x14ac:dyDescent="0.2">
      <c r="A264" s="156"/>
      <c r="B264" s="167">
        <f t="shared" si="109"/>
        <v>42370</v>
      </c>
      <c r="C264" s="167">
        <f t="shared" si="110"/>
        <v>42460</v>
      </c>
      <c r="D264" s="142">
        <f t="shared" si="106"/>
        <v>91</v>
      </c>
      <c r="E264" s="160">
        <f>VLOOKUP(C264,'FERC Interest Rate'!$A:$B,2,TRUE)</f>
        <v>3.2500000000000001E-2</v>
      </c>
      <c r="F264" s="148">
        <f t="shared" si="117"/>
        <v>9677.1505550219117</v>
      </c>
      <c r="G264" s="147">
        <f t="shared" si="118"/>
        <v>78.197193351030876</v>
      </c>
      <c r="H264" s="147">
        <f t="shared" si="119"/>
        <v>1000</v>
      </c>
      <c r="I264" s="148">
        <v>0</v>
      </c>
      <c r="J264" s="148">
        <f t="shared" si="120"/>
        <v>75.238950557989355</v>
      </c>
      <c r="K264" s="130">
        <f t="shared" si="108"/>
        <v>8601.9116044639231</v>
      </c>
    </row>
    <row r="265" spans="1:11" x14ac:dyDescent="0.2">
      <c r="A265" s="156"/>
      <c r="B265" s="167">
        <f t="shared" si="109"/>
        <v>42461</v>
      </c>
      <c r="C265" s="167">
        <f t="shared" si="110"/>
        <v>42551</v>
      </c>
      <c r="D265" s="142">
        <f t="shared" si="106"/>
        <v>91</v>
      </c>
      <c r="E265" s="160">
        <f>VLOOKUP(C265,'FERC Interest Rate'!$A:$B,2,TRUE)</f>
        <v>3.2500000000000001E-2</v>
      </c>
      <c r="F265" s="148">
        <f t="shared" si="117"/>
        <v>8601.9116044639231</v>
      </c>
      <c r="G265" s="147">
        <f t="shared" si="118"/>
        <v>69.50861631202747</v>
      </c>
      <c r="H265" s="147">
        <f t="shared" si="119"/>
        <v>1000</v>
      </c>
      <c r="I265" s="148">
        <v>0</v>
      </c>
      <c r="J265" s="148">
        <f t="shared" si="120"/>
        <v>75.238950557989355</v>
      </c>
      <c r="K265" s="130">
        <f t="shared" si="108"/>
        <v>7526.6726539059337</v>
      </c>
    </row>
    <row r="266" spans="1:11" x14ac:dyDescent="0.2">
      <c r="A266" s="156"/>
      <c r="B266" s="167">
        <f t="shared" si="109"/>
        <v>42552</v>
      </c>
      <c r="C266" s="167">
        <f t="shared" si="110"/>
        <v>42643</v>
      </c>
      <c r="D266" s="142">
        <f t="shared" si="106"/>
        <v>92</v>
      </c>
      <c r="E266" s="160">
        <f>VLOOKUP(C266,'FERC Interest Rate'!$A:$B,2,TRUE)</f>
        <v>4.0333330000000001E-2</v>
      </c>
      <c r="F266" s="148">
        <f t="shared" si="117"/>
        <v>7526.6726539059337</v>
      </c>
      <c r="G266" s="147">
        <f t="shared" si="118"/>
        <v>76.308663987925328</v>
      </c>
      <c r="H266" s="147">
        <f t="shared" si="119"/>
        <v>1000</v>
      </c>
      <c r="I266" s="148">
        <v>0</v>
      </c>
      <c r="J266" s="148">
        <f t="shared" si="120"/>
        <v>75.238950557989355</v>
      </c>
      <c r="K266" s="130">
        <f t="shared" si="108"/>
        <v>6451.4337033479442</v>
      </c>
    </row>
    <row r="267" spans="1:11" x14ac:dyDescent="0.2">
      <c r="A267" s="156"/>
      <c r="B267" s="167">
        <f t="shared" si="109"/>
        <v>42644</v>
      </c>
      <c r="C267" s="167">
        <f t="shared" si="110"/>
        <v>42735</v>
      </c>
      <c r="D267" s="142">
        <f t="shared" si="106"/>
        <v>92</v>
      </c>
      <c r="E267" s="160">
        <f>VLOOKUP(C267,'FERC Interest Rate'!$A:$B,2,TRUE)</f>
        <v>4.2833329999999996E-2</v>
      </c>
      <c r="F267" s="148">
        <f t="shared" si="117"/>
        <v>6451.4337033479442</v>
      </c>
      <c r="G267" s="147">
        <f t="shared" si="118"/>
        <v>69.461605925009451</v>
      </c>
      <c r="H267" s="147">
        <f t="shared" si="119"/>
        <v>1000</v>
      </c>
      <c r="I267" s="148">
        <v>0</v>
      </c>
      <c r="J267" s="148">
        <f t="shared" si="120"/>
        <v>75.238950557989355</v>
      </c>
      <c r="K267" s="130">
        <f t="shared" si="108"/>
        <v>5376.1947527899547</v>
      </c>
    </row>
    <row r="268" spans="1:11" x14ac:dyDescent="0.2">
      <c r="A268" s="169"/>
      <c r="B268" s="167">
        <f t="shared" si="109"/>
        <v>42736</v>
      </c>
      <c r="C268" s="167">
        <f t="shared" si="110"/>
        <v>42825</v>
      </c>
      <c r="D268" s="142">
        <f t="shared" si="106"/>
        <v>90</v>
      </c>
      <c r="E268" s="160">
        <f>VLOOKUP(C268,'FERC Interest Rate'!$A:$B,2,TRUE)</f>
        <v>4.7066670000000005E-2</v>
      </c>
      <c r="F268" s="148">
        <f t="shared" si="117"/>
        <v>5376.1947527899547</v>
      </c>
      <c r="G268" s="147">
        <f t="shared" si="118"/>
        <v>62.393322152538836</v>
      </c>
      <c r="H268" s="147">
        <f t="shared" si="119"/>
        <v>1000</v>
      </c>
      <c r="I268" s="148">
        <v>0</v>
      </c>
      <c r="J268" s="148">
        <f t="shared" si="120"/>
        <v>75.238950557989355</v>
      </c>
      <c r="K268" s="130">
        <f t="shared" si="108"/>
        <v>4300.9558022319652</v>
      </c>
    </row>
    <row r="269" spans="1:11" x14ac:dyDescent="0.2">
      <c r="A269" s="169"/>
      <c r="B269" s="167">
        <f t="shared" si="109"/>
        <v>42826</v>
      </c>
      <c r="C269" s="167">
        <f t="shared" si="110"/>
        <v>42916</v>
      </c>
      <c r="D269" s="142">
        <f t="shared" si="106"/>
        <v>91</v>
      </c>
      <c r="E269" s="160">
        <f>VLOOKUP(C269,'FERC Interest Rate'!$A:$B,2,TRUE)</f>
        <v>5.21E-2</v>
      </c>
      <c r="F269" s="148">
        <f t="shared" si="117"/>
        <v>4300.9558022319652</v>
      </c>
      <c r="G269" s="147">
        <f t="shared" si="118"/>
        <v>55.866470010854712</v>
      </c>
      <c r="H269" s="147">
        <f t="shared" si="119"/>
        <v>1000</v>
      </c>
      <c r="I269" s="148">
        <v>0</v>
      </c>
      <c r="J269" s="148">
        <f t="shared" si="120"/>
        <v>75.238950557989355</v>
      </c>
      <c r="K269" s="130">
        <f t="shared" si="108"/>
        <v>3225.7168516739757</v>
      </c>
    </row>
    <row r="270" spans="1:11" x14ac:dyDescent="0.2">
      <c r="A270" s="169"/>
      <c r="B270" s="167">
        <f t="shared" si="109"/>
        <v>42917</v>
      </c>
      <c r="C270" s="167">
        <f t="shared" si="110"/>
        <v>43008</v>
      </c>
      <c r="D270" s="142">
        <f t="shared" si="106"/>
        <v>92</v>
      </c>
      <c r="E270" s="160">
        <f>VLOOKUP(C270,'FERC Interest Rate'!$A:$B,2,TRUE)</f>
        <v>5.7066670000000007E-2</v>
      </c>
      <c r="F270" s="148">
        <f t="shared" si="117"/>
        <v>3225.7168516739757</v>
      </c>
      <c r="G270" s="147">
        <f t="shared" si="118"/>
        <v>46.398478235858725</v>
      </c>
      <c r="H270" s="147">
        <f t="shared" si="119"/>
        <v>1000</v>
      </c>
      <c r="I270" s="148">
        <v>0</v>
      </c>
      <c r="J270" s="148">
        <f t="shared" si="120"/>
        <v>75.238950557989355</v>
      </c>
      <c r="K270" s="130">
        <f t="shared" si="108"/>
        <v>2150.4779011159862</v>
      </c>
    </row>
    <row r="271" spans="1:11" x14ac:dyDescent="0.2">
      <c r="A271" s="169"/>
      <c r="B271" s="167">
        <f t="shared" si="109"/>
        <v>43009</v>
      </c>
      <c r="C271" s="167">
        <f t="shared" si="110"/>
        <v>43100</v>
      </c>
      <c r="D271" s="142">
        <f t="shared" si="106"/>
        <v>92</v>
      </c>
      <c r="E271" s="160">
        <f>VLOOKUP(C271,'FERC Interest Rate'!$A:$B,2,TRUE)</f>
        <v>6.2033329999999998E-2</v>
      </c>
      <c r="F271" s="148">
        <f t="shared" si="117"/>
        <v>2150.4779011159862</v>
      </c>
      <c r="G271" s="147">
        <f t="shared" si="118"/>
        <v>33.624438595568357</v>
      </c>
      <c r="H271" s="147">
        <f t="shared" si="119"/>
        <v>1000</v>
      </c>
      <c r="I271" s="148">
        <v>0</v>
      </c>
      <c r="J271" s="148">
        <f t="shared" si="120"/>
        <v>75.238950557989355</v>
      </c>
      <c r="K271" s="130">
        <f t="shared" si="108"/>
        <v>1075.238950557997</v>
      </c>
    </row>
    <row r="272" spans="1:11" x14ac:dyDescent="0.2">
      <c r="A272" s="169"/>
      <c r="B272" s="167">
        <f t="shared" si="109"/>
        <v>43101</v>
      </c>
      <c r="C272" s="167">
        <f t="shared" si="110"/>
        <v>43190</v>
      </c>
      <c r="D272" s="142">
        <f t="shared" si="106"/>
        <v>90</v>
      </c>
      <c r="E272" s="160">
        <f>VLOOKUP(C272,'FERC Interest Rate'!$A:$B,2,TRUE)</f>
        <v>6.6699999999999995E-2</v>
      </c>
      <c r="F272" s="148">
        <f t="shared" si="117"/>
        <v>1075.238950557997</v>
      </c>
      <c r="G272" s="147">
        <f t="shared" si="118"/>
        <v>17.683998411505904</v>
      </c>
      <c r="H272" s="147">
        <f t="shared" si="119"/>
        <v>1000</v>
      </c>
      <c r="I272" s="148">
        <v>0</v>
      </c>
      <c r="J272" s="148">
        <f t="shared" si="120"/>
        <v>75.238950557989355</v>
      </c>
      <c r="K272" s="130">
        <f t="shared" si="108"/>
        <v>7.631228982063476E-12</v>
      </c>
    </row>
    <row r="273" spans="1:11" ht="13.5" thickBot="1" x14ac:dyDescent="0.25">
      <c r="A273" s="129"/>
      <c r="B273" s="168"/>
      <c r="C273" s="168"/>
      <c r="D273" s="121"/>
      <c r="E273" s="122"/>
      <c r="F273" s="145"/>
      <c r="G273" s="145"/>
      <c r="H273" s="146">
        <f>SUM(H256:H272)</f>
        <v>20000</v>
      </c>
      <c r="I273" s="123">
        <f>SUM(I248:I272)</f>
        <v>1504.7790111597872</v>
      </c>
      <c r="J273" s="123">
        <f>SUM(J256:J272)</f>
        <v>1504.7790111597865</v>
      </c>
      <c r="K273" s="128"/>
    </row>
    <row r="274" spans="1:11" ht="13.5" thickBot="1" x14ac:dyDescent="0.25"/>
    <row r="275" spans="1:11" ht="13.5" thickBot="1" x14ac:dyDescent="0.25">
      <c r="A275" s="304" t="s">
        <v>71</v>
      </c>
      <c r="B275" s="305"/>
      <c r="C275" s="305"/>
      <c r="D275" s="305"/>
      <c r="E275" s="305"/>
      <c r="F275" s="305"/>
      <c r="G275" s="305"/>
      <c r="H275" s="305"/>
      <c r="I275" s="305"/>
      <c r="J275" s="305"/>
      <c r="K275" s="306"/>
    </row>
    <row r="276" spans="1:11" ht="13.5" thickBot="1" x14ac:dyDescent="0.25">
      <c r="A276" s="190" t="s">
        <v>110</v>
      </c>
      <c r="B276" s="185">
        <v>22</v>
      </c>
      <c r="C276" s="191"/>
      <c r="D276" s="191"/>
      <c r="E276" s="191"/>
      <c r="F276" s="191"/>
      <c r="G276" s="191"/>
      <c r="H276" s="191"/>
      <c r="I276" s="191"/>
      <c r="J276" s="191"/>
      <c r="K276" s="192"/>
    </row>
    <row r="277" spans="1:11" ht="51.75" thickBot="1" x14ac:dyDescent="0.25">
      <c r="A277" s="163" t="s">
        <v>9</v>
      </c>
      <c r="B277" s="164" t="s">
        <v>10</v>
      </c>
      <c r="C277" s="164" t="s">
        <v>11</v>
      </c>
      <c r="D277" s="164" t="s">
        <v>12</v>
      </c>
      <c r="E277" s="164" t="s">
        <v>13</v>
      </c>
      <c r="F277" s="164" t="s">
        <v>14</v>
      </c>
      <c r="G277" s="164" t="s">
        <v>32</v>
      </c>
      <c r="H277" s="164" t="s">
        <v>16</v>
      </c>
      <c r="I277" s="164" t="s">
        <v>85</v>
      </c>
      <c r="J277" s="164" t="s">
        <v>33</v>
      </c>
      <c r="K277" s="165" t="s">
        <v>15</v>
      </c>
    </row>
    <row r="278" spans="1:11" x14ac:dyDescent="0.2">
      <c r="A278" s="266"/>
      <c r="B278" s="267">
        <f>VLOOKUP(B276,A$1:F$31,2,FALSE)</f>
        <v>40940</v>
      </c>
      <c r="C278" s="267">
        <f>DATE(YEAR(B278),IF(MONTH(B278)&lt;=3,3,IF(MONTH(B278)&lt;=6,6,IF(MONTH(B278)&lt;=9,9,12))),IF(OR(MONTH(B278)&lt;=3,MONTH(B278)&gt;=10),31,30))</f>
        <v>40999</v>
      </c>
      <c r="D278" s="268">
        <f>C278-B278+1</f>
        <v>60</v>
      </c>
      <c r="E278" s="259">
        <f>VLOOKUP(C278,'FERC Interest Rate'!$A:$B,2,TRUE)</f>
        <v>3.2500000000000001E-2</v>
      </c>
      <c r="F278" s="254">
        <f>VLOOKUP(B276,$A$1:$F$31,5,FALSE)</f>
        <v>20000</v>
      </c>
      <c r="G278" s="273"/>
      <c r="H278" s="273"/>
      <c r="I278" s="254">
        <f>F278*E278*(D278/(DATE(YEAR(C278),12,31)-DATE(YEAR(C278),1,1)+1))</f>
        <v>106.55737704918032</v>
      </c>
      <c r="J278" s="272"/>
      <c r="K278" s="255">
        <f>F278+I278-H278-J278</f>
        <v>20106.557377049179</v>
      </c>
    </row>
    <row r="279" spans="1:11" x14ac:dyDescent="0.2">
      <c r="A279" s="256"/>
      <c r="B279" s="257">
        <f>C278+1</f>
        <v>41000</v>
      </c>
      <c r="C279" s="257">
        <f>EOMONTH(C278,3)</f>
        <v>41090</v>
      </c>
      <c r="D279" s="258">
        <f t="shared" ref="D279:D302" si="121">C279-B279+1</f>
        <v>91</v>
      </c>
      <c r="E279" s="259">
        <f>VLOOKUP(C279,'FERC Interest Rate'!$A:$B,2,TRUE)</f>
        <v>3.2500000000000001E-2</v>
      </c>
      <c r="F279" s="260">
        <f>K278</f>
        <v>20106.557377049179</v>
      </c>
      <c r="G279" s="273"/>
      <c r="H279" s="272"/>
      <c r="I279" s="254">
        <f t="shared" ref="I279:I286" si="122">F279*E279*(D279/(DATE(YEAR(C279),12,31)-DATE(YEAR(C279),1,1)+1))</f>
        <v>162.47306951536325</v>
      </c>
      <c r="J279" s="272"/>
      <c r="K279" s="255">
        <f t="shared" ref="K279:K302" si="123">F279+I279-H279-J279</f>
        <v>20269.030446564542</v>
      </c>
    </row>
    <row r="280" spans="1:11" x14ac:dyDescent="0.2">
      <c r="A280" s="256"/>
      <c r="B280" s="257">
        <f t="shared" ref="B280:B302" si="124">C279+1</f>
        <v>41091</v>
      </c>
      <c r="C280" s="257">
        <f t="shared" ref="C280:C302" si="125">EOMONTH(C279,3)</f>
        <v>41182</v>
      </c>
      <c r="D280" s="258">
        <f t="shared" si="121"/>
        <v>92</v>
      </c>
      <c r="E280" s="259">
        <f>VLOOKUP(C280,'FERC Interest Rate'!$A:$B,2,TRUE)</f>
        <v>3.2500000000000001E-2</v>
      </c>
      <c r="F280" s="260">
        <f t="shared" ref="F280:F288" si="126">K279</f>
        <v>20269.030446564542</v>
      </c>
      <c r="G280" s="273"/>
      <c r="H280" s="272"/>
      <c r="I280" s="254">
        <f t="shared" si="122"/>
        <v>165.58579517821855</v>
      </c>
      <c r="J280" s="272"/>
      <c r="K280" s="255">
        <f t="shared" si="123"/>
        <v>20434.616241742762</v>
      </c>
    </row>
    <row r="281" spans="1:11" x14ac:dyDescent="0.2">
      <c r="A281" s="256"/>
      <c r="B281" s="257">
        <f t="shared" si="124"/>
        <v>41183</v>
      </c>
      <c r="C281" s="257">
        <f t="shared" si="125"/>
        <v>41274</v>
      </c>
      <c r="D281" s="258">
        <f t="shared" si="121"/>
        <v>92</v>
      </c>
      <c r="E281" s="259">
        <f>VLOOKUP(C281,'FERC Interest Rate'!$A:$B,2,TRUE)</f>
        <v>3.2500000000000001E-2</v>
      </c>
      <c r="F281" s="260">
        <f t="shared" si="126"/>
        <v>20434.616241742762</v>
      </c>
      <c r="G281" s="273"/>
      <c r="H281" s="272"/>
      <c r="I281" s="254">
        <f t="shared" si="122"/>
        <v>166.93853159237941</v>
      </c>
      <c r="J281" s="272"/>
      <c r="K281" s="255">
        <f t="shared" si="123"/>
        <v>20601.554773335141</v>
      </c>
    </row>
    <row r="282" spans="1:11" x14ac:dyDescent="0.2">
      <c r="A282" s="256"/>
      <c r="B282" s="257">
        <f t="shared" si="124"/>
        <v>41275</v>
      </c>
      <c r="C282" s="257">
        <f t="shared" si="125"/>
        <v>41364</v>
      </c>
      <c r="D282" s="258">
        <f t="shared" si="121"/>
        <v>90</v>
      </c>
      <c r="E282" s="259">
        <f>VLOOKUP(C282,'FERC Interest Rate'!$A:$B,2,TRUE)</f>
        <v>3.2500000000000001E-2</v>
      </c>
      <c r="F282" s="260">
        <f t="shared" si="126"/>
        <v>20601.554773335141</v>
      </c>
      <c r="G282" s="273"/>
      <c r="H282" s="272"/>
      <c r="I282" s="254">
        <f t="shared" si="122"/>
        <v>165.09465126576791</v>
      </c>
      <c r="J282" s="272"/>
      <c r="K282" s="255">
        <f t="shared" si="123"/>
        <v>20766.64942460091</v>
      </c>
    </row>
    <row r="283" spans="1:11" x14ac:dyDescent="0.2">
      <c r="A283" s="156"/>
      <c r="B283" s="167">
        <f t="shared" ref="B283:B288" si="127">C282+1</f>
        <v>41365</v>
      </c>
      <c r="C283" s="167">
        <f t="shared" si="125"/>
        <v>41455</v>
      </c>
      <c r="D283" s="142">
        <f t="shared" ref="D283:D288" si="128">C283-B283+1</f>
        <v>91</v>
      </c>
      <c r="E283" s="160">
        <f>VLOOKUP(C283,'FERC Interest Rate'!$A:$B,2,TRUE)</f>
        <v>3.2500000000000001E-2</v>
      </c>
      <c r="F283" s="148">
        <f t="shared" si="126"/>
        <v>20766.64942460091</v>
      </c>
      <c r="G283" s="273"/>
      <c r="H283" s="147"/>
      <c r="I283" s="254">
        <f t="shared" si="122"/>
        <v>168.2667552691978</v>
      </c>
      <c r="J283" s="148"/>
      <c r="K283" s="130">
        <f t="shared" ref="K283:K288" si="129">F283+I283-H283-J283</f>
        <v>20934.916179870106</v>
      </c>
    </row>
    <row r="284" spans="1:11" x14ac:dyDescent="0.2">
      <c r="A284" s="156"/>
      <c r="B284" s="167">
        <f t="shared" si="127"/>
        <v>41456</v>
      </c>
      <c r="C284" s="167">
        <f t="shared" si="125"/>
        <v>41547</v>
      </c>
      <c r="D284" s="142">
        <f t="shared" si="128"/>
        <v>92</v>
      </c>
      <c r="E284" s="160">
        <f>VLOOKUP(C284,'FERC Interest Rate'!$A:$B,2,TRUE)</f>
        <v>3.2500000000000001E-2</v>
      </c>
      <c r="F284" s="148">
        <f t="shared" si="126"/>
        <v>20934.916179870106</v>
      </c>
      <c r="G284" s="147"/>
      <c r="H284" s="147"/>
      <c r="I284" s="254">
        <f t="shared" si="122"/>
        <v>171.49424487071678</v>
      </c>
      <c r="J284" s="148"/>
      <c r="K284" s="130">
        <f t="shared" si="129"/>
        <v>21106.410424740821</v>
      </c>
    </row>
    <row r="285" spans="1:11" x14ac:dyDescent="0.2">
      <c r="A285" s="156"/>
      <c r="B285" s="167">
        <f t="shared" si="127"/>
        <v>41548</v>
      </c>
      <c r="C285" s="167">
        <f t="shared" si="125"/>
        <v>41639</v>
      </c>
      <c r="D285" s="142">
        <f t="shared" si="128"/>
        <v>92</v>
      </c>
      <c r="E285" s="160">
        <f>VLOOKUP(C285,'FERC Interest Rate'!$A:$B,2,TRUE)</f>
        <v>3.2500000000000001E-2</v>
      </c>
      <c r="F285" s="148">
        <f t="shared" si="126"/>
        <v>21106.410424740821</v>
      </c>
      <c r="G285" s="147"/>
      <c r="H285" s="147"/>
      <c r="I285" s="254">
        <f t="shared" si="122"/>
        <v>172.89908813691798</v>
      </c>
      <c r="J285" s="148"/>
      <c r="K285" s="130">
        <f t="shared" si="129"/>
        <v>21279.309512877739</v>
      </c>
    </row>
    <row r="286" spans="1:11" x14ac:dyDescent="0.2">
      <c r="A286" s="156"/>
      <c r="B286" s="167">
        <f t="shared" si="127"/>
        <v>41640</v>
      </c>
      <c r="C286" s="167">
        <f t="shared" si="125"/>
        <v>41729</v>
      </c>
      <c r="D286" s="142">
        <f t="shared" si="128"/>
        <v>90</v>
      </c>
      <c r="E286" s="160">
        <f>VLOOKUP(C286,'FERC Interest Rate'!$A:$B,2,TRUE)</f>
        <v>3.2500000000000001E-2</v>
      </c>
      <c r="F286" s="148">
        <f t="shared" si="126"/>
        <v>21279.309512877739</v>
      </c>
      <c r="G286" s="147"/>
      <c r="H286" s="147">
        <f>($F$278/20)*4</f>
        <v>4000</v>
      </c>
      <c r="I286" s="254">
        <f t="shared" si="122"/>
        <v>170.52597349360926</v>
      </c>
      <c r="J286" s="148">
        <f>(SUM($I$278:$I$302)/20)*4</f>
        <v>289.96709727427026</v>
      </c>
      <c r="K286" s="130">
        <f t="shared" si="129"/>
        <v>17159.868389097075</v>
      </c>
    </row>
    <row r="287" spans="1:11" x14ac:dyDescent="0.2">
      <c r="A287" s="156"/>
      <c r="B287" s="167">
        <f t="shared" si="127"/>
        <v>41730</v>
      </c>
      <c r="C287" s="167">
        <f t="shared" si="125"/>
        <v>41820</v>
      </c>
      <c r="D287" s="142">
        <f t="shared" si="128"/>
        <v>91</v>
      </c>
      <c r="E287" s="160">
        <f>VLOOKUP(C287,'FERC Interest Rate'!$A:$B,2,TRUE)</f>
        <v>3.2500000000000001E-2</v>
      </c>
      <c r="F287" s="148">
        <f t="shared" si="126"/>
        <v>17159.868389097075</v>
      </c>
      <c r="G287" s="147">
        <f t="shared" ref="G287:G288" si="130">F287*E287*(D287/(DATE(YEAR(C287),12,31)-DATE(YEAR(C287),1,1)+1))</f>
        <v>139.04194728973866</v>
      </c>
      <c r="H287" s="147">
        <f t="shared" ref="H287:H288" si="131">$F$278/20</f>
        <v>1000</v>
      </c>
      <c r="I287" s="148">
        <v>0</v>
      </c>
      <c r="J287" s="148">
        <f>SUM($I$278:$I$302)/20</f>
        <v>72.491774318567565</v>
      </c>
      <c r="K287" s="130">
        <f t="shared" si="129"/>
        <v>16087.376614778508</v>
      </c>
    </row>
    <row r="288" spans="1:11" x14ac:dyDescent="0.2">
      <c r="A288" s="156"/>
      <c r="B288" s="167">
        <f t="shared" si="127"/>
        <v>41821</v>
      </c>
      <c r="C288" s="167">
        <f t="shared" si="125"/>
        <v>41912</v>
      </c>
      <c r="D288" s="142">
        <f t="shared" si="128"/>
        <v>92</v>
      </c>
      <c r="E288" s="160">
        <f>VLOOKUP(C288,'FERC Interest Rate'!$A:$B,2,TRUE)</f>
        <v>3.2500000000000001E-2</v>
      </c>
      <c r="F288" s="148">
        <f t="shared" si="126"/>
        <v>16087.376614778508</v>
      </c>
      <c r="G288" s="147">
        <f t="shared" si="130"/>
        <v>131.78426322791162</v>
      </c>
      <c r="H288" s="147">
        <f t="shared" si="131"/>
        <v>1000</v>
      </c>
      <c r="I288" s="148">
        <v>0</v>
      </c>
      <c r="J288" s="148">
        <f t="shared" ref="J288:J302" si="132">SUM($I$278:$I$302)/20</f>
        <v>72.491774318567565</v>
      </c>
      <c r="K288" s="130">
        <f t="shared" si="129"/>
        <v>15014.884840459941</v>
      </c>
    </row>
    <row r="289" spans="1:11" x14ac:dyDescent="0.2">
      <c r="A289" s="156"/>
      <c r="B289" s="167">
        <f t="shared" si="124"/>
        <v>41913</v>
      </c>
      <c r="C289" s="167">
        <f t="shared" si="125"/>
        <v>42004</v>
      </c>
      <c r="D289" s="142">
        <f t="shared" si="121"/>
        <v>92</v>
      </c>
      <c r="E289" s="160">
        <f>VLOOKUP(C289,'FERC Interest Rate'!$A:$B,2,TRUE)</f>
        <v>3.2500000000000001E-2</v>
      </c>
      <c r="F289" s="148">
        <f t="shared" ref="F289:F302" si="133">K288</f>
        <v>15014.884840459941</v>
      </c>
      <c r="G289" s="147">
        <f t="shared" ref="G289:G302" si="134">F289*E289*(D289/(DATE(YEAR(C289),12,31)-DATE(YEAR(C289),1,1)+1))</f>
        <v>122.99864567938418</v>
      </c>
      <c r="H289" s="147">
        <f t="shared" ref="H289:H302" si="135">$F$278/20</f>
        <v>1000</v>
      </c>
      <c r="I289" s="148">
        <v>0</v>
      </c>
      <c r="J289" s="148">
        <f t="shared" si="132"/>
        <v>72.491774318567565</v>
      </c>
      <c r="K289" s="130">
        <f t="shared" si="123"/>
        <v>13942.393066141374</v>
      </c>
    </row>
    <row r="290" spans="1:11" x14ac:dyDescent="0.2">
      <c r="A290" s="156"/>
      <c r="B290" s="167">
        <f t="shared" si="124"/>
        <v>42005</v>
      </c>
      <c r="C290" s="167">
        <f t="shared" si="125"/>
        <v>42094</v>
      </c>
      <c r="D290" s="142">
        <f t="shared" si="121"/>
        <v>90</v>
      </c>
      <c r="E290" s="160">
        <f>VLOOKUP(C290,'FERC Interest Rate'!$A:$B,2,TRUE)</f>
        <v>3.2500000000000001E-2</v>
      </c>
      <c r="F290" s="148">
        <f t="shared" si="133"/>
        <v>13942.393066141374</v>
      </c>
      <c r="G290" s="147">
        <f t="shared" si="134"/>
        <v>111.73013621496855</v>
      </c>
      <c r="H290" s="147">
        <f t="shared" si="135"/>
        <v>1000</v>
      </c>
      <c r="I290" s="148">
        <v>0</v>
      </c>
      <c r="J290" s="148">
        <f t="shared" si="132"/>
        <v>72.491774318567565</v>
      </c>
      <c r="K290" s="130">
        <f t="shared" si="123"/>
        <v>12869.901291822807</v>
      </c>
    </row>
    <row r="291" spans="1:11" x14ac:dyDescent="0.2">
      <c r="A291" s="156"/>
      <c r="B291" s="167">
        <f t="shared" si="124"/>
        <v>42095</v>
      </c>
      <c r="C291" s="167">
        <f t="shared" si="125"/>
        <v>42185</v>
      </c>
      <c r="D291" s="142">
        <f t="shared" si="121"/>
        <v>91</v>
      </c>
      <c r="E291" s="160">
        <f>VLOOKUP(C291,'FERC Interest Rate'!$A:$B,2,TRUE)</f>
        <v>3.2500000000000001E-2</v>
      </c>
      <c r="F291" s="148">
        <f t="shared" si="133"/>
        <v>12869.901291822807</v>
      </c>
      <c r="G291" s="147">
        <f t="shared" si="134"/>
        <v>104.28146046730399</v>
      </c>
      <c r="H291" s="147">
        <f t="shared" si="135"/>
        <v>1000</v>
      </c>
      <c r="I291" s="148">
        <v>0</v>
      </c>
      <c r="J291" s="148">
        <f t="shared" si="132"/>
        <v>72.491774318567565</v>
      </c>
      <c r="K291" s="130">
        <f t="shared" si="123"/>
        <v>11797.40951750424</v>
      </c>
    </row>
    <row r="292" spans="1:11" x14ac:dyDescent="0.2">
      <c r="A292" s="156"/>
      <c r="B292" s="167">
        <f t="shared" si="124"/>
        <v>42186</v>
      </c>
      <c r="C292" s="167">
        <f t="shared" si="125"/>
        <v>42277</v>
      </c>
      <c r="D292" s="142">
        <f t="shared" si="121"/>
        <v>92</v>
      </c>
      <c r="E292" s="160">
        <f>VLOOKUP(C292,'FERC Interest Rate'!$A:$B,2,TRUE)</f>
        <v>3.2500000000000001E-2</v>
      </c>
      <c r="F292" s="148">
        <f t="shared" si="133"/>
        <v>11797.40951750424</v>
      </c>
      <c r="G292" s="147">
        <f t="shared" si="134"/>
        <v>96.641793033801861</v>
      </c>
      <c r="H292" s="147">
        <f t="shared" si="135"/>
        <v>1000</v>
      </c>
      <c r="I292" s="148">
        <v>0</v>
      </c>
      <c r="J292" s="148">
        <f t="shared" si="132"/>
        <v>72.491774318567565</v>
      </c>
      <c r="K292" s="130">
        <f t="shared" si="123"/>
        <v>10724.917743185673</v>
      </c>
    </row>
    <row r="293" spans="1:11" x14ac:dyDescent="0.2">
      <c r="A293" s="156"/>
      <c r="B293" s="167">
        <f t="shared" si="124"/>
        <v>42278</v>
      </c>
      <c r="C293" s="167">
        <f t="shared" si="125"/>
        <v>42369</v>
      </c>
      <c r="D293" s="142">
        <f t="shared" si="121"/>
        <v>92</v>
      </c>
      <c r="E293" s="160">
        <f>VLOOKUP(C293,'FERC Interest Rate'!$A:$B,2,TRUE)</f>
        <v>3.2500000000000001E-2</v>
      </c>
      <c r="F293" s="148">
        <f t="shared" si="133"/>
        <v>10724.917743185673</v>
      </c>
      <c r="G293" s="147">
        <f t="shared" si="134"/>
        <v>87.856175485274434</v>
      </c>
      <c r="H293" s="147">
        <f t="shared" si="135"/>
        <v>1000</v>
      </c>
      <c r="I293" s="148">
        <v>0</v>
      </c>
      <c r="J293" s="148">
        <f t="shared" si="132"/>
        <v>72.491774318567565</v>
      </c>
      <c r="K293" s="130">
        <f t="shared" si="123"/>
        <v>9652.4259688671063</v>
      </c>
    </row>
    <row r="294" spans="1:11" x14ac:dyDescent="0.2">
      <c r="A294" s="156"/>
      <c r="B294" s="167">
        <f t="shared" si="124"/>
        <v>42370</v>
      </c>
      <c r="C294" s="167">
        <f t="shared" si="125"/>
        <v>42460</v>
      </c>
      <c r="D294" s="142">
        <f t="shared" si="121"/>
        <v>91</v>
      </c>
      <c r="E294" s="160">
        <f>VLOOKUP(C294,'FERC Interest Rate'!$A:$B,2,TRUE)</f>
        <v>3.2500000000000001E-2</v>
      </c>
      <c r="F294" s="148">
        <f t="shared" si="133"/>
        <v>9652.4259688671063</v>
      </c>
      <c r="G294" s="147">
        <f t="shared" si="134"/>
        <v>77.997403833126953</v>
      </c>
      <c r="H294" s="147">
        <f t="shared" si="135"/>
        <v>1000</v>
      </c>
      <c r="I294" s="148">
        <v>0</v>
      </c>
      <c r="J294" s="148">
        <f t="shared" si="132"/>
        <v>72.491774318567565</v>
      </c>
      <c r="K294" s="130">
        <f t="shared" si="123"/>
        <v>8579.9341945485394</v>
      </c>
    </row>
    <row r="295" spans="1:11" x14ac:dyDescent="0.2">
      <c r="A295" s="156"/>
      <c r="B295" s="167">
        <f t="shared" si="124"/>
        <v>42461</v>
      </c>
      <c r="C295" s="167">
        <f t="shared" si="125"/>
        <v>42551</v>
      </c>
      <c r="D295" s="142">
        <f t="shared" si="121"/>
        <v>91</v>
      </c>
      <c r="E295" s="160">
        <f>VLOOKUP(C295,'FERC Interest Rate'!$A:$B,2,TRUE)</f>
        <v>3.2500000000000001E-2</v>
      </c>
      <c r="F295" s="148">
        <f t="shared" si="133"/>
        <v>8579.9341945485394</v>
      </c>
      <c r="G295" s="147">
        <f t="shared" si="134"/>
        <v>69.331025629446188</v>
      </c>
      <c r="H295" s="147">
        <f t="shared" si="135"/>
        <v>1000</v>
      </c>
      <c r="I295" s="148">
        <v>0</v>
      </c>
      <c r="J295" s="148">
        <f t="shared" si="132"/>
        <v>72.491774318567565</v>
      </c>
      <c r="K295" s="130">
        <f t="shared" si="123"/>
        <v>7507.4424202299715</v>
      </c>
    </row>
    <row r="296" spans="1:11" x14ac:dyDescent="0.2">
      <c r="A296" s="156"/>
      <c r="B296" s="167">
        <f t="shared" si="124"/>
        <v>42552</v>
      </c>
      <c r="C296" s="167">
        <f t="shared" si="125"/>
        <v>42643</v>
      </c>
      <c r="D296" s="142">
        <f t="shared" si="121"/>
        <v>92</v>
      </c>
      <c r="E296" s="160">
        <f>VLOOKUP(C296,'FERC Interest Rate'!$A:$B,2,TRUE)</f>
        <v>4.0333330000000001E-2</v>
      </c>
      <c r="F296" s="148">
        <f t="shared" si="133"/>
        <v>7507.4424202299715</v>
      </c>
      <c r="G296" s="147">
        <f t="shared" si="134"/>
        <v>76.113699558427157</v>
      </c>
      <c r="H296" s="147">
        <f t="shared" si="135"/>
        <v>1000</v>
      </c>
      <c r="I296" s="148">
        <v>0</v>
      </c>
      <c r="J296" s="148">
        <f t="shared" si="132"/>
        <v>72.491774318567565</v>
      </c>
      <c r="K296" s="130">
        <f t="shared" si="123"/>
        <v>6434.9506459114036</v>
      </c>
    </row>
    <row r="297" spans="1:11" x14ac:dyDescent="0.2">
      <c r="A297" s="156"/>
      <c r="B297" s="167">
        <f t="shared" si="124"/>
        <v>42644</v>
      </c>
      <c r="C297" s="167">
        <f t="shared" si="125"/>
        <v>42735</v>
      </c>
      <c r="D297" s="142">
        <f t="shared" si="121"/>
        <v>92</v>
      </c>
      <c r="E297" s="160">
        <f>VLOOKUP(C297,'FERC Interest Rate'!$A:$B,2,TRUE)</f>
        <v>4.2833329999999996E-2</v>
      </c>
      <c r="F297" s="148">
        <f t="shared" si="133"/>
        <v>6434.9506459114036</v>
      </c>
      <c r="G297" s="147">
        <f t="shared" si="134"/>
        <v>69.284135351375241</v>
      </c>
      <c r="H297" s="147">
        <f t="shared" si="135"/>
        <v>1000</v>
      </c>
      <c r="I297" s="148">
        <v>0</v>
      </c>
      <c r="J297" s="148">
        <f t="shared" si="132"/>
        <v>72.491774318567565</v>
      </c>
      <c r="K297" s="130">
        <f t="shared" si="123"/>
        <v>5362.4588715928357</v>
      </c>
    </row>
    <row r="298" spans="1:11" x14ac:dyDescent="0.2">
      <c r="A298" s="169"/>
      <c r="B298" s="167">
        <f t="shared" si="124"/>
        <v>42736</v>
      </c>
      <c r="C298" s="167">
        <f t="shared" si="125"/>
        <v>42825</v>
      </c>
      <c r="D298" s="142">
        <f t="shared" si="121"/>
        <v>90</v>
      </c>
      <c r="E298" s="160">
        <f>VLOOKUP(C298,'FERC Interest Rate'!$A:$B,2,TRUE)</f>
        <v>4.7066670000000005E-2</v>
      </c>
      <c r="F298" s="148">
        <f t="shared" si="133"/>
        <v>5362.4588715928357</v>
      </c>
      <c r="G298" s="147">
        <f t="shared" si="134"/>
        <v>62.233910654260043</v>
      </c>
      <c r="H298" s="147">
        <f t="shared" si="135"/>
        <v>1000</v>
      </c>
      <c r="I298" s="148">
        <v>0</v>
      </c>
      <c r="J298" s="148">
        <f t="shared" si="132"/>
        <v>72.491774318567565</v>
      </c>
      <c r="K298" s="130">
        <f t="shared" si="123"/>
        <v>4289.9670972742679</v>
      </c>
    </row>
    <row r="299" spans="1:11" x14ac:dyDescent="0.2">
      <c r="A299" s="169"/>
      <c r="B299" s="167">
        <f t="shared" si="124"/>
        <v>42826</v>
      </c>
      <c r="C299" s="167">
        <f t="shared" si="125"/>
        <v>42916</v>
      </c>
      <c r="D299" s="142">
        <f t="shared" si="121"/>
        <v>91</v>
      </c>
      <c r="E299" s="160">
        <f>VLOOKUP(C299,'FERC Interest Rate'!$A:$B,2,TRUE)</f>
        <v>5.21E-2</v>
      </c>
      <c r="F299" s="148">
        <f t="shared" si="133"/>
        <v>4289.9670972742679</v>
      </c>
      <c r="G299" s="147">
        <f t="shared" si="134"/>
        <v>55.723734259964466</v>
      </c>
      <c r="H299" s="147">
        <f t="shared" si="135"/>
        <v>1000</v>
      </c>
      <c r="I299" s="148">
        <v>0</v>
      </c>
      <c r="J299" s="148">
        <f t="shared" si="132"/>
        <v>72.491774318567565</v>
      </c>
      <c r="K299" s="130">
        <f t="shared" si="123"/>
        <v>3217.4753229557004</v>
      </c>
    </row>
    <row r="300" spans="1:11" x14ac:dyDescent="0.2">
      <c r="A300" s="169"/>
      <c r="B300" s="167">
        <f t="shared" si="124"/>
        <v>42917</v>
      </c>
      <c r="C300" s="167">
        <f t="shared" si="125"/>
        <v>43008</v>
      </c>
      <c r="D300" s="142">
        <f t="shared" si="121"/>
        <v>92</v>
      </c>
      <c r="E300" s="160">
        <f>VLOOKUP(C300,'FERC Interest Rate'!$A:$B,2,TRUE)</f>
        <v>5.7066670000000007E-2</v>
      </c>
      <c r="F300" s="148">
        <f t="shared" si="133"/>
        <v>3217.4753229557004</v>
      </c>
      <c r="G300" s="147">
        <f t="shared" si="134"/>
        <v>46.279932681971481</v>
      </c>
      <c r="H300" s="147">
        <f t="shared" si="135"/>
        <v>1000</v>
      </c>
      <c r="I300" s="148">
        <v>0</v>
      </c>
      <c r="J300" s="148">
        <f t="shared" si="132"/>
        <v>72.491774318567565</v>
      </c>
      <c r="K300" s="130">
        <f t="shared" si="123"/>
        <v>2144.983548637133</v>
      </c>
    </row>
    <row r="301" spans="1:11" x14ac:dyDescent="0.2">
      <c r="A301" s="169"/>
      <c r="B301" s="167">
        <f t="shared" si="124"/>
        <v>43009</v>
      </c>
      <c r="C301" s="167">
        <f t="shared" si="125"/>
        <v>43100</v>
      </c>
      <c r="D301" s="142">
        <f t="shared" si="121"/>
        <v>92</v>
      </c>
      <c r="E301" s="160">
        <f>VLOOKUP(C301,'FERC Interest Rate'!$A:$B,2,TRUE)</f>
        <v>6.2033329999999998E-2</v>
      </c>
      <c r="F301" s="148">
        <f t="shared" si="133"/>
        <v>2144.983548637133</v>
      </c>
      <c r="G301" s="147">
        <f t="shared" si="134"/>
        <v>33.538530008713444</v>
      </c>
      <c r="H301" s="147">
        <f t="shared" si="135"/>
        <v>1000</v>
      </c>
      <c r="I301" s="148">
        <v>0</v>
      </c>
      <c r="J301" s="148">
        <f t="shared" si="132"/>
        <v>72.491774318567565</v>
      </c>
      <c r="K301" s="130">
        <f t="shared" si="123"/>
        <v>1072.4917743185654</v>
      </c>
    </row>
    <row r="302" spans="1:11" x14ac:dyDescent="0.2">
      <c r="A302" s="169"/>
      <c r="B302" s="167">
        <f t="shared" si="124"/>
        <v>43101</v>
      </c>
      <c r="C302" s="167">
        <f t="shared" si="125"/>
        <v>43190</v>
      </c>
      <c r="D302" s="142">
        <f t="shared" si="121"/>
        <v>90</v>
      </c>
      <c r="E302" s="160">
        <f>VLOOKUP(C302,'FERC Interest Rate'!$A:$B,2,TRUE)</f>
        <v>6.6699999999999995E-2</v>
      </c>
      <c r="F302" s="148">
        <f t="shared" si="133"/>
        <v>1072.4917743185654</v>
      </c>
      <c r="G302" s="147">
        <f t="shared" si="134"/>
        <v>17.638816770505059</v>
      </c>
      <c r="H302" s="147">
        <f t="shared" si="135"/>
        <v>1000</v>
      </c>
      <c r="I302" s="148">
        <v>0</v>
      </c>
      <c r="J302" s="148">
        <f t="shared" si="132"/>
        <v>72.491774318567565</v>
      </c>
      <c r="K302" s="130">
        <f t="shared" si="123"/>
        <v>-2.1884716261411086E-12</v>
      </c>
    </row>
    <row r="303" spans="1:11" ht="13.5" thickBot="1" x14ac:dyDescent="0.25">
      <c r="A303" s="129"/>
      <c r="B303" s="168"/>
      <c r="C303" s="168"/>
      <c r="D303" s="121"/>
      <c r="E303" s="122"/>
      <c r="F303" s="145"/>
      <c r="G303" s="145"/>
      <c r="H303" s="146">
        <f>SUM(H286:H302)</f>
        <v>20000</v>
      </c>
      <c r="I303" s="123">
        <f>SUM(I278:I302)</f>
        <v>1449.8354863713512</v>
      </c>
      <c r="J303" s="123">
        <f>SUM(J286:J302)</f>
        <v>1449.8354863713514</v>
      </c>
      <c r="K303" s="128"/>
    </row>
    <row r="304" spans="1:11" ht="13.5" thickBot="1" x14ac:dyDescent="0.25"/>
    <row r="305" spans="1:11" ht="13.5" thickBot="1" x14ac:dyDescent="0.25">
      <c r="A305" s="304" t="s">
        <v>71</v>
      </c>
      <c r="B305" s="305"/>
      <c r="C305" s="305"/>
      <c r="D305" s="305"/>
      <c r="E305" s="305"/>
      <c r="F305" s="305"/>
      <c r="G305" s="305"/>
      <c r="H305" s="305"/>
      <c r="I305" s="305"/>
      <c r="J305" s="305"/>
      <c r="K305" s="306"/>
    </row>
    <row r="306" spans="1:11" ht="13.5" thickBot="1" x14ac:dyDescent="0.25">
      <c r="A306" s="190" t="s">
        <v>110</v>
      </c>
      <c r="B306" s="185">
        <v>23</v>
      </c>
      <c r="C306" s="191"/>
      <c r="D306" s="191"/>
      <c r="E306" s="191"/>
      <c r="F306" s="191"/>
      <c r="G306" s="191"/>
      <c r="H306" s="191"/>
      <c r="I306" s="191"/>
      <c r="J306" s="191"/>
      <c r="K306" s="192"/>
    </row>
    <row r="307" spans="1:11" ht="51.75" thickBot="1" x14ac:dyDescent="0.25">
      <c r="A307" s="163" t="s">
        <v>9</v>
      </c>
      <c r="B307" s="164" t="s">
        <v>10</v>
      </c>
      <c r="C307" s="164" t="s">
        <v>11</v>
      </c>
      <c r="D307" s="164" t="s">
        <v>12</v>
      </c>
      <c r="E307" s="164" t="s">
        <v>13</v>
      </c>
      <c r="F307" s="164" t="s">
        <v>14</v>
      </c>
      <c r="G307" s="164" t="s">
        <v>32</v>
      </c>
      <c r="H307" s="164" t="s">
        <v>16</v>
      </c>
      <c r="I307" s="164" t="s">
        <v>85</v>
      </c>
      <c r="J307" s="164" t="s">
        <v>33</v>
      </c>
      <c r="K307" s="165" t="s">
        <v>15</v>
      </c>
    </row>
    <row r="308" spans="1:11" x14ac:dyDescent="0.2">
      <c r="A308" s="266"/>
      <c r="B308" s="267">
        <f>VLOOKUP(B306,A$1:F$31,2,FALSE)</f>
        <v>40970</v>
      </c>
      <c r="C308" s="267">
        <f>DATE(YEAR(B308),IF(MONTH(B308)&lt;=3,3,IF(MONTH(B308)&lt;=6,6,IF(MONTH(B308)&lt;=9,9,12))),IF(OR(MONTH(B308)&lt;=3,MONTH(B308)&gt;=10),31,30))</f>
        <v>40999</v>
      </c>
      <c r="D308" s="268">
        <f>C308-B308+1</f>
        <v>30</v>
      </c>
      <c r="E308" s="259">
        <f>VLOOKUP(C308,'FERC Interest Rate'!$A:$B,2,TRUE)</f>
        <v>3.2500000000000001E-2</v>
      </c>
      <c r="F308" s="254">
        <f>VLOOKUP(B306,$A$1:$F$31,5,FALSE)</f>
        <v>20000</v>
      </c>
      <c r="G308" s="272"/>
      <c r="H308" s="273"/>
      <c r="I308" s="254">
        <f>F308*E308*(D308/(DATE(YEAR(C308),12,31)-DATE(YEAR(C308),1,1)+1))</f>
        <v>53.278688524590159</v>
      </c>
      <c r="J308" s="272"/>
      <c r="K308" s="255">
        <f>F308+I308-H308-J308</f>
        <v>20053.278688524591</v>
      </c>
    </row>
    <row r="309" spans="1:11" x14ac:dyDescent="0.2">
      <c r="A309" s="256"/>
      <c r="B309" s="257">
        <f>C308+1</f>
        <v>41000</v>
      </c>
      <c r="C309" s="257">
        <f>EOMONTH(C308,3)</f>
        <v>41090</v>
      </c>
      <c r="D309" s="258">
        <f t="shared" ref="D309:D332" si="136">C309-B309+1</f>
        <v>91</v>
      </c>
      <c r="E309" s="259">
        <f>VLOOKUP(C309,'FERC Interest Rate'!$A:$B,2,TRUE)</f>
        <v>3.2500000000000001E-2</v>
      </c>
      <c r="F309" s="260">
        <f>K308</f>
        <v>20053.278688524591</v>
      </c>
      <c r="G309" s="272"/>
      <c r="H309" s="272"/>
      <c r="I309" s="254">
        <f t="shared" ref="I309:I316" si="137">F309*E309*(D309/(DATE(YEAR(C309),12,31)-DATE(YEAR(C309),1,1)+1))</f>
        <v>162.04254568664339</v>
      </c>
      <c r="J309" s="272"/>
      <c r="K309" s="255">
        <f t="shared" ref="K309:K332" si="138">F309+I309-H309-J309</f>
        <v>20215.321234211235</v>
      </c>
    </row>
    <row r="310" spans="1:11" x14ac:dyDescent="0.2">
      <c r="A310" s="256"/>
      <c r="B310" s="257">
        <f t="shared" ref="B310:B332" si="139">C309+1</f>
        <v>41091</v>
      </c>
      <c r="C310" s="257">
        <f t="shared" ref="C310:C332" si="140">EOMONTH(C309,3)</f>
        <v>41182</v>
      </c>
      <c r="D310" s="258">
        <f t="shared" si="136"/>
        <v>92</v>
      </c>
      <c r="E310" s="259">
        <f>VLOOKUP(C310,'FERC Interest Rate'!$A:$B,2,TRUE)</f>
        <v>3.2500000000000001E-2</v>
      </c>
      <c r="F310" s="260">
        <f t="shared" ref="F310:F318" si="141">K309</f>
        <v>20215.321234211235</v>
      </c>
      <c r="G310" s="272"/>
      <c r="H310" s="272"/>
      <c r="I310" s="254">
        <f t="shared" si="137"/>
        <v>165.14702319751802</v>
      </c>
      <c r="J310" s="272"/>
      <c r="K310" s="255">
        <f t="shared" si="138"/>
        <v>20380.468257408753</v>
      </c>
    </row>
    <row r="311" spans="1:11" x14ac:dyDescent="0.2">
      <c r="A311" s="256"/>
      <c r="B311" s="257">
        <f t="shared" si="139"/>
        <v>41183</v>
      </c>
      <c r="C311" s="257">
        <f t="shared" si="140"/>
        <v>41274</v>
      </c>
      <c r="D311" s="258">
        <f t="shared" si="136"/>
        <v>92</v>
      </c>
      <c r="E311" s="259">
        <f>VLOOKUP(C311,'FERC Interest Rate'!$A:$B,2,TRUE)</f>
        <v>3.2500000000000001E-2</v>
      </c>
      <c r="F311" s="260">
        <f t="shared" si="141"/>
        <v>20380.468257408753</v>
      </c>
      <c r="G311" s="272"/>
      <c r="H311" s="272"/>
      <c r="I311" s="254">
        <f t="shared" si="137"/>
        <v>166.49617510833926</v>
      </c>
      <c r="J311" s="272"/>
      <c r="K311" s="255">
        <f t="shared" si="138"/>
        <v>20546.964432517092</v>
      </c>
    </row>
    <row r="312" spans="1:11" x14ac:dyDescent="0.2">
      <c r="A312" s="256"/>
      <c r="B312" s="257">
        <f t="shared" si="139"/>
        <v>41275</v>
      </c>
      <c r="C312" s="257">
        <f t="shared" si="140"/>
        <v>41364</v>
      </c>
      <c r="D312" s="258">
        <f t="shared" si="136"/>
        <v>90</v>
      </c>
      <c r="E312" s="259">
        <f>VLOOKUP(C312,'FERC Interest Rate'!$A:$B,2,TRUE)</f>
        <v>3.2500000000000001E-2</v>
      </c>
      <c r="F312" s="260">
        <f t="shared" si="141"/>
        <v>20546.964432517092</v>
      </c>
      <c r="G312" s="272"/>
      <c r="H312" s="272"/>
      <c r="I312" s="254">
        <f t="shared" si="137"/>
        <v>164.65718072633561</v>
      </c>
      <c r="J312" s="272"/>
      <c r="K312" s="255">
        <f t="shared" si="138"/>
        <v>20711.621613243427</v>
      </c>
    </row>
    <row r="313" spans="1:11" x14ac:dyDescent="0.2">
      <c r="A313" s="156"/>
      <c r="B313" s="167">
        <f t="shared" ref="B313:B318" si="142">C312+1</f>
        <v>41365</v>
      </c>
      <c r="C313" s="167">
        <f t="shared" si="140"/>
        <v>41455</v>
      </c>
      <c r="D313" s="142">
        <f t="shared" ref="D313:D318" si="143">C313-B313+1</f>
        <v>91</v>
      </c>
      <c r="E313" s="160">
        <f>VLOOKUP(C313,'FERC Interest Rate'!$A:$B,2,TRUE)</f>
        <v>3.2500000000000001E-2</v>
      </c>
      <c r="F313" s="148">
        <f t="shared" si="141"/>
        <v>20711.621613243427</v>
      </c>
      <c r="G313" s="272"/>
      <c r="H313" s="147"/>
      <c r="I313" s="254">
        <f t="shared" si="137"/>
        <v>167.82087923607517</v>
      </c>
      <c r="J313" s="148"/>
      <c r="K313" s="130">
        <f t="shared" ref="K313:K318" si="144">F313+I313-H313-J313</f>
        <v>20879.442492479502</v>
      </c>
    </row>
    <row r="314" spans="1:11" x14ac:dyDescent="0.2">
      <c r="A314" s="156"/>
      <c r="B314" s="167">
        <f t="shared" si="142"/>
        <v>41456</v>
      </c>
      <c r="C314" s="167">
        <f t="shared" si="140"/>
        <v>41547</v>
      </c>
      <c r="D314" s="142">
        <f t="shared" si="143"/>
        <v>92</v>
      </c>
      <c r="E314" s="160">
        <f>VLOOKUP(C314,'FERC Interest Rate'!$A:$B,2,TRUE)</f>
        <v>3.2500000000000001E-2</v>
      </c>
      <c r="F314" s="148">
        <f t="shared" si="141"/>
        <v>20879.442492479502</v>
      </c>
      <c r="G314" s="147"/>
      <c r="H314" s="147"/>
      <c r="I314" s="254">
        <f t="shared" si="137"/>
        <v>171.03981658222935</v>
      </c>
      <c r="J314" s="148"/>
      <c r="K314" s="130">
        <f t="shared" si="144"/>
        <v>21050.482309061732</v>
      </c>
    </row>
    <row r="315" spans="1:11" x14ac:dyDescent="0.2">
      <c r="A315" s="156"/>
      <c r="B315" s="167">
        <f t="shared" si="142"/>
        <v>41548</v>
      </c>
      <c r="C315" s="167">
        <f t="shared" si="140"/>
        <v>41639</v>
      </c>
      <c r="D315" s="142">
        <f t="shared" si="143"/>
        <v>92</v>
      </c>
      <c r="E315" s="160">
        <f>VLOOKUP(C315,'FERC Interest Rate'!$A:$B,2,TRUE)</f>
        <v>3.2500000000000001E-2</v>
      </c>
      <c r="F315" s="148">
        <f t="shared" si="141"/>
        <v>21050.482309061732</v>
      </c>
      <c r="G315" s="147"/>
      <c r="H315" s="147"/>
      <c r="I315" s="254">
        <f t="shared" si="137"/>
        <v>172.44093727149203</v>
      </c>
      <c r="J315" s="148"/>
      <c r="K315" s="130">
        <f t="shared" si="144"/>
        <v>21222.923246333223</v>
      </c>
    </row>
    <row r="316" spans="1:11" x14ac:dyDescent="0.2">
      <c r="A316" s="156"/>
      <c r="B316" s="167">
        <f t="shared" si="142"/>
        <v>41640</v>
      </c>
      <c r="C316" s="167">
        <f t="shared" si="140"/>
        <v>41729</v>
      </c>
      <c r="D316" s="142">
        <f t="shared" si="143"/>
        <v>90</v>
      </c>
      <c r="E316" s="160">
        <f>VLOOKUP(C316,'FERC Interest Rate'!$A:$B,2,TRUE)</f>
        <v>3.2500000000000001E-2</v>
      </c>
      <c r="F316" s="148">
        <f t="shared" si="141"/>
        <v>21222.923246333223</v>
      </c>
      <c r="G316" s="147"/>
      <c r="H316" s="147">
        <f>($F$308/20)*4</f>
        <v>4000</v>
      </c>
      <c r="I316" s="254">
        <f t="shared" si="137"/>
        <v>170.07411094664295</v>
      </c>
      <c r="J316" s="148">
        <f>(SUM($I$308:$I$332)/20)*4</f>
        <v>278.59947145597317</v>
      </c>
      <c r="K316" s="130">
        <f t="shared" si="144"/>
        <v>17114.397885823892</v>
      </c>
    </row>
    <row r="317" spans="1:11" x14ac:dyDescent="0.2">
      <c r="A317" s="156"/>
      <c r="B317" s="167">
        <f t="shared" si="142"/>
        <v>41730</v>
      </c>
      <c r="C317" s="167">
        <f t="shared" si="140"/>
        <v>41820</v>
      </c>
      <c r="D317" s="142">
        <f t="shared" si="143"/>
        <v>91</v>
      </c>
      <c r="E317" s="160">
        <f>VLOOKUP(C317,'FERC Interest Rate'!$A:$B,2,TRUE)</f>
        <v>3.2500000000000001E-2</v>
      </c>
      <c r="F317" s="148">
        <f t="shared" si="141"/>
        <v>17114.397885823892</v>
      </c>
      <c r="G317" s="147">
        <f t="shared" ref="G317:G318" si="145">F317*E317*(D317/(DATE(YEAR(C317),12,31)-DATE(YEAR(C317),1,1)+1))</f>
        <v>138.67351163650457</v>
      </c>
      <c r="H317" s="147">
        <f t="shared" ref="H317:H318" si="146">$F$308/20</f>
        <v>1000</v>
      </c>
      <c r="I317" s="148">
        <v>0</v>
      </c>
      <c r="J317" s="148">
        <f>SUM($I$308:$I$332)/20</f>
        <v>69.649867863993293</v>
      </c>
      <c r="K317" s="130">
        <f t="shared" si="144"/>
        <v>16044.748017959899</v>
      </c>
    </row>
    <row r="318" spans="1:11" x14ac:dyDescent="0.2">
      <c r="A318" s="156"/>
      <c r="B318" s="167">
        <f t="shared" si="142"/>
        <v>41821</v>
      </c>
      <c r="C318" s="167">
        <f t="shared" si="140"/>
        <v>41912</v>
      </c>
      <c r="D318" s="142">
        <f t="shared" si="143"/>
        <v>92</v>
      </c>
      <c r="E318" s="160">
        <f>VLOOKUP(C318,'FERC Interest Rate'!$A:$B,2,TRUE)</f>
        <v>3.2500000000000001E-2</v>
      </c>
      <c r="F318" s="148">
        <f t="shared" si="141"/>
        <v>16044.748017959899</v>
      </c>
      <c r="G318" s="147">
        <f t="shared" si="145"/>
        <v>131.43505910602767</v>
      </c>
      <c r="H318" s="147">
        <f t="shared" si="146"/>
        <v>1000</v>
      </c>
      <c r="I318" s="148">
        <v>0</v>
      </c>
      <c r="J318" s="148">
        <f t="shared" ref="J318:J332" si="147">SUM($I$308:$I$332)/20</f>
        <v>69.649867863993293</v>
      </c>
      <c r="K318" s="130">
        <f t="shared" si="144"/>
        <v>14975.098150095906</v>
      </c>
    </row>
    <row r="319" spans="1:11" x14ac:dyDescent="0.2">
      <c r="A319" s="156"/>
      <c r="B319" s="167">
        <f t="shared" si="139"/>
        <v>41913</v>
      </c>
      <c r="C319" s="167">
        <f t="shared" si="140"/>
        <v>42004</v>
      </c>
      <c r="D319" s="142">
        <f t="shared" si="136"/>
        <v>92</v>
      </c>
      <c r="E319" s="160">
        <f>VLOOKUP(C319,'FERC Interest Rate'!$A:$B,2,TRUE)</f>
        <v>3.2500000000000001E-2</v>
      </c>
      <c r="F319" s="148">
        <f t="shared" ref="F319:F332" si="148">K318</f>
        <v>14975.098150095906</v>
      </c>
      <c r="G319" s="147">
        <f t="shared" ref="G319:G332" si="149">F319*E319*(D319/(DATE(YEAR(C319),12,31)-DATE(YEAR(C319),1,1)+1))</f>
        <v>122.67272183229251</v>
      </c>
      <c r="H319" s="147">
        <f t="shared" ref="H319:H332" si="150">$F$308/20</f>
        <v>1000</v>
      </c>
      <c r="I319" s="148">
        <v>0</v>
      </c>
      <c r="J319" s="148">
        <f t="shared" si="147"/>
        <v>69.649867863993293</v>
      </c>
      <c r="K319" s="130">
        <f t="shared" si="138"/>
        <v>13905.448282231913</v>
      </c>
    </row>
    <row r="320" spans="1:11" x14ac:dyDescent="0.2">
      <c r="A320" s="156"/>
      <c r="B320" s="167">
        <f t="shared" si="139"/>
        <v>42005</v>
      </c>
      <c r="C320" s="167">
        <f t="shared" si="140"/>
        <v>42094</v>
      </c>
      <c r="D320" s="142">
        <f t="shared" si="136"/>
        <v>90</v>
      </c>
      <c r="E320" s="160">
        <f>VLOOKUP(C320,'FERC Interest Rate'!$A:$B,2,TRUE)</f>
        <v>3.2500000000000001E-2</v>
      </c>
      <c r="F320" s="148">
        <f t="shared" si="148"/>
        <v>13905.448282231913</v>
      </c>
      <c r="G320" s="147">
        <f t="shared" si="149"/>
        <v>111.43407185076259</v>
      </c>
      <c r="H320" s="147">
        <f t="shared" si="150"/>
        <v>1000</v>
      </c>
      <c r="I320" s="148">
        <v>0</v>
      </c>
      <c r="J320" s="148">
        <f t="shared" si="147"/>
        <v>69.649867863993293</v>
      </c>
      <c r="K320" s="130">
        <f t="shared" si="138"/>
        <v>12835.79841436792</v>
      </c>
    </row>
    <row r="321" spans="1:11" x14ac:dyDescent="0.2">
      <c r="A321" s="156"/>
      <c r="B321" s="167">
        <f t="shared" si="139"/>
        <v>42095</v>
      </c>
      <c r="C321" s="167">
        <f t="shared" si="140"/>
        <v>42185</v>
      </c>
      <c r="D321" s="142">
        <f t="shared" si="136"/>
        <v>91</v>
      </c>
      <c r="E321" s="160">
        <f>VLOOKUP(C321,'FERC Interest Rate'!$A:$B,2,TRUE)</f>
        <v>3.2500000000000001E-2</v>
      </c>
      <c r="F321" s="148">
        <f t="shared" si="148"/>
        <v>12835.79841436792</v>
      </c>
      <c r="G321" s="147">
        <f t="shared" si="149"/>
        <v>104.00513372737844</v>
      </c>
      <c r="H321" s="147">
        <f t="shared" si="150"/>
        <v>1000</v>
      </c>
      <c r="I321" s="148">
        <v>0</v>
      </c>
      <c r="J321" s="148">
        <f t="shared" si="147"/>
        <v>69.649867863993293</v>
      </c>
      <c r="K321" s="130">
        <f t="shared" si="138"/>
        <v>11766.148546503928</v>
      </c>
    </row>
    <row r="322" spans="1:11" x14ac:dyDescent="0.2">
      <c r="A322" s="156"/>
      <c r="B322" s="167">
        <f t="shared" si="139"/>
        <v>42186</v>
      </c>
      <c r="C322" s="167">
        <f t="shared" si="140"/>
        <v>42277</v>
      </c>
      <c r="D322" s="142">
        <f t="shared" si="136"/>
        <v>92</v>
      </c>
      <c r="E322" s="160">
        <f>VLOOKUP(C322,'FERC Interest Rate'!$A:$B,2,TRUE)</f>
        <v>3.2500000000000001E-2</v>
      </c>
      <c r="F322" s="148">
        <f t="shared" si="148"/>
        <v>11766.148546503928</v>
      </c>
      <c r="G322" s="147">
        <f t="shared" si="149"/>
        <v>96.385710011086971</v>
      </c>
      <c r="H322" s="147">
        <f t="shared" si="150"/>
        <v>1000</v>
      </c>
      <c r="I322" s="148">
        <v>0</v>
      </c>
      <c r="J322" s="148">
        <f t="shared" si="147"/>
        <v>69.649867863993293</v>
      </c>
      <c r="K322" s="130">
        <f t="shared" si="138"/>
        <v>10696.498678639935</v>
      </c>
    </row>
    <row r="323" spans="1:11" x14ac:dyDescent="0.2">
      <c r="A323" s="156"/>
      <c r="B323" s="167">
        <f t="shared" si="139"/>
        <v>42278</v>
      </c>
      <c r="C323" s="167">
        <f t="shared" si="140"/>
        <v>42369</v>
      </c>
      <c r="D323" s="142">
        <f t="shared" si="136"/>
        <v>92</v>
      </c>
      <c r="E323" s="160">
        <f>VLOOKUP(C323,'FERC Interest Rate'!$A:$B,2,TRUE)</f>
        <v>3.2500000000000001E-2</v>
      </c>
      <c r="F323" s="148">
        <f t="shared" si="148"/>
        <v>10696.498678639935</v>
      </c>
      <c r="G323" s="147">
        <f t="shared" si="149"/>
        <v>87.623372737351815</v>
      </c>
      <c r="H323" s="147">
        <f t="shared" si="150"/>
        <v>1000</v>
      </c>
      <c r="I323" s="148">
        <v>0</v>
      </c>
      <c r="J323" s="148">
        <f t="shared" si="147"/>
        <v>69.649867863993293</v>
      </c>
      <c r="K323" s="130">
        <f t="shared" si="138"/>
        <v>9626.8488107759422</v>
      </c>
    </row>
    <row r="324" spans="1:11" x14ac:dyDescent="0.2">
      <c r="A324" s="156"/>
      <c r="B324" s="167">
        <f t="shared" si="139"/>
        <v>42370</v>
      </c>
      <c r="C324" s="167">
        <f t="shared" si="140"/>
        <v>42460</v>
      </c>
      <c r="D324" s="142">
        <f t="shared" si="136"/>
        <v>91</v>
      </c>
      <c r="E324" s="160">
        <f>VLOOKUP(C324,'FERC Interest Rate'!$A:$B,2,TRUE)</f>
        <v>3.2500000000000001E-2</v>
      </c>
      <c r="F324" s="148">
        <f t="shared" si="148"/>
        <v>9626.8488107759422</v>
      </c>
      <c r="G324" s="147">
        <f t="shared" si="149"/>
        <v>77.790725021502311</v>
      </c>
      <c r="H324" s="147">
        <f t="shared" si="150"/>
        <v>1000</v>
      </c>
      <c r="I324" s="148">
        <v>0</v>
      </c>
      <c r="J324" s="148">
        <f t="shared" si="147"/>
        <v>69.649867863993293</v>
      </c>
      <c r="K324" s="130">
        <f t="shared" si="138"/>
        <v>8557.1989429119494</v>
      </c>
    </row>
    <row r="325" spans="1:11" x14ac:dyDescent="0.2">
      <c r="A325" s="156"/>
      <c r="B325" s="167">
        <f t="shared" si="139"/>
        <v>42461</v>
      </c>
      <c r="C325" s="167">
        <f t="shared" si="140"/>
        <v>42551</v>
      </c>
      <c r="D325" s="142">
        <f t="shared" si="136"/>
        <v>91</v>
      </c>
      <c r="E325" s="160">
        <f>VLOOKUP(C325,'FERC Interest Rate'!$A:$B,2,TRUE)</f>
        <v>3.2500000000000001E-2</v>
      </c>
      <c r="F325" s="148">
        <f t="shared" si="148"/>
        <v>8557.1989429119494</v>
      </c>
      <c r="G325" s="147">
        <f t="shared" si="149"/>
        <v>69.147311130224296</v>
      </c>
      <c r="H325" s="147">
        <f t="shared" si="150"/>
        <v>1000</v>
      </c>
      <c r="I325" s="148">
        <v>0</v>
      </c>
      <c r="J325" s="148">
        <f t="shared" si="147"/>
        <v>69.649867863993293</v>
      </c>
      <c r="K325" s="130">
        <f t="shared" si="138"/>
        <v>7487.5490750479557</v>
      </c>
    </row>
    <row r="326" spans="1:11" x14ac:dyDescent="0.2">
      <c r="A326" s="156"/>
      <c r="B326" s="167">
        <f t="shared" si="139"/>
        <v>42552</v>
      </c>
      <c r="C326" s="167">
        <f t="shared" si="140"/>
        <v>42643</v>
      </c>
      <c r="D326" s="142">
        <f t="shared" si="136"/>
        <v>92</v>
      </c>
      <c r="E326" s="160">
        <f>VLOOKUP(C326,'FERC Interest Rate'!$A:$B,2,TRUE)</f>
        <v>4.0333330000000001E-2</v>
      </c>
      <c r="F326" s="148">
        <f t="shared" si="148"/>
        <v>7487.5490750479557</v>
      </c>
      <c r="G326" s="147">
        <f t="shared" si="149"/>
        <v>75.91201221756711</v>
      </c>
      <c r="H326" s="147">
        <f t="shared" si="150"/>
        <v>1000</v>
      </c>
      <c r="I326" s="148">
        <v>0</v>
      </c>
      <c r="J326" s="148">
        <f t="shared" si="147"/>
        <v>69.649867863993293</v>
      </c>
      <c r="K326" s="130">
        <f t="shared" si="138"/>
        <v>6417.8992071839621</v>
      </c>
    </row>
    <row r="327" spans="1:11" x14ac:dyDescent="0.2">
      <c r="A327" s="156"/>
      <c r="B327" s="167">
        <f t="shared" si="139"/>
        <v>42644</v>
      </c>
      <c r="C327" s="167">
        <f t="shared" si="140"/>
        <v>42735</v>
      </c>
      <c r="D327" s="142">
        <f t="shared" si="136"/>
        <v>92</v>
      </c>
      <c r="E327" s="160">
        <f>VLOOKUP(C327,'FERC Interest Rate'!$A:$B,2,TRUE)</f>
        <v>4.2833329999999996E-2</v>
      </c>
      <c r="F327" s="148">
        <f t="shared" si="148"/>
        <v>6417.8992071839621</v>
      </c>
      <c r="G327" s="147">
        <f t="shared" si="149"/>
        <v>69.100545102788274</v>
      </c>
      <c r="H327" s="147">
        <f t="shared" si="150"/>
        <v>1000</v>
      </c>
      <c r="I327" s="148">
        <v>0</v>
      </c>
      <c r="J327" s="148">
        <f t="shared" si="147"/>
        <v>69.649867863993293</v>
      </c>
      <c r="K327" s="130">
        <f t="shared" si="138"/>
        <v>5348.2493393199684</v>
      </c>
    </row>
    <row r="328" spans="1:11" x14ac:dyDescent="0.2">
      <c r="A328" s="169"/>
      <c r="B328" s="167">
        <f t="shared" si="139"/>
        <v>42736</v>
      </c>
      <c r="C328" s="167">
        <f t="shared" si="140"/>
        <v>42825</v>
      </c>
      <c r="D328" s="142">
        <f t="shared" si="136"/>
        <v>90</v>
      </c>
      <c r="E328" s="160">
        <f>VLOOKUP(C328,'FERC Interest Rate'!$A:$B,2,TRUE)</f>
        <v>4.7066670000000005E-2</v>
      </c>
      <c r="F328" s="148">
        <f t="shared" si="148"/>
        <v>5348.2493393199684</v>
      </c>
      <c r="G328" s="147">
        <f t="shared" si="149"/>
        <v>62.069002207764896</v>
      </c>
      <c r="H328" s="147">
        <f t="shared" si="150"/>
        <v>1000</v>
      </c>
      <c r="I328" s="148">
        <v>0</v>
      </c>
      <c r="J328" s="148">
        <f t="shared" si="147"/>
        <v>69.649867863993293</v>
      </c>
      <c r="K328" s="130">
        <f t="shared" si="138"/>
        <v>4278.5994714559747</v>
      </c>
    </row>
    <row r="329" spans="1:11" x14ac:dyDescent="0.2">
      <c r="A329" s="169"/>
      <c r="B329" s="167">
        <f t="shared" si="139"/>
        <v>42826</v>
      </c>
      <c r="C329" s="167">
        <f t="shared" si="140"/>
        <v>42916</v>
      </c>
      <c r="D329" s="142">
        <f t="shared" si="136"/>
        <v>91</v>
      </c>
      <c r="E329" s="160">
        <f>VLOOKUP(C329,'FERC Interest Rate'!$A:$B,2,TRUE)</f>
        <v>5.21E-2</v>
      </c>
      <c r="F329" s="148">
        <f t="shared" si="148"/>
        <v>4278.5994714559747</v>
      </c>
      <c r="G329" s="147">
        <f t="shared" si="149"/>
        <v>55.576076586629924</v>
      </c>
      <c r="H329" s="147">
        <f t="shared" si="150"/>
        <v>1000</v>
      </c>
      <c r="I329" s="148">
        <v>0</v>
      </c>
      <c r="J329" s="148">
        <f t="shared" si="147"/>
        <v>69.649867863993293</v>
      </c>
      <c r="K329" s="130">
        <f t="shared" si="138"/>
        <v>3208.9496035919815</v>
      </c>
    </row>
    <row r="330" spans="1:11" x14ac:dyDescent="0.2">
      <c r="A330" s="169"/>
      <c r="B330" s="167">
        <f t="shared" si="139"/>
        <v>42917</v>
      </c>
      <c r="C330" s="167">
        <f t="shared" si="140"/>
        <v>43008</v>
      </c>
      <c r="D330" s="142">
        <f t="shared" si="136"/>
        <v>92</v>
      </c>
      <c r="E330" s="160">
        <f>VLOOKUP(C330,'FERC Interest Rate'!$A:$B,2,TRUE)</f>
        <v>5.7066670000000007E-2</v>
      </c>
      <c r="F330" s="148">
        <f t="shared" si="148"/>
        <v>3208.9496035919815</v>
      </c>
      <c r="G330" s="147">
        <f t="shared" si="149"/>
        <v>46.157299350364191</v>
      </c>
      <c r="H330" s="147">
        <f t="shared" si="150"/>
        <v>1000</v>
      </c>
      <c r="I330" s="148">
        <v>0</v>
      </c>
      <c r="J330" s="148">
        <f t="shared" si="147"/>
        <v>69.649867863993293</v>
      </c>
      <c r="K330" s="130">
        <f t="shared" si="138"/>
        <v>2139.2997357279883</v>
      </c>
    </row>
    <row r="331" spans="1:11" x14ac:dyDescent="0.2">
      <c r="A331" s="169"/>
      <c r="B331" s="167">
        <f t="shared" si="139"/>
        <v>43009</v>
      </c>
      <c r="C331" s="167">
        <f t="shared" si="140"/>
        <v>43100</v>
      </c>
      <c r="D331" s="142">
        <f t="shared" si="136"/>
        <v>92</v>
      </c>
      <c r="E331" s="160">
        <f>VLOOKUP(C331,'FERC Interest Rate'!$A:$B,2,TRUE)</f>
        <v>6.2033329999999998E-2</v>
      </c>
      <c r="F331" s="148">
        <f t="shared" si="148"/>
        <v>2139.2997357279883</v>
      </c>
      <c r="G331" s="147">
        <f t="shared" si="149"/>
        <v>33.449659056794772</v>
      </c>
      <c r="H331" s="147">
        <f t="shared" si="150"/>
        <v>1000</v>
      </c>
      <c r="I331" s="148">
        <v>0</v>
      </c>
      <c r="J331" s="148">
        <f t="shared" si="147"/>
        <v>69.649867863993293</v>
      </c>
      <c r="K331" s="130">
        <f t="shared" si="138"/>
        <v>1069.649867863995</v>
      </c>
    </row>
    <row r="332" spans="1:11" x14ac:dyDescent="0.2">
      <c r="A332" s="169"/>
      <c r="B332" s="167">
        <f t="shared" si="139"/>
        <v>43101</v>
      </c>
      <c r="C332" s="167">
        <f t="shared" si="140"/>
        <v>43190</v>
      </c>
      <c r="D332" s="142">
        <f t="shared" si="136"/>
        <v>90</v>
      </c>
      <c r="E332" s="160">
        <f>VLOOKUP(C332,'FERC Interest Rate'!$A:$B,2,TRUE)</f>
        <v>6.6699999999999995E-2</v>
      </c>
      <c r="F332" s="148">
        <f t="shared" si="148"/>
        <v>1069.649867863995</v>
      </c>
      <c r="G332" s="147">
        <f t="shared" si="149"/>
        <v>17.592077141883731</v>
      </c>
      <c r="H332" s="147">
        <f t="shared" si="150"/>
        <v>1000</v>
      </c>
      <c r="I332" s="148">
        <v>0</v>
      </c>
      <c r="J332" s="148">
        <f t="shared" si="147"/>
        <v>69.649867863993293</v>
      </c>
      <c r="K332" s="130">
        <f t="shared" si="138"/>
        <v>1.7479351299698465E-12</v>
      </c>
    </row>
    <row r="333" spans="1:11" ht="13.5" thickBot="1" x14ac:dyDescent="0.25">
      <c r="A333" s="129"/>
      <c r="B333" s="168"/>
      <c r="C333" s="168"/>
      <c r="D333" s="121"/>
      <c r="E333" s="122"/>
      <c r="F333" s="145"/>
      <c r="G333" s="145"/>
      <c r="H333" s="146">
        <f>SUM(H316:H332)</f>
        <v>20000</v>
      </c>
      <c r="I333" s="123">
        <f>SUM(I308:I332)</f>
        <v>1392.9973572798658</v>
      </c>
      <c r="J333" s="123">
        <f>SUM(J316:J332)</f>
        <v>1392.9973572798658</v>
      </c>
      <c r="K333" s="128"/>
    </row>
    <row r="334" spans="1:11" ht="13.5" thickBot="1" x14ac:dyDescent="0.25"/>
    <row r="335" spans="1:11" ht="13.5" thickBot="1" x14ac:dyDescent="0.25">
      <c r="A335" s="304" t="s">
        <v>71</v>
      </c>
      <c r="B335" s="305"/>
      <c r="C335" s="305"/>
      <c r="D335" s="305"/>
      <c r="E335" s="305"/>
      <c r="F335" s="305"/>
      <c r="G335" s="305"/>
      <c r="H335" s="305"/>
      <c r="I335" s="305"/>
      <c r="J335" s="305"/>
      <c r="K335" s="306"/>
    </row>
    <row r="336" spans="1:11" ht="13.5" thickBot="1" x14ac:dyDescent="0.25">
      <c r="A336" s="190" t="s">
        <v>110</v>
      </c>
      <c r="B336" s="185">
        <v>24</v>
      </c>
      <c r="C336" s="191"/>
      <c r="D336" s="191"/>
      <c r="E336" s="191"/>
      <c r="F336" s="191"/>
      <c r="G336" s="191"/>
      <c r="H336" s="191"/>
      <c r="I336" s="191"/>
      <c r="J336" s="191"/>
      <c r="K336" s="192"/>
    </row>
    <row r="337" spans="1:11" ht="51.75" thickBot="1" x14ac:dyDescent="0.25">
      <c r="A337" s="163" t="s">
        <v>9</v>
      </c>
      <c r="B337" s="164" t="s">
        <v>10</v>
      </c>
      <c r="C337" s="164" t="s">
        <v>11</v>
      </c>
      <c r="D337" s="164" t="s">
        <v>12</v>
      </c>
      <c r="E337" s="164" t="s">
        <v>13</v>
      </c>
      <c r="F337" s="164" t="s">
        <v>14</v>
      </c>
      <c r="G337" s="164" t="s">
        <v>32</v>
      </c>
      <c r="H337" s="164" t="s">
        <v>16</v>
      </c>
      <c r="I337" s="164" t="s">
        <v>85</v>
      </c>
      <c r="J337" s="164" t="s">
        <v>33</v>
      </c>
      <c r="K337" s="165" t="s">
        <v>15</v>
      </c>
    </row>
    <row r="338" spans="1:11" x14ac:dyDescent="0.2">
      <c r="A338" s="266"/>
      <c r="B338" s="267">
        <f>VLOOKUP(B336,A$1:F$31,2,FALSE)</f>
        <v>40998</v>
      </c>
      <c r="C338" s="267">
        <f>DATE(YEAR(B338),IF(MONTH(B338)&lt;=3,3,IF(MONTH(B338)&lt;=6,6,IF(MONTH(B338)&lt;=9,9,12))),IF(OR(MONTH(B338)&lt;=3,MONTH(B338)&gt;=10),31,30))</f>
        <v>40999</v>
      </c>
      <c r="D338" s="268">
        <f>C338-B338+1</f>
        <v>2</v>
      </c>
      <c r="E338" s="259">
        <f>VLOOKUP(C338,'FERC Interest Rate'!$A:$B,2,TRUE)</f>
        <v>3.2500000000000001E-2</v>
      </c>
      <c r="F338" s="254">
        <f>VLOOKUP(B336,$A$1:$F$31,5,FALSE)</f>
        <v>20000</v>
      </c>
      <c r="G338" s="272"/>
      <c r="H338" s="273"/>
      <c r="I338" s="254">
        <f>F338*E338*(D338/(DATE(YEAR(C338),12,31)-DATE(YEAR(C338),1,1)+1))</f>
        <v>3.5519125683060109</v>
      </c>
      <c r="J338" s="272"/>
      <c r="K338" s="255">
        <f>F338+I338-H338-J338</f>
        <v>20003.551912568306</v>
      </c>
    </row>
    <row r="339" spans="1:11" x14ac:dyDescent="0.2">
      <c r="A339" s="256"/>
      <c r="B339" s="257">
        <f>C338+1</f>
        <v>41000</v>
      </c>
      <c r="C339" s="257">
        <f>EOMONTH(C338,3)</f>
        <v>41090</v>
      </c>
      <c r="D339" s="258">
        <f t="shared" ref="D339:D362" si="151">C339-B339+1</f>
        <v>91</v>
      </c>
      <c r="E339" s="259">
        <f>VLOOKUP(C339,'FERC Interest Rate'!$A:$B,2,TRUE)</f>
        <v>3.2500000000000001E-2</v>
      </c>
      <c r="F339" s="260">
        <f>K338</f>
        <v>20003.551912568306</v>
      </c>
      <c r="G339" s="272"/>
      <c r="H339" s="272"/>
      <c r="I339" s="254">
        <f t="shared" ref="I339:I346" si="152">F339*E339*(D339/(DATE(YEAR(C339),12,31)-DATE(YEAR(C339),1,1)+1))</f>
        <v>161.64072344650481</v>
      </c>
      <c r="J339" s="272"/>
      <c r="K339" s="255">
        <f t="shared" ref="K339:K362" si="153">F339+I339-H339-J339</f>
        <v>20165.19263601481</v>
      </c>
    </row>
    <row r="340" spans="1:11" x14ac:dyDescent="0.2">
      <c r="A340" s="256"/>
      <c r="B340" s="257">
        <f t="shared" ref="B340:B362" si="154">C339+1</f>
        <v>41091</v>
      </c>
      <c r="C340" s="257">
        <f t="shared" ref="C340:C362" si="155">EOMONTH(C339,3)</f>
        <v>41182</v>
      </c>
      <c r="D340" s="258">
        <f t="shared" si="151"/>
        <v>92</v>
      </c>
      <c r="E340" s="259">
        <f>VLOOKUP(C340,'FERC Interest Rate'!$A:$B,2,TRUE)</f>
        <v>3.2500000000000001E-2</v>
      </c>
      <c r="F340" s="260">
        <f t="shared" ref="F340:F348" si="156">K339</f>
        <v>20165.19263601481</v>
      </c>
      <c r="G340" s="272"/>
      <c r="H340" s="272"/>
      <c r="I340" s="254">
        <f t="shared" si="152"/>
        <v>164.73750268219752</v>
      </c>
      <c r="J340" s="272"/>
      <c r="K340" s="255">
        <f t="shared" si="153"/>
        <v>20329.930138697007</v>
      </c>
    </row>
    <row r="341" spans="1:11" x14ac:dyDescent="0.2">
      <c r="A341" s="256"/>
      <c r="B341" s="257">
        <f t="shared" si="154"/>
        <v>41183</v>
      </c>
      <c r="C341" s="257">
        <f t="shared" si="155"/>
        <v>41274</v>
      </c>
      <c r="D341" s="258">
        <f t="shared" si="151"/>
        <v>92</v>
      </c>
      <c r="E341" s="259">
        <f>VLOOKUP(C341,'FERC Interest Rate'!$A:$B,2,TRUE)</f>
        <v>3.2500000000000001E-2</v>
      </c>
      <c r="F341" s="260">
        <f t="shared" si="156"/>
        <v>20329.930138697007</v>
      </c>
      <c r="G341" s="272"/>
      <c r="H341" s="272"/>
      <c r="I341" s="254">
        <f t="shared" si="152"/>
        <v>166.08330905656845</v>
      </c>
      <c r="J341" s="272"/>
      <c r="K341" s="255">
        <f t="shared" si="153"/>
        <v>20496.013447753576</v>
      </c>
    </row>
    <row r="342" spans="1:11" x14ac:dyDescent="0.2">
      <c r="A342" s="256"/>
      <c r="B342" s="257">
        <f t="shared" si="154"/>
        <v>41275</v>
      </c>
      <c r="C342" s="257">
        <f t="shared" si="155"/>
        <v>41364</v>
      </c>
      <c r="D342" s="258">
        <f t="shared" si="151"/>
        <v>90</v>
      </c>
      <c r="E342" s="259">
        <f>VLOOKUP(C342,'FERC Interest Rate'!$A:$B,2,TRUE)</f>
        <v>3.2500000000000001E-2</v>
      </c>
      <c r="F342" s="260">
        <f t="shared" si="156"/>
        <v>20496.013447753576</v>
      </c>
      <c r="G342" s="272"/>
      <c r="H342" s="272"/>
      <c r="I342" s="254">
        <f t="shared" si="152"/>
        <v>164.24887488953206</v>
      </c>
      <c r="J342" s="272"/>
      <c r="K342" s="255">
        <f t="shared" si="153"/>
        <v>20660.262322643106</v>
      </c>
    </row>
    <row r="343" spans="1:11" x14ac:dyDescent="0.2">
      <c r="A343" s="156"/>
      <c r="B343" s="167">
        <f t="shared" ref="B343:B348" si="157">C342+1</f>
        <v>41365</v>
      </c>
      <c r="C343" s="167">
        <f t="shared" si="155"/>
        <v>41455</v>
      </c>
      <c r="D343" s="142">
        <f t="shared" ref="D343:D348" si="158">C343-B343+1</f>
        <v>91</v>
      </c>
      <c r="E343" s="160">
        <f>VLOOKUP(C343,'FERC Interest Rate'!$A:$B,2,TRUE)</f>
        <v>3.2500000000000001E-2</v>
      </c>
      <c r="F343" s="148">
        <f t="shared" si="156"/>
        <v>20660.262322643106</v>
      </c>
      <c r="G343" s="272"/>
      <c r="H343" s="147"/>
      <c r="I343" s="254">
        <f t="shared" si="152"/>
        <v>167.40472827182737</v>
      </c>
      <c r="J343" s="148"/>
      <c r="K343" s="130">
        <f t="shared" ref="K343:K348" si="159">F343+I343-H343-J343</f>
        <v>20827.667050914933</v>
      </c>
    </row>
    <row r="344" spans="1:11" x14ac:dyDescent="0.2">
      <c r="A344" s="156"/>
      <c r="B344" s="167">
        <f t="shared" si="157"/>
        <v>41456</v>
      </c>
      <c r="C344" s="167">
        <f t="shared" si="155"/>
        <v>41547</v>
      </c>
      <c r="D344" s="142">
        <f t="shared" si="158"/>
        <v>92</v>
      </c>
      <c r="E344" s="160">
        <f>VLOOKUP(C344,'FERC Interest Rate'!$A:$B,2,TRUE)</f>
        <v>3.2500000000000001E-2</v>
      </c>
      <c r="F344" s="148">
        <f t="shared" si="156"/>
        <v>20827.667050914933</v>
      </c>
      <c r="G344" s="147"/>
      <c r="H344" s="147"/>
      <c r="I344" s="254">
        <f t="shared" si="152"/>
        <v>170.61568351297441</v>
      </c>
      <c r="J344" s="148"/>
      <c r="K344" s="130">
        <f t="shared" si="159"/>
        <v>20998.282734427907</v>
      </c>
    </row>
    <row r="345" spans="1:11" x14ac:dyDescent="0.2">
      <c r="A345" s="156"/>
      <c r="B345" s="167">
        <f t="shared" si="157"/>
        <v>41548</v>
      </c>
      <c r="C345" s="167">
        <f t="shared" si="155"/>
        <v>41639</v>
      </c>
      <c r="D345" s="142">
        <f t="shared" si="158"/>
        <v>92</v>
      </c>
      <c r="E345" s="160">
        <f>VLOOKUP(C345,'FERC Interest Rate'!$A:$B,2,TRUE)</f>
        <v>3.2500000000000001E-2</v>
      </c>
      <c r="F345" s="148">
        <f t="shared" si="156"/>
        <v>20998.282734427907</v>
      </c>
      <c r="G345" s="147"/>
      <c r="H345" s="147"/>
      <c r="I345" s="254">
        <f t="shared" si="152"/>
        <v>172.01332979709437</v>
      </c>
      <c r="J345" s="148"/>
      <c r="K345" s="130">
        <f t="shared" si="159"/>
        <v>21170.296064225</v>
      </c>
    </row>
    <row r="346" spans="1:11" x14ac:dyDescent="0.2">
      <c r="A346" s="156"/>
      <c r="B346" s="167">
        <f t="shared" si="157"/>
        <v>41640</v>
      </c>
      <c r="C346" s="167">
        <f t="shared" si="155"/>
        <v>41729</v>
      </c>
      <c r="D346" s="142">
        <f t="shared" si="158"/>
        <v>90</v>
      </c>
      <c r="E346" s="160">
        <f>VLOOKUP(C346,'FERC Interest Rate'!$A:$B,2,TRUE)</f>
        <v>3.2500000000000001E-2</v>
      </c>
      <c r="F346" s="148">
        <f t="shared" si="156"/>
        <v>21170.296064225</v>
      </c>
      <c r="G346" s="147"/>
      <c r="H346" s="147">
        <f>($F$338/20)*4</f>
        <v>4000</v>
      </c>
      <c r="I346" s="254">
        <f t="shared" si="152"/>
        <v>169.65237256947432</v>
      </c>
      <c r="J346" s="148">
        <f>(SUM($I$338:$I$362)/20)*4</f>
        <v>267.98968735889582</v>
      </c>
      <c r="K346" s="130">
        <f t="shared" si="159"/>
        <v>17071.95874943558</v>
      </c>
    </row>
    <row r="347" spans="1:11" x14ac:dyDescent="0.2">
      <c r="A347" s="156"/>
      <c r="B347" s="167">
        <f t="shared" si="157"/>
        <v>41730</v>
      </c>
      <c r="C347" s="167">
        <f t="shared" si="155"/>
        <v>41820</v>
      </c>
      <c r="D347" s="142">
        <f t="shared" si="158"/>
        <v>91</v>
      </c>
      <c r="E347" s="160">
        <f>VLOOKUP(C347,'FERC Interest Rate'!$A:$B,2,TRUE)</f>
        <v>3.2500000000000001E-2</v>
      </c>
      <c r="F347" s="148">
        <f t="shared" si="156"/>
        <v>17071.95874943558</v>
      </c>
      <c r="G347" s="147">
        <f t="shared" ref="G347:G348" si="160">F347*E347*(D347/(DATE(YEAR(C347),12,31)-DATE(YEAR(C347),1,1)+1))</f>
        <v>138.3296383601527</v>
      </c>
      <c r="H347" s="147">
        <f t="shared" ref="H347:H348" si="161">$F$338/20</f>
        <v>1000</v>
      </c>
      <c r="I347" s="148">
        <v>0</v>
      </c>
      <c r="J347" s="148">
        <f>SUM($I$338:$I$362)/20</f>
        <v>66.997421839723955</v>
      </c>
      <c r="K347" s="130">
        <f t="shared" si="159"/>
        <v>16004.961327595856</v>
      </c>
    </row>
    <row r="348" spans="1:11" x14ac:dyDescent="0.2">
      <c r="A348" s="156"/>
      <c r="B348" s="167">
        <f t="shared" si="157"/>
        <v>41821</v>
      </c>
      <c r="C348" s="167">
        <f t="shared" si="155"/>
        <v>41912</v>
      </c>
      <c r="D348" s="142">
        <f t="shared" si="158"/>
        <v>92</v>
      </c>
      <c r="E348" s="160">
        <f>VLOOKUP(C348,'FERC Interest Rate'!$A:$B,2,TRUE)</f>
        <v>3.2500000000000001E-2</v>
      </c>
      <c r="F348" s="148">
        <f t="shared" si="156"/>
        <v>16004.961327595856</v>
      </c>
      <c r="G348" s="147">
        <f t="shared" si="160"/>
        <v>131.10913525893594</v>
      </c>
      <c r="H348" s="147">
        <f t="shared" si="161"/>
        <v>1000</v>
      </c>
      <c r="I348" s="148">
        <v>0</v>
      </c>
      <c r="J348" s="148">
        <f t="shared" ref="J348:J362" si="162">SUM($I$338:$I$362)/20</f>
        <v>66.997421839723955</v>
      </c>
      <c r="K348" s="130">
        <f t="shared" si="159"/>
        <v>14937.963905756133</v>
      </c>
    </row>
    <row r="349" spans="1:11" x14ac:dyDescent="0.2">
      <c r="A349" s="156"/>
      <c r="B349" s="167">
        <f t="shared" si="154"/>
        <v>41913</v>
      </c>
      <c r="C349" s="167">
        <f t="shared" si="155"/>
        <v>42004</v>
      </c>
      <c r="D349" s="142">
        <f t="shared" si="151"/>
        <v>92</v>
      </c>
      <c r="E349" s="160">
        <f>VLOOKUP(C349,'FERC Interest Rate'!$A:$B,2,TRUE)</f>
        <v>3.2500000000000001E-2</v>
      </c>
      <c r="F349" s="148">
        <f t="shared" ref="F349:F362" si="163">K348</f>
        <v>14937.963905756133</v>
      </c>
      <c r="G349" s="147">
        <f t="shared" ref="G349:G362" si="164">F349*E349*(D349/(DATE(YEAR(C349),12,31)-DATE(YEAR(C349),1,1)+1))</f>
        <v>122.36852624167354</v>
      </c>
      <c r="H349" s="147">
        <f t="shared" ref="H349:H362" si="165">$F$338/20</f>
        <v>1000</v>
      </c>
      <c r="I349" s="148">
        <v>0</v>
      </c>
      <c r="J349" s="148">
        <f t="shared" si="162"/>
        <v>66.997421839723955</v>
      </c>
      <c r="K349" s="130">
        <f t="shared" si="153"/>
        <v>13870.966483916409</v>
      </c>
    </row>
    <row r="350" spans="1:11" x14ac:dyDescent="0.2">
      <c r="A350" s="156"/>
      <c r="B350" s="167">
        <f t="shared" si="154"/>
        <v>42005</v>
      </c>
      <c r="C350" s="167">
        <f t="shared" si="155"/>
        <v>42094</v>
      </c>
      <c r="D350" s="142">
        <f t="shared" si="151"/>
        <v>90</v>
      </c>
      <c r="E350" s="160">
        <f>VLOOKUP(C350,'FERC Interest Rate'!$A:$B,2,TRUE)</f>
        <v>3.2500000000000001E-2</v>
      </c>
      <c r="F350" s="148">
        <f t="shared" si="163"/>
        <v>13870.966483916409</v>
      </c>
      <c r="G350" s="147">
        <f t="shared" si="164"/>
        <v>111.15774511083697</v>
      </c>
      <c r="H350" s="147">
        <f t="shared" si="165"/>
        <v>1000</v>
      </c>
      <c r="I350" s="148">
        <v>0</v>
      </c>
      <c r="J350" s="148">
        <f t="shared" si="162"/>
        <v>66.997421839723955</v>
      </c>
      <c r="K350" s="130">
        <f t="shared" si="153"/>
        <v>12803.969062076685</v>
      </c>
    </row>
    <row r="351" spans="1:11" x14ac:dyDescent="0.2">
      <c r="A351" s="156"/>
      <c r="B351" s="167">
        <f t="shared" si="154"/>
        <v>42095</v>
      </c>
      <c r="C351" s="167">
        <f t="shared" si="155"/>
        <v>42185</v>
      </c>
      <c r="D351" s="142">
        <f t="shared" si="151"/>
        <v>91</v>
      </c>
      <c r="E351" s="160">
        <f>VLOOKUP(C351,'FERC Interest Rate'!$A:$B,2,TRUE)</f>
        <v>3.2500000000000001E-2</v>
      </c>
      <c r="F351" s="148">
        <f t="shared" si="163"/>
        <v>12803.969062076685</v>
      </c>
      <c r="G351" s="147">
        <f t="shared" si="164"/>
        <v>103.74722877011452</v>
      </c>
      <c r="H351" s="147">
        <f t="shared" si="165"/>
        <v>1000</v>
      </c>
      <c r="I351" s="148">
        <v>0</v>
      </c>
      <c r="J351" s="148">
        <f t="shared" si="162"/>
        <v>66.997421839723955</v>
      </c>
      <c r="K351" s="130">
        <f t="shared" si="153"/>
        <v>11736.971640236961</v>
      </c>
    </row>
    <row r="352" spans="1:11" x14ac:dyDescent="0.2">
      <c r="A352" s="156"/>
      <c r="B352" s="167">
        <f t="shared" si="154"/>
        <v>42186</v>
      </c>
      <c r="C352" s="167">
        <f t="shared" si="155"/>
        <v>42277</v>
      </c>
      <c r="D352" s="142">
        <f t="shared" si="151"/>
        <v>92</v>
      </c>
      <c r="E352" s="160">
        <f>VLOOKUP(C352,'FERC Interest Rate'!$A:$B,2,TRUE)</f>
        <v>3.2500000000000001E-2</v>
      </c>
      <c r="F352" s="148">
        <f t="shared" si="163"/>
        <v>11736.971640236961</v>
      </c>
      <c r="G352" s="147">
        <f t="shared" si="164"/>
        <v>96.146699189886348</v>
      </c>
      <c r="H352" s="147">
        <f t="shared" si="165"/>
        <v>1000</v>
      </c>
      <c r="I352" s="148">
        <v>0</v>
      </c>
      <c r="J352" s="148">
        <f t="shared" si="162"/>
        <v>66.997421839723955</v>
      </c>
      <c r="K352" s="130">
        <f t="shared" si="153"/>
        <v>10669.974218397238</v>
      </c>
    </row>
    <row r="353" spans="1:11" x14ac:dyDescent="0.2">
      <c r="A353" s="156"/>
      <c r="B353" s="167">
        <f t="shared" si="154"/>
        <v>42278</v>
      </c>
      <c r="C353" s="167">
        <f t="shared" si="155"/>
        <v>42369</v>
      </c>
      <c r="D353" s="142">
        <f t="shared" si="151"/>
        <v>92</v>
      </c>
      <c r="E353" s="160">
        <f>VLOOKUP(C353,'FERC Interest Rate'!$A:$B,2,TRUE)</f>
        <v>3.2500000000000001E-2</v>
      </c>
      <c r="F353" s="148">
        <f t="shared" si="163"/>
        <v>10669.974218397238</v>
      </c>
      <c r="G353" s="147">
        <f t="shared" si="164"/>
        <v>87.406090172623948</v>
      </c>
      <c r="H353" s="147">
        <f t="shared" si="165"/>
        <v>1000</v>
      </c>
      <c r="I353" s="148">
        <v>0</v>
      </c>
      <c r="J353" s="148">
        <f t="shared" si="162"/>
        <v>66.997421839723955</v>
      </c>
      <c r="K353" s="130">
        <f t="shared" si="153"/>
        <v>9602.9767965575138</v>
      </c>
    </row>
    <row r="354" spans="1:11" x14ac:dyDescent="0.2">
      <c r="A354" s="156"/>
      <c r="B354" s="167">
        <f t="shared" si="154"/>
        <v>42370</v>
      </c>
      <c r="C354" s="167">
        <f t="shared" si="155"/>
        <v>42460</v>
      </c>
      <c r="D354" s="142">
        <f t="shared" si="151"/>
        <v>91</v>
      </c>
      <c r="E354" s="160">
        <f>VLOOKUP(C354,'FERC Interest Rate'!$A:$B,2,TRUE)</f>
        <v>3.2500000000000001E-2</v>
      </c>
      <c r="F354" s="148">
        <f t="shared" si="163"/>
        <v>9602.9767965575138</v>
      </c>
      <c r="G354" s="147">
        <f t="shared" si="164"/>
        <v>77.597824797319248</v>
      </c>
      <c r="H354" s="147">
        <f t="shared" si="165"/>
        <v>1000</v>
      </c>
      <c r="I354" s="148">
        <v>0</v>
      </c>
      <c r="J354" s="148">
        <f t="shared" si="162"/>
        <v>66.997421839723955</v>
      </c>
      <c r="K354" s="130">
        <f t="shared" si="153"/>
        <v>8535.9793747177901</v>
      </c>
    </row>
    <row r="355" spans="1:11" x14ac:dyDescent="0.2">
      <c r="A355" s="156"/>
      <c r="B355" s="167">
        <f t="shared" si="154"/>
        <v>42461</v>
      </c>
      <c r="C355" s="167">
        <f t="shared" si="155"/>
        <v>42551</v>
      </c>
      <c r="D355" s="142">
        <f t="shared" si="151"/>
        <v>91</v>
      </c>
      <c r="E355" s="160">
        <f>VLOOKUP(C355,'FERC Interest Rate'!$A:$B,2,TRUE)</f>
        <v>3.2500000000000001E-2</v>
      </c>
      <c r="F355" s="148">
        <f t="shared" si="163"/>
        <v>8535.9793747177901</v>
      </c>
      <c r="G355" s="147">
        <f t="shared" si="164"/>
        <v>68.975844264283793</v>
      </c>
      <c r="H355" s="147">
        <f t="shared" si="165"/>
        <v>1000</v>
      </c>
      <c r="I355" s="148">
        <v>0</v>
      </c>
      <c r="J355" s="148">
        <f t="shared" si="162"/>
        <v>66.997421839723955</v>
      </c>
      <c r="K355" s="130">
        <f t="shared" si="153"/>
        <v>7468.9819528780663</v>
      </c>
    </row>
    <row r="356" spans="1:11" x14ac:dyDescent="0.2">
      <c r="A356" s="156"/>
      <c r="B356" s="167">
        <f t="shared" si="154"/>
        <v>42552</v>
      </c>
      <c r="C356" s="167">
        <f t="shared" si="155"/>
        <v>42643</v>
      </c>
      <c r="D356" s="142">
        <f t="shared" si="151"/>
        <v>92</v>
      </c>
      <c r="E356" s="160">
        <f>VLOOKUP(C356,'FERC Interest Rate'!$A:$B,2,TRUE)</f>
        <v>4.0333330000000001E-2</v>
      </c>
      <c r="F356" s="148">
        <f t="shared" si="163"/>
        <v>7468.9819528780663</v>
      </c>
      <c r="G356" s="147">
        <f t="shared" si="164"/>
        <v>75.723770699431014</v>
      </c>
      <c r="H356" s="147">
        <f t="shared" si="165"/>
        <v>1000</v>
      </c>
      <c r="I356" s="148">
        <v>0</v>
      </c>
      <c r="J356" s="148">
        <f t="shared" si="162"/>
        <v>66.997421839723955</v>
      </c>
      <c r="K356" s="130">
        <f t="shared" si="153"/>
        <v>6401.9845310383425</v>
      </c>
    </row>
    <row r="357" spans="1:11" x14ac:dyDescent="0.2">
      <c r="A357" s="156"/>
      <c r="B357" s="167">
        <f t="shared" si="154"/>
        <v>42644</v>
      </c>
      <c r="C357" s="167">
        <f t="shared" si="155"/>
        <v>42735</v>
      </c>
      <c r="D357" s="142">
        <f t="shared" si="151"/>
        <v>92</v>
      </c>
      <c r="E357" s="160">
        <f>VLOOKUP(C357,'FERC Interest Rate'!$A:$B,2,TRUE)</f>
        <v>4.2833329999999996E-2</v>
      </c>
      <c r="F357" s="148">
        <f t="shared" si="163"/>
        <v>6401.9845310383425</v>
      </c>
      <c r="G357" s="147">
        <f t="shared" si="164"/>
        <v>68.92919420410702</v>
      </c>
      <c r="H357" s="147">
        <f t="shared" si="165"/>
        <v>1000</v>
      </c>
      <c r="I357" s="148">
        <v>0</v>
      </c>
      <c r="J357" s="148">
        <f t="shared" si="162"/>
        <v>66.997421839723955</v>
      </c>
      <c r="K357" s="130">
        <f t="shared" si="153"/>
        <v>5334.9871091986188</v>
      </c>
    </row>
    <row r="358" spans="1:11" x14ac:dyDescent="0.2">
      <c r="A358" s="169"/>
      <c r="B358" s="167">
        <f t="shared" si="154"/>
        <v>42736</v>
      </c>
      <c r="C358" s="167">
        <f t="shared" si="155"/>
        <v>42825</v>
      </c>
      <c r="D358" s="142">
        <f t="shared" si="151"/>
        <v>90</v>
      </c>
      <c r="E358" s="160">
        <f>VLOOKUP(C358,'FERC Interest Rate'!$A:$B,2,TRUE)</f>
        <v>4.7066670000000005E-2</v>
      </c>
      <c r="F358" s="148">
        <f t="shared" si="163"/>
        <v>5334.9871091986188</v>
      </c>
      <c r="G358" s="147">
        <f t="shared" si="164"/>
        <v>61.915087657702692</v>
      </c>
      <c r="H358" s="147">
        <f t="shared" si="165"/>
        <v>1000</v>
      </c>
      <c r="I358" s="148">
        <v>0</v>
      </c>
      <c r="J358" s="148">
        <f t="shared" si="162"/>
        <v>66.997421839723955</v>
      </c>
      <c r="K358" s="130">
        <f t="shared" si="153"/>
        <v>4267.989687358895</v>
      </c>
    </row>
    <row r="359" spans="1:11" x14ac:dyDescent="0.2">
      <c r="A359" s="169"/>
      <c r="B359" s="167">
        <f t="shared" si="154"/>
        <v>42826</v>
      </c>
      <c r="C359" s="167">
        <f t="shared" si="155"/>
        <v>42916</v>
      </c>
      <c r="D359" s="142">
        <f t="shared" si="151"/>
        <v>91</v>
      </c>
      <c r="E359" s="160">
        <f>VLOOKUP(C359,'FERC Interest Rate'!$A:$B,2,TRUE)</f>
        <v>5.21E-2</v>
      </c>
      <c r="F359" s="148">
        <f t="shared" si="163"/>
        <v>4267.989687358895</v>
      </c>
      <c r="G359" s="147">
        <f t="shared" si="164"/>
        <v>55.438262758184273</v>
      </c>
      <c r="H359" s="147">
        <f t="shared" si="165"/>
        <v>1000</v>
      </c>
      <c r="I359" s="148">
        <v>0</v>
      </c>
      <c r="J359" s="148">
        <f t="shared" si="162"/>
        <v>66.997421839723955</v>
      </c>
      <c r="K359" s="130">
        <f t="shared" si="153"/>
        <v>3200.9922655191713</v>
      </c>
    </row>
    <row r="360" spans="1:11" x14ac:dyDescent="0.2">
      <c r="A360" s="169"/>
      <c r="B360" s="167">
        <f t="shared" si="154"/>
        <v>42917</v>
      </c>
      <c r="C360" s="167">
        <f t="shared" si="155"/>
        <v>43008</v>
      </c>
      <c r="D360" s="142">
        <f t="shared" si="151"/>
        <v>92</v>
      </c>
      <c r="E360" s="160">
        <f>VLOOKUP(C360,'FERC Interest Rate'!$A:$B,2,TRUE)</f>
        <v>5.7066670000000007E-2</v>
      </c>
      <c r="F360" s="148">
        <f t="shared" si="163"/>
        <v>3200.9922655191713</v>
      </c>
      <c r="G360" s="147">
        <f t="shared" si="164"/>
        <v>46.042841574197304</v>
      </c>
      <c r="H360" s="147">
        <f t="shared" si="165"/>
        <v>1000</v>
      </c>
      <c r="I360" s="148">
        <v>0</v>
      </c>
      <c r="J360" s="148">
        <f t="shared" si="162"/>
        <v>66.997421839723955</v>
      </c>
      <c r="K360" s="130">
        <f t="shared" si="153"/>
        <v>2133.9948436794475</v>
      </c>
    </row>
    <row r="361" spans="1:11" x14ac:dyDescent="0.2">
      <c r="A361" s="169"/>
      <c r="B361" s="167">
        <f t="shared" si="154"/>
        <v>43009</v>
      </c>
      <c r="C361" s="167">
        <f t="shared" si="155"/>
        <v>43100</v>
      </c>
      <c r="D361" s="142">
        <f t="shared" si="151"/>
        <v>92</v>
      </c>
      <c r="E361" s="160">
        <f>VLOOKUP(C361,'FERC Interest Rate'!$A:$B,2,TRUE)</f>
        <v>6.2033329999999998E-2</v>
      </c>
      <c r="F361" s="148">
        <f t="shared" si="163"/>
        <v>2133.9948436794475</v>
      </c>
      <c r="G361" s="147">
        <f t="shared" si="164"/>
        <v>33.366712835003931</v>
      </c>
      <c r="H361" s="147">
        <f t="shared" si="165"/>
        <v>1000</v>
      </c>
      <c r="I361" s="148">
        <v>0</v>
      </c>
      <c r="J361" s="148">
        <f t="shared" si="162"/>
        <v>66.997421839723955</v>
      </c>
      <c r="K361" s="130">
        <f t="shared" si="153"/>
        <v>1066.9974218397235</v>
      </c>
    </row>
    <row r="362" spans="1:11" x14ac:dyDescent="0.2">
      <c r="A362" s="169"/>
      <c r="B362" s="167">
        <f t="shared" si="154"/>
        <v>43101</v>
      </c>
      <c r="C362" s="167">
        <f t="shared" si="155"/>
        <v>43190</v>
      </c>
      <c r="D362" s="142">
        <f t="shared" si="151"/>
        <v>90</v>
      </c>
      <c r="E362" s="160">
        <f>VLOOKUP(C362,'FERC Interest Rate'!$A:$B,2,TRUE)</f>
        <v>6.6699999999999995E-2</v>
      </c>
      <c r="F362" s="148">
        <f t="shared" si="163"/>
        <v>1066.9974218397235</v>
      </c>
      <c r="G362" s="147">
        <f t="shared" si="164"/>
        <v>17.548453488503725</v>
      </c>
      <c r="H362" s="147">
        <f t="shared" si="165"/>
        <v>1000</v>
      </c>
      <c r="I362" s="148">
        <v>0</v>
      </c>
      <c r="J362" s="148">
        <f t="shared" si="162"/>
        <v>66.997421839723955</v>
      </c>
      <c r="K362" s="130">
        <f t="shared" si="153"/>
        <v>-4.2632564145606011E-13</v>
      </c>
    </row>
    <row r="363" spans="1:11" ht="13.5" thickBot="1" x14ac:dyDescent="0.25">
      <c r="A363" s="129"/>
      <c r="B363" s="168"/>
      <c r="C363" s="168"/>
      <c r="D363" s="121"/>
      <c r="E363" s="122"/>
      <c r="F363" s="145"/>
      <c r="G363" s="145"/>
      <c r="H363" s="146">
        <f>SUM(H346:H362)</f>
        <v>20000</v>
      </c>
      <c r="I363" s="123">
        <f>SUM(I338:I362)</f>
        <v>1339.9484367944792</v>
      </c>
      <c r="J363" s="123">
        <f>SUM(J346:J362)</f>
        <v>1339.9484367944794</v>
      </c>
      <c r="K363" s="128"/>
    </row>
    <row r="364" spans="1:11" ht="13.5" thickBot="1" x14ac:dyDescent="0.25"/>
    <row r="365" spans="1:11" ht="13.5" thickBot="1" x14ac:dyDescent="0.25">
      <c r="A365" s="304" t="s">
        <v>71</v>
      </c>
      <c r="B365" s="305"/>
      <c r="C365" s="305"/>
      <c r="D365" s="305"/>
      <c r="E365" s="305"/>
      <c r="F365" s="305"/>
      <c r="G365" s="305"/>
      <c r="H365" s="305"/>
      <c r="I365" s="305"/>
      <c r="J365" s="305"/>
      <c r="K365" s="306"/>
    </row>
    <row r="366" spans="1:11" ht="13.5" thickBot="1" x14ac:dyDescent="0.25">
      <c r="A366" s="190" t="s">
        <v>110</v>
      </c>
      <c r="B366" s="185">
        <v>25</v>
      </c>
      <c r="C366" s="191"/>
      <c r="D366" s="191"/>
      <c r="E366" s="191"/>
      <c r="F366" s="191"/>
      <c r="G366" s="191"/>
      <c r="H366" s="191"/>
      <c r="I366" s="191"/>
      <c r="J366" s="191"/>
      <c r="K366" s="192"/>
    </row>
    <row r="367" spans="1:11" ht="51.75" thickBot="1" x14ac:dyDescent="0.25">
      <c r="A367" s="163" t="s">
        <v>9</v>
      </c>
      <c r="B367" s="164" t="s">
        <v>10</v>
      </c>
      <c r="C367" s="164" t="s">
        <v>11</v>
      </c>
      <c r="D367" s="164" t="s">
        <v>12</v>
      </c>
      <c r="E367" s="164" t="s">
        <v>13</v>
      </c>
      <c r="F367" s="164" t="s">
        <v>14</v>
      </c>
      <c r="G367" s="164" t="s">
        <v>32</v>
      </c>
      <c r="H367" s="164" t="s">
        <v>16</v>
      </c>
      <c r="I367" s="164" t="s">
        <v>85</v>
      </c>
      <c r="J367" s="164" t="s">
        <v>33</v>
      </c>
      <c r="K367" s="165" t="s">
        <v>15</v>
      </c>
    </row>
    <row r="368" spans="1:11" x14ac:dyDescent="0.2">
      <c r="A368" s="266"/>
      <c r="B368" s="267">
        <f>VLOOKUP(B366,A$1:F$31,2,FALSE)</f>
        <v>41044</v>
      </c>
      <c r="C368" s="267">
        <f>DATE(YEAR(B368),IF(MONTH(B368)&lt;=3,3,IF(MONTH(B368)&lt;=6,6,IF(MONTH(B368)&lt;=9,9,12))),IF(OR(MONTH(B368)&lt;=3,MONTH(B368)&gt;=10),31,30))</f>
        <v>41090</v>
      </c>
      <c r="D368" s="268">
        <f>C368-B368+1</f>
        <v>47</v>
      </c>
      <c r="E368" s="259">
        <f>VLOOKUP(C368,'FERC Interest Rate'!$A:$B,2,TRUE)</f>
        <v>3.2500000000000001E-2</v>
      </c>
      <c r="F368" s="254">
        <f>VLOOKUP(B366,$A$1:$F$31,5,FALSE)</f>
        <v>20000</v>
      </c>
      <c r="G368" s="272"/>
      <c r="H368" s="273"/>
      <c r="I368" s="254">
        <f>F368*E368*(D368/(DATE(YEAR(C368),12,31)-DATE(YEAR(C368),1,1)+1))</f>
        <v>83.469945355191257</v>
      </c>
      <c r="J368" s="272"/>
      <c r="K368" s="255">
        <f>F368+I368-H368-J368</f>
        <v>20083.469945355191</v>
      </c>
    </row>
    <row r="369" spans="1:11" x14ac:dyDescent="0.2">
      <c r="A369" s="256"/>
      <c r="B369" s="257">
        <f>C368+1</f>
        <v>41091</v>
      </c>
      <c r="C369" s="257">
        <f>EOMONTH(C368,3)</f>
        <v>41182</v>
      </c>
      <c r="D369" s="258">
        <f t="shared" ref="D369:D391" si="166">C369-B369+1</f>
        <v>92</v>
      </c>
      <c r="E369" s="259">
        <f>VLOOKUP(C369,'FERC Interest Rate'!$A:$B,2,TRUE)</f>
        <v>3.2500000000000001E-2</v>
      </c>
      <c r="F369" s="260">
        <f>K368</f>
        <v>20083.469945355191</v>
      </c>
      <c r="G369" s="272"/>
      <c r="H369" s="272"/>
      <c r="I369" s="254">
        <f t="shared" ref="I369:I375" si="167">F369*E369*(D369/(DATE(YEAR(C369),12,31)-DATE(YEAR(C369),1,1)+1))</f>
        <v>164.06987742243723</v>
      </c>
      <c r="J369" s="272"/>
      <c r="K369" s="255">
        <f t="shared" ref="K369:K391" si="168">F369+I369-H369-J369</f>
        <v>20247.539822777628</v>
      </c>
    </row>
    <row r="370" spans="1:11" x14ac:dyDescent="0.2">
      <c r="A370" s="256"/>
      <c r="B370" s="257">
        <f t="shared" ref="B370:B391" si="169">C369+1</f>
        <v>41183</v>
      </c>
      <c r="C370" s="257">
        <f t="shared" ref="C370:C391" si="170">EOMONTH(C369,3)</f>
        <v>41274</v>
      </c>
      <c r="D370" s="258">
        <f t="shared" si="166"/>
        <v>92</v>
      </c>
      <c r="E370" s="259">
        <f>VLOOKUP(C370,'FERC Interest Rate'!$A:$B,2,TRUE)</f>
        <v>3.2500000000000001E-2</v>
      </c>
      <c r="F370" s="260">
        <f t="shared" ref="F370:F376" si="171">K369</f>
        <v>20247.539822777628</v>
      </c>
      <c r="G370" s="272"/>
      <c r="H370" s="272"/>
      <c r="I370" s="254">
        <f t="shared" si="167"/>
        <v>165.41022969974074</v>
      </c>
      <c r="J370" s="272"/>
      <c r="K370" s="255">
        <f t="shared" si="168"/>
        <v>20412.950052477368</v>
      </c>
    </row>
    <row r="371" spans="1:11" x14ac:dyDescent="0.2">
      <c r="A371" s="256"/>
      <c r="B371" s="257">
        <f t="shared" si="169"/>
        <v>41275</v>
      </c>
      <c r="C371" s="257">
        <f t="shared" si="170"/>
        <v>41364</v>
      </c>
      <c r="D371" s="258">
        <f t="shared" si="166"/>
        <v>90</v>
      </c>
      <c r="E371" s="259">
        <f>VLOOKUP(C371,'FERC Interest Rate'!$A:$B,2,TRUE)</f>
        <v>3.2500000000000001E-2</v>
      </c>
      <c r="F371" s="260">
        <f t="shared" si="171"/>
        <v>20412.950052477368</v>
      </c>
      <c r="G371" s="272"/>
      <c r="H371" s="272"/>
      <c r="I371" s="254">
        <f t="shared" si="167"/>
        <v>163.5832298725926</v>
      </c>
      <c r="J371" s="272"/>
      <c r="K371" s="255">
        <f t="shared" si="168"/>
        <v>20576.533282349959</v>
      </c>
    </row>
    <row r="372" spans="1:11" x14ac:dyDescent="0.2">
      <c r="A372" s="156"/>
      <c r="B372" s="167">
        <f t="shared" ref="B372:B376" si="172">C371+1</f>
        <v>41365</v>
      </c>
      <c r="C372" s="167">
        <f t="shared" si="170"/>
        <v>41455</v>
      </c>
      <c r="D372" s="142">
        <f t="shared" ref="D372:D376" si="173">C372-B372+1</f>
        <v>91</v>
      </c>
      <c r="E372" s="160">
        <f>VLOOKUP(C372,'FERC Interest Rate'!$A:$B,2,TRUE)</f>
        <v>3.2500000000000001E-2</v>
      </c>
      <c r="F372" s="148">
        <f t="shared" si="171"/>
        <v>20576.533282349959</v>
      </c>
      <c r="G372" s="272"/>
      <c r="H372" s="147"/>
      <c r="I372" s="254">
        <f t="shared" si="167"/>
        <v>166.72629365082196</v>
      </c>
      <c r="J372" s="148"/>
      <c r="K372" s="130">
        <f t="shared" ref="K372:K376" si="174">F372+I372-H372-J372</f>
        <v>20743.259576000783</v>
      </c>
    </row>
    <row r="373" spans="1:11" x14ac:dyDescent="0.2">
      <c r="A373" s="156"/>
      <c r="B373" s="167">
        <f t="shared" si="172"/>
        <v>41456</v>
      </c>
      <c r="C373" s="167">
        <f t="shared" si="170"/>
        <v>41547</v>
      </c>
      <c r="D373" s="142">
        <f t="shared" si="173"/>
        <v>92</v>
      </c>
      <c r="E373" s="160">
        <f>VLOOKUP(C373,'FERC Interest Rate'!$A:$B,2,TRUE)</f>
        <v>3.2500000000000001E-2</v>
      </c>
      <c r="F373" s="148">
        <f t="shared" si="171"/>
        <v>20743.259576000783</v>
      </c>
      <c r="G373" s="147"/>
      <c r="H373" s="147"/>
      <c r="I373" s="254">
        <f t="shared" si="167"/>
        <v>169.92423597874614</v>
      </c>
      <c r="J373" s="148"/>
      <c r="K373" s="130">
        <f t="shared" si="174"/>
        <v>20913.183811979528</v>
      </c>
    </row>
    <row r="374" spans="1:11" x14ac:dyDescent="0.2">
      <c r="A374" s="156"/>
      <c r="B374" s="167">
        <f t="shared" si="172"/>
        <v>41548</v>
      </c>
      <c r="C374" s="167">
        <f t="shared" si="170"/>
        <v>41639</v>
      </c>
      <c r="D374" s="142">
        <f t="shared" si="173"/>
        <v>92</v>
      </c>
      <c r="E374" s="160">
        <f>VLOOKUP(C374,'FERC Interest Rate'!$A:$B,2,TRUE)</f>
        <v>3.2500000000000001E-2</v>
      </c>
      <c r="F374" s="148">
        <f t="shared" si="171"/>
        <v>20913.183811979528</v>
      </c>
      <c r="G374" s="147"/>
      <c r="H374" s="147"/>
      <c r="I374" s="254">
        <f t="shared" si="167"/>
        <v>171.31621807621588</v>
      </c>
      <c r="J374" s="148"/>
      <c r="K374" s="130">
        <f t="shared" si="174"/>
        <v>21084.500030055744</v>
      </c>
    </row>
    <row r="375" spans="1:11" x14ac:dyDescent="0.2">
      <c r="A375" s="156"/>
      <c r="B375" s="167">
        <f t="shared" si="172"/>
        <v>41640</v>
      </c>
      <c r="C375" s="167">
        <f t="shared" si="170"/>
        <v>41729</v>
      </c>
      <c r="D375" s="142">
        <f t="shared" si="173"/>
        <v>90</v>
      </c>
      <c r="E375" s="160">
        <f>VLOOKUP(C375,'FERC Interest Rate'!$A:$B,2,TRUE)</f>
        <v>3.2500000000000001E-2</v>
      </c>
      <c r="F375" s="148">
        <f t="shared" si="171"/>
        <v>21084.500030055744</v>
      </c>
      <c r="G375" s="147"/>
      <c r="H375" s="147">
        <f>($F$368/20)*4</f>
        <v>4000</v>
      </c>
      <c r="I375" s="254">
        <f t="shared" si="167"/>
        <v>168.96482900798094</v>
      </c>
      <c r="J375" s="148">
        <f>(SUM($I$368:$I$391)/20)*4</f>
        <v>250.69297181274533</v>
      </c>
      <c r="K375" s="130">
        <f t="shared" si="174"/>
        <v>17002.771887250979</v>
      </c>
    </row>
    <row r="376" spans="1:11" x14ac:dyDescent="0.2">
      <c r="A376" s="156"/>
      <c r="B376" s="167">
        <f t="shared" si="172"/>
        <v>41730</v>
      </c>
      <c r="C376" s="167">
        <f t="shared" si="170"/>
        <v>41820</v>
      </c>
      <c r="D376" s="142">
        <f t="shared" si="173"/>
        <v>91</v>
      </c>
      <c r="E376" s="160">
        <f>VLOOKUP(C376,'FERC Interest Rate'!$A:$B,2,TRUE)</f>
        <v>3.2500000000000001E-2</v>
      </c>
      <c r="F376" s="148">
        <f t="shared" si="171"/>
        <v>17002.771887250979</v>
      </c>
      <c r="G376" s="147">
        <f t="shared" ref="G376" si="175">F376*E376*(D376/(DATE(YEAR(C376),12,31)-DATE(YEAR(C376),1,1)+1))</f>
        <v>137.76903522341036</v>
      </c>
      <c r="H376" s="147">
        <f t="shared" ref="H376" si="176">$F$368/20</f>
        <v>1000</v>
      </c>
      <c r="I376" s="148">
        <v>0</v>
      </c>
      <c r="J376" s="148">
        <f>SUM($I$368:$I$391)/20</f>
        <v>62.673242953186332</v>
      </c>
      <c r="K376" s="130">
        <f t="shared" si="174"/>
        <v>15940.098644297794</v>
      </c>
    </row>
    <row r="377" spans="1:11" x14ac:dyDescent="0.2">
      <c r="A377" s="156"/>
      <c r="B377" s="167">
        <f t="shared" si="169"/>
        <v>41821</v>
      </c>
      <c r="C377" s="167">
        <f t="shared" si="170"/>
        <v>41912</v>
      </c>
      <c r="D377" s="142">
        <f t="shared" si="166"/>
        <v>92</v>
      </c>
      <c r="E377" s="160">
        <f>VLOOKUP(C377,'FERC Interest Rate'!$A:$B,2,TRUE)</f>
        <v>3.2500000000000001E-2</v>
      </c>
      <c r="F377" s="148">
        <f>K376</f>
        <v>15940.098644297794</v>
      </c>
      <c r="G377" s="147">
        <f t="shared" ref="G377:G391" si="177">F377*E377*(D377/(DATE(YEAR(C377),12,31)-DATE(YEAR(C377),1,1)+1))</f>
        <v>130.57779437383672</v>
      </c>
      <c r="H377" s="147">
        <f t="shared" ref="H377:H391" si="178">$F$368/20</f>
        <v>1000</v>
      </c>
      <c r="I377" s="148">
        <v>0</v>
      </c>
      <c r="J377" s="148">
        <f>SUM($I$368:$I$391)/20</f>
        <v>62.673242953186332</v>
      </c>
      <c r="K377" s="130">
        <f t="shared" si="168"/>
        <v>14877.425401344608</v>
      </c>
    </row>
    <row r="378" spans="1:11" x14ac:dyDescent="0.2">
      <c r="A378" s="156"/>
      <c r="B378" s="167">
        <f t="shared" si="169"/>
        <v>41913</v>
      </c>
      <c r="C378" s="167">
        <f t="shared" si="170"/>
        <v>42004</v>
      </c>
      <c r="D378" s="142">
        <f t="shared" si="166"/>
        <v>92</v>
      </c>
      <c r="E378" s="160">
        <f>VLOOKUP(C378,'FERC Interest Rate'!$A:$B,2,TRUE)</f>
        <v>3.2500000000000001E-2</v>
      </c>
      <c r="F378" s="148">
        <f t="shared" ref="F378:F391" si="179">K377</f>
        <v>14877.425401344608</v>
      </c>
      <c r="G378" s="147">
        <f t="shared" si="177"/>
        <v>121.87260808224762</v>
      </c>
      <c r="H378" s="147">
        <f t="shared" si="178"/>
        <v>1000</v>
      </c>
      <c r="I378" s="148">
        <v>0</v>
      </c>
      <c r="J378" s="148">
        <f>SUM($I$368:$I$391)/20</f>
        <v>62.673242953186332</v>
      </c>
      <c r="K378" s="130">
        <f t="shared" si="168"/>
        <v>13814.752158391422</v>
      </c>
    </row>
    <row r="379" spans="1:11" x14ac:dyDescent="0.2">
      <c r="A379" s="156"/>
      <c r="B379" s="167">
        <f t="shared" si="169"/>
        <v>42005</v>
      </c>
      <c r="C379" s="167">
        <f t="shared" si="170"/>
        <v>42094</v>
      </c>
      <c r="D379" s="142">
        <f t="shared" si="166"/>
        <v>90</v>
      </c>
      <c r="E379" s="160">
        <f>VLOOKUP(C379,'FERC Interest Rate'!$A:$B,2,TRUE)</f>
        <v>3.2500000000000001E-2</v>
      </c>
      <c r="F379" s="148">
        <f t="shared" si="179"/>
        <v>13814.752158391422</v>
      </c>
      <c r="G379" s="147">
        <f t="shared" si="177"/>
        <v>110.70726044738332</v>
      </c>
      <c r="H379" s="147">
        <f t="shared" si="178"/>
        <v>1000</v>
      </c>
      <c r="I379" s="148">
        <v>0</v>
      </c>
      <c r="J379" s="148">
        <f>SUM($I$368:$I$391)/20</f>
        <v>62.673242953186332</v>
      </c>
      <c r="K379" s="130">
        <f t="shared" si="168"/>
        <v>12752.078915438236</v>
      </c>
    </row>
    <row r="380" spans="1:11" x14ac:dyDescent="0.2">
      <c r="A380" s="156"/>
      <c r="B380" s="167">
        <f t="shared" si="169"/>
        <v>42095</v>
      </c>
      <c r="C380" s="167">
        <f t="shared" si="170"/>
        <v>42185</v>
      </c>
      <c r="D380" s="142">
        <f t="shared" si="166"/>
        <v>91</v>
      </c>
      <c r="E380" s="160">
        <f>VLOOKUP(C380,'FERC Interest Rate'!$A:$B,2,TRUE)</f>
        <v>3.2500000000000001E-2</v>
      </c>
      <c r="F380" s="148">
        <f t="shared" si="179"/>
        <v>12752.078915438236</v>
      </c>
      <c r="G380" s="147">
        <f t="shared" si="177"/>
        <v>103.32677641755777</v>
      </c>
      <c r="H380" s="147">
        <f t="shared" si="178"/>
        <v>1000</v>
      </c>
      <c r="I380" s="148">
        <v>0</v>
      </c>
      <c r="J380" s="148">
        <f t="shared" ref="J380:J391" si="180">SUM($I$368:$I$391)/20</f>
        <v>62.673242953186332</v>
      </c>
      <c r="K380" s="130">
        <f t="shared" si="168"/>
        <v>11689.405672485051</v>
      </c>
    </row>
    <row r="381" spans="1:11" x14ac:dyDescent="0.2">
      <c r="A381" s="156"/>
      <c r="B381" s="167">
        <f t="shared" si="169"/>
        <v>42186</v>
      </c>
      <c r="C381" s="167">
        <f t="shared" si="170"/>
        <v>42277</v>
      </c>
      <c r="D381" s="142">
        <f t="shared" si="166"/>
        <v>92</v>
      </c>
      <c r="E381" s="160">
        <f>VLOOKUP(C381,'FERC Interest Rate'!$A:$B,2,TRUE)</f>
        <v>3.2500000000000001E-2</v>
      </c>
      <c r="F381" s="148">
        <f t="shared" si="179"/>
        <v>11689.405672485051</v>
      </c>
      <c r="G381" s="147">
        <f t="shared" si="177"/>
        <v>95.757049207480293</v>
      </c>
      <c r="H381" s="147">
        <f t="shared" si="178"/>
        <v>1000</v>
      </c>
      <c r="I381" s="148">
        <v>0</v>
      </c>
      <c r="J381" s="148">
        <f t="shared" si="180"/>
        <v>62.673242953186332</v>
      </c>
      <c r="K381" s="130">
        <f t="shared" si="168"/>
        <v>10626.732429531865</v>
      </c>
    </row>
    <row r="382" spans="1:11" x14ac:dyDescent="0.2">
      <c r="A382" s="156"/>
      <c r="B382" s="167">
        <f t="shared" si="169"/>
        <v>42278</v>
      </c>
      <c r="C382" s="167">
        <f t="shared" si="170"/>
        <v>42369</v>
      </c>
      <c r="D382" s="142">
        <f t="shared" si="166"/>
        <v>92</v>
      </c>
      <c r="E382" s="160">
        <f>VLOOKUP(C382,'FERC Interest Rate'!$A:$B,2,TRUE)</f>
        <v>3.2500000000000001E-2</v>
      </c>
      <c r="F382" s="148">
        <f t="shared" si="179"/>
        <v>10626.732429531865</v>
      </c>
      <c r="G382" s="147">
        <f t="shared" si="177"/>
        <v>87.051862915891178</v>
      </c>
      <c r="H382" s="147">
        <f t="shared" si="178"/>
        <v>1000</v>
      </c>
      <c r="I382" s="148">
        <v>0</v>
      </c>
      <c r="J382" s="148">
        <f t="shared" si="180"/>
        <v>62.673242953186332</v>
      </c>
      <c r="K382" s="130">
        <f t="shared" si="168"/>
        <v>9564.0591865786791</v>
      </c>
    </row>
    <row r="383" spans="1:11" x14ac:dyDescent="0.2">
      <c r="A383" s="156"/>
      <c r="B383" s="167">
        <f t="shared" si="169"/>
        <v>42370</v>
      </c>
      <c r="C383" s="167">
        <f t="shared" si="170"/>
        <v>42460</v>
      </c>
      <c r="D383" s="142">
        <f t="shared" si="166"/>
        <v>91</v>
      </c>
      <c r="E383" s="160">
        <f>VLOOKUP(C383,'FERC Interest Rate'!$A:$B,2,TRUE)</f>
        <v>3.2500000000000001E-2</v>
      </c>
      <c r="F383" s="148">
        <f t="shared" si="179"/>
        <v>9564.0591865786791</v>
      </c>
      <c r="G383" s="147">
        <f t="shared" si="177"/>
        <v>77.283347115591383</v>
      </c>
      <c r="H383" s="147">
        <f t="shared" si="178"/>
        <v>1000</v>
      </c>
      <c r="I383" s="148">
        <v>0</v>
      </c>
      <c r="J383" s="148">
        <f t="shared" si="180"/>
        <v>62.673242953186332</v>
      </c>
      <c r="K383" s="130">
        <f t="shared" si="168"/>
        <v>8501.3859436254934</v>
      </c>
    </row>
    <row r="384" spans="1:11" x14ac:dyDescent="0.2">
      <c r="A384" s="156"/>
      <c r="B384" s="167">
        <f t="shared" si="169"/>
        <v>42461</v>
      </c>
      <c r="C384" s="167">
        <f t="shared" si="170"/>
        <v>42551</v>
      </c>
      <c r="D384" s="142">
        <f t="shared" si="166"/>
        <v>91</v>
      </c>
      <c r="E384" s="160">
        <f>VLOOKUP(C384,'FERC Interest Rate'!$A:$B,2,TRUE)</f>
        <v>3.2500000000000001E-2</v>
      </c>
      <c r="F384" s="148">
        <f t="shared" si="179"/>
        <v>8501.3859436254934</v>
      </c>
      <c r="G384" s="147">
        <f t="shared" si="177"/>
        <v>68.696308547192345</v>
      </c>
      <c r="H384" s="147">
        <f t="shared" si="178"/>
        <v>1000</v>
      </c>
      <c r="I384" s="148">
        <v>0</v>
      </c>
      <c r="J384" s="148">
        <f t="shared" si="180"/>
        <v>62.673242953186332</v>
      </c>
      <c r="K384" s="130">
        <f t="shared" si="168"/>
        <v>7438.7127006723067</v>
      </c>
    </row>
    <row r="385" spans="1:11" x14ac:dyDescent="0.2">
      <c r="A385" s="156"/>
      <c r="B385" s="167">
        <f t="shared" si="169"/>
        <v>42552</v>
      </c>
      <c r="C385" s="167">
        <f t="shared" si="170"/>
        <v>42643</v>
      </c>
      <c r="D385" s="142">
        <f t="shared" si="166"/>
        <v>92</v>
      </c>
      <c r="E385" s="160">
        <f>VLOOKUP(C385,'FERC Interest Rate'!$A:$B,2,TRUE)</f>
        <v>4.0333330000000001E-2</v>
      </c>
      <c r="F385" s="148">
        <f t="shared" si="179"/>
        <v>7438.7127006723067</v>
      </c>
      <c r="G385" s="147">
        <f t="shared" si="177"/>
        <v>75.41688792374174</v>
      </c>
      <c r="H385" s="147">
        <f t="shared" si="178"/>
        <v>1000</v>
      </c>
      <c r="I385" s="148">
        <v>0</v>
      </c>
      <c r="J385" s="148">
        <f t="shared" si="180"/>
        <v>62.673242953186332</v>
      </c>
      <c r="K385" s="130">
        <f t="shared" si="168"/>
        <v>6376.03945771912</v>
      </c>
    </row>
    <row r="386" spans="1:11" x14ac:dyDescent="0.2">
      <c r="A386" s="156"/>
      <c r="B386" s="167">
        <f t="shared" si="169"/>
        <v>42644</v>
      </c>
      <c r="C386" s="167">
        <f t="shared" si="170"/>
        <v>42735</v>
      </c>
      <c r="D386" s="142">
        <f t="shared" si="166"/>
        <v>92</v>
      </c>
      <c r="E386" s="160">
        <f>VLOOKUP(C386,'FERC Interest Rate'!$A:$B,2,TRUE)</f>
        <v>4.2833329999999996E-2</v>
      </c>
      <c r="F386" s="148">
        <f t="shared" si="179"/>
        <v>6376.03945771912</v>
      </c>
      <c r="G386" s="147">
        <f t="shared" si="177"/>
        <v>68.649847543897209</v>
      </c>
      <c r="H386" s="147">
        <f t="shared" si="178"/>
        <v>1000</v>
      </c>
      <c r="I386" s="148">
        <v>0</v>
      </c>
      <c r="J386" s="148">
        <f t="shared" si="180"/>
        <v>62.673242953186332</v>
      </c>
      <c r="K386" s="130">
        <f t="shared" si="168"/>
        <v>5313.3662147659334</v>
      </c>
    </row>
    <row r="387" spans="1:11" x14ac:dyDescent="0.2">
      <c r="A387" s="156"/>
      <c r="B387" s="167">
        <f t="shared" si="169"/>
        <v>42736</v>
      </c>
      <c r="C387" s="167">
        <f t="shared" si="170"/>
        <v>42825</v>
      </c>
      <c r="D387" s="142">
        <f t="shared" si="166"/>
        <v>90</v>
      </c>
      <c r="E387" s="160">
        <f>VLOOKUP(C387,'FERC Interest Rate'!$A:$B,2,TRUE)</f>
        <v>4.7066670000000005E-2</v>
      </c>
      <c r="F387" s="148">
        <f t="shared" si="179"/>
        <v>5313.3662147659334</v>
      </c>
      <c r="G387" s="147">
        <f t="shared" si="177"/>
        <v>61.66416679385852</v>
      </c>
      <c r="H387" s="147">
        <f t="shared" si="178"/>
        <v>1000</v>
      </c>
      <c r="I387" s="148">
        <v>0</v>
      </c>
      <c r="J387" s="148">
        <f t="shared" si="180"/>
        <v>62.673242953186332</v>
      </c>
      <c r="K387" s="130">
        <f t="shared" si="168"/>
        <v>4250.6929718127467</v>
      </c>
    </row>
    <row r="388" spans="1:11" x14ac:dyDescent="0.2">
      <c r="A388" s="169"/>
      <c r="B388" s="167">
        <f t="shared" si="169"/>
        <v>42826</v>
      </c>
      <c r="C388" s="167">
        <f t="shared" si="170"/>
        <v>42916</v>
      </c>
      <c r="D388" s="142">
        <f t="shared" si="166"/>
        <v>91</v>
      </c>
      <c r="E388" s="160">
        <f>VLOOKUP(C388,'FERC Interest Rate'!$A:$B,2,TRUE)</f>
        <v>5.21E-2</v>
      </c>
      <c r="F388" s="148">
        <f t="shared" si="179"/>
        <v>4250.6929718127467</v>
      </c>
      <c r="G388" s="147">
        <f t="shared" si="177"/>
        <v>55.213590270305239</v>
      </c>
      <c r="H388" s="147">
        <f t="shared" si="178"/>
        <v>1000</v>
      </c>
      <c r="I388" s="148">
        <v>0</v>
      </c>
      <c r="J388" s="148">
        <f t="shared" si="180"/>
        <v>62.673242953186332</v>
      </c>
      <c r="K388" s="130">
        <f t="shared" si="168"/>
        <v>3188.0197288595605</v>
      </c>
    </row>
    <row r="389" spans="1:11" x14ac:dyDescent="0.2">
      <c r="A389" s="169"/>
      <c r="B389" s="167">
        <f t="shared" si="169"/>
        <v>42917</v>
      </c>
      <c r="C389" s="167">
        <f t="shared" si="170"/>
        <v>43008</v>
      </c>
      <c r="D389" s="142">
        <f t="shared" si="166"/>
        <v>92</v>
      </c>
      <c r="E389" s="160">
        <f>VLOOKUP(C389,'FERC Interest Rate'!$A:$B,2,TRUE)</f>
        <v>5.7066670000000007E-2</v>
      </c>
      <c r="F389" s="148">
        <f t="shared" si="179"/>
        <v>3188.0197288595605</v>
      </c>
      <c r="G389" s="147">
        <f t="shared" si="177"/>
        <v>45.856245543751399</v>
      </c>
      <c r="H389" s="147">
        <f t="shared" si="178"/>
        <v>1000</v>
      </c>
      <c r="I389" s="148">
        <v>0</v>
      </c>
      <c r="J389" s="148">
        <f t="shared" si="180"/>
        <v>62.673242953186332</v>
      </c>
      <c r="K389" s="130">
        <f t="shared" si="168"/>
        <v>2125.3464859063743</v>
      </c>
    </row>
    <row r="390" spans="1:11" x14ac:dyDescent="0.2">
      <c r="A390" s="169"/>
      <c r="B390" s="167">
        <f t="shared" si="169"/>
        <v>43009</v>
      </c>
      <c r="C390" s="167">
        <f t="shared" si="170"/>
        <v>43100</v>
      </c>
      <c r="D390" s="142">
        <f t="shared" si="166"/>
        <v>92</v>
      </c>
      <c r="E390" s="160">
        <f>VLOOKUP(C390,'FERC Interest Rate'!$A:$B,2,TRUE)</f>
        <v>6.2033329999999998E-2</v>
      </c>
      <c r="F390" s="148">
        <f t="shared" si="179"/>
        <v>2125.3464859063743</v>
      </c>
      <c r="G390" s="147">
        <f t="shared" si="177"/>
        <v>33.231488857699958</v>
      </c>
      <c r="H390" s="147">
        <f t="shared" si="178"/>
        <v>1000</v>
      </c>
      <c r="I390" s="148">
        <v>0</v>
      </c>
      <c r="J390" s="148">
        <f t="shared" si="180"/>
        <v>62.673242953186332</v>
      </c>
      <c r="K390" s="130">
        <f t="shared" si="168"/>
        <v>1062.673242953188</v>
      </c>
    </row>
    <row r="391" spans="1:11" x14ac:dyDescent="0.2">
      <c r="A391" s="169"/>
      <c r="B391" s="167">
        <f t="shared" si="169"/>
        <v>43101</v>
      </c>
      <c r="C391" s="167">
        <f t="shared" si="170"/>
        <v>43190</v>
      </c>
      <c r="D391" s="142">
        <f t="shared" si="166"/>
        <v>90</v>
      </c>
      <c r="E391" s="160">
        <f>VLOOKUP(C391,'FERC Interest Rate'!$A:$B,2,TRUE)</f>
        <v>6.6699999999999995E-2</v>
      </c>
      <c r="F391" s="148">
        <f t="shared" si="179"/>
        <v>1062.673242953188</v>
      </c>
      <c r="G391" s="147">
        <f t="shared" si="177"/>
        <v>17.477335554652019</v>
      </c>
      <c r="H391" s="147">
        <f t="shared" si="178"/>
        <v>1000</v>
      </c>
      <c r="I391" s="148">
        <v>0</v>
      </c>
      <c r="J391" s="148">
        <f t="shared" si="180"/>
        <v>62.673242953186332</v>
      </c>
      <c r="K391" s="130">
        <f t="shared" si="168"/>
        <v>1.7053025658242404E-12</v>
      </c>
    </row>
    <row r="392" spans="1:11" ht="13.5" thickBot="1" x14ac:dyDescent="0.25">
      <c r="A392" s="129"/>
      <c r="B392" s="168"/>
      <c r="C392" s="168"/>
      <c r="D392" s="121"/>
      <c r="E392" s="122"/>
      <c r="F392" s="145"/>
      <c r="G392" s="145"/>
      <c r="H392" s="146">
        <f>SUM(H375:H391)</f>
        <v>20000</v>
      </c>
      <c r="I392" s="123">
        <f>SUM(I368:I391)</f>
        <v>1253.4648590637266</v>
      </c>
      <c r="J392" s="123">
        <f>SUM(J375:J391)</f>
        <v>1253.4648590637262</v>
      </c>
      <c r="K392" s="128"/>
    </row>
    <row r="393" spans="1:11" ht="13.5" thickBot="1" x14ac:dyDescent="0.25"/>
    <row r="394" spans="1:11" ht="13.5" thickBot="1" x14ac:dyDescent="0.25">
      <c r="A394" s="304" t="s">
        <v>71</v>
      </c>
      <c r="B394" s="305"/>
      <c r="C394" s="305"/>
      <c r="D394" s="305"/>
      <c r="E394" s="305"/>
      <c r="F394" s="305"/>
      <c r="G394" s="305"/>
      <c r="H394" s="305"/>
      <c r="I394" s="305"/>
      <c r="J394" s="305"/>
      <c r="K394" s="306"/>
    </row>
    <row r="395" spans="1:11" ht="13.5" thickBot="1" x14ac:dyDescent="0.25">
      <c r="A395" s="190" t="s">
        <v>110</v>
      </c>
      <c r="B395" s="185">
        <v>26</v>
      </c>
      <c r="C395" s="191"/>
      <c r="D395" s="191"/>
      <c r="E395" s="191"/>
      <c r="F395" s="191"/>
      <c r="G395" s="191"/>
      <c r="H395" s="191"/>
      <c r="I395" s="191"/>
      <c r="J395" s="191"/>
      <c r="K395" s="192"/>
    </row>
    <row r="396" spans="1:11" ht="51.75" thickBot="1" x14ac:dyDescent="0.25">
      <c r="A396" s="163" t="s">
        <v>9</v>
      </c>
      <c r="B396" s="164" t="s">
        <v>10</v>
      </c>
      <c r="C396" s="164" t="s">
        <v>11</v>
      </c>
      <c r="D396" s="164" t="s">
        <v>12</v>
      </c>
      <c r="E396" s="164" t="s">
        <v>13</v>
      </c>
      <c r="F396" s="164" t="s">
        <v>14</v>
      </c>
      <c r="G396" s="164" t="s">
        <v>32</v>
      </c>
      <c r="H396" s="164" t="s">
        <v>16</v>
      </c>
      <c r="I396" s="164" t="s">
        <v>85</v>
      </c>
      <c r="J396" s="164" t="s">
        <v>33</v>
      </c>
      <c r="K396" s="165" t="s">
        <v>15</v>
      </c>
    </row>
    <row r="397" spans="1:11" x14ac:dyDescent="0.2">
      <c r="A397" s="266"/>
      <c r="B397" s="267">
        <f>VLOOKUP(B395,A$1:F$31,2,FALSE)</f>
        <v>41064</v>
      </c>
      <c r="C397" s="267">
        <f>DATE(YEAR(B397),IF(MONTH(B397)&lt;=3,3,IF(MONTH(B397)&lt;=6,6,IF(MONTH(B397)&lt;=9,9,12))),IF(OR(MONTH(B397)&lt;=3,MONTH(B397)&gt;=10),31,30))</f>
        <v>41090</v>
      </c>
      <c r="D397" s="268">
        <f>C397-B397+1</f>
        <v>27</v>
      </c>
      <c r="E397" s="259">
        <f>VLOOKUP(C397,'FERC Interest Rate'!$A:$B,2,TRUE)</f>
        <v>3.2500000000000001E-2</v>
      </c>
      <c r="F397" s="254">
        <f>VLOOKUP(B395,$A$1:$F$31,5,FALSE)</f>
        <v>10000</v>
      </c>
      <c r="G397" s="272"/>
      <c r="H397" s="273"/>
      <c r="I397" s="254">
        <f>F397*E397*(D397/(DATE(YEAR(C397),12,31)-DATE(YEAR(C397),1,1)+1))</f>
        <v>23.975409836065573</v>
      </c>
      <c r="J397" s="272"/>
      <c r="K397" s="255">
        <f>F397+I397-H397-J397</f>
        <v>10023.975409836066</v>
      </c>
    </row>
    <row r="398" spans="1:11" x14ac:dyDescent="0.2">
      <c r="A398" s="256"/>
      <c r="B398" s="257">
        <f>C397+1</f>
        <v>41091</v>
      </c>
      <c r="C398" s="257">
        <f>EOMONTH(C397,3)</f>
        <v>41182</v>
      </c>
      <c r="D398" s="258">
        <f t="shared" ref="D398:D420" si="181">C398-B398+1</f>
        <v>92</v>
      </c>
      <c r="E398" s="259">
        <f>VLOOKUP(C398,'FERC Interest Rate'!$A:$B,2,TRUE)</f>
        <v>3.2500000000000001E-2</v>
      </c>
      <c r="F398" s="260">
        <f>K397</f>
        <v>10023.975409836066</v>
      </c>
      <c r="G398" s="272"/>
      <c r="H398" s="272"/>
      <c r="I398" s="254">
        <f t="shared" ref="I398:I404" si="182">F398*E398*(D398/(DATE(YEAR(C398),12,31)-DATE(YEAR(C398),1,1)+1))</f>
        <v>81.889853757950377</v>
      </c>
      <c r="J398" s="272"/>
      <c r="K398" s="255">
        <f t="shared" ref="K398:K420" si="183">F398+I398-H398-J398</f>
        <v>10105.865263594016</v>
      </c>
    </row>
    <row r="399" spans="1:11" x14ac:dyDescent="0.2">
      <c r="A399" s="256"/>
      <c r="B399" s="257">
        <f t="shared" ref="B399:B420" si="184">C398+1</f>
        <v>41183</v>
      </c>
      <c r="C399" s="257">
        <f t="shared" ref="C399:C420" si="185">EOMONTH(C398,3)</f>
        <v>41274</v>
      </c>
      <c r="D399" s="258">
        <f t="shared" si="181"/>
        <v>92</v>
      </c>
      <c r="E399" s="259">
        <f>VLOOKUP(C399,'FERC Interest Rate'!$A:$B,2,TRUE)</f>
        <v>3.2500000000000001E-2</v>
      </c>
      <c r="F399" s="260">
        <f t="shared" ref="F399:F400" si="186">K398</f>
        <v>10105.865263594016</v>
      </c>
      <c r="G399" s="272"/>
      <c r="H399" s="272"/>
      <c r="I399" s="254">
        <f t="shared" si="182"/>
        <v>82.558844639743469</v>
      </c>
      <c r="J399" s="272"/>
      <c r="K399" s="255">
        <f t="shared" si="183"/>
        <v>10188.424108233759</v>
      </c>
    </row>
    <row r="400" spans="1:11" x14ac:dyDescent="0.2">
      <c r="A400" s="256"/>
      <c r="B400" s="257">
        <f t="shared" si="184"/>
        <v>41275</v>
      </c>
      <c r="C400" s="257">
        <f t="shared" si="185"/>
        <v>41364</v>
      </c>
      <c r="D400" s="258">
        <f t="shared" si="181"/>
        <v>90</v>
      </c>
      <c r="E400" s="259">
        <f>VLOOKUP(C400,'FERC Interest Rate'!$A:$B,2,TRUE)</f>
        <v>3.2500000000000001E-2</v>
      </c>
      <c r="F400" s="260">
        <f t="shared" si="186"/>
        <v>10188.424108233759</v>
      </c>
      <c r="G400" s="272"/>
      <c r="H400" s="272"/>
      <c r="I400" s="254">
        <f t="shared" si="182"/>
        <v>81.646960319407526</v>
      </c>
      <c r="J400" s="272"/>
      <c r="K400" s="255">
        <f t="shared" si="183"/>
        <v>10270.071068553167</v>
      </c>
    </row>
    <row r="401" spans="1:11" x14ac:dyDescent="0.2">
      <c r="A401" s="156"/>
      <c r="B401" s="167">
        <f t="shared" ref="B401:B404" si="187">C400+1</f>
        <v>41365</v>
      </c>
      <c r="C401" s="167">
        <f t="shared" si="185"/>
        <v>41455</v>
      </c>
      <c r="D401" s="142">
        <f t="shared" ref="D401:D404" si="188">C401-B401+1</f>
        <v>91</v>
      </c>
      <c r="E401" s="160">
        <f>VLOOKUP(C401,'FERC Interest Rate'!$A:$B,2,TRUE)</f>
        <v>3.2500000000000001E-2</v>
      </c>
      <c r="F401" s="148">
        <f>K400</f>
        <v>10270.071068553167</v>
      </c>
      <c r="G401" s="272"/>
      <c r="H401" s="147"/>
      <c r="I401" s="254">
        <f t="shared" si="182"/>
        <v>83.215712836290393</v>
      </c>
      <c r="J401" s="148"/>
      <c r="K401" s="130">
        <f t="shared" ref="K401:K404" si="189">F401+I401-H401-J401</f>
        <v>10353.286781389457</v>
      </c>
    </row>
    <row r="402" spans="1:11" x14ac:dyDescent="0.2">
      <c r="A402" s="156"/>
      <c r="B402" s="167">
        <f t="shared" si="187"/>
        <v>41456</v>
      </c>
      <c r="C402" s="167">
        <f t="shared" si="185"/>
        <v>41547</v>
      </c>
      <c r="D402" s="142">
        <f t="shared" si="188"/>
        <v>92</v>
      </c>
      <c r="E402" s="160">
        <f>VLOOKUP(C402,'FERC Interest Rate'!$A:$B,2,TRUE)</f>
        <v>3.2500000000000001E-2</v>
      </c>
      <c r="F402" s="148">
        <f t="shared" ref="F402:F404" si="190">K401</f>
        <v>10353.286781389457</v>
      </c>
      <c r="G402" s="147"/>
      <c r="H402" s="147"/>
      <c r="I402" s="254">
        <f t="shared" si="182"/>
        <v>84.811856099601329</v>
      </c>
      <c r="J402" s="148"/>
      <c r="K402" s="130">
        <f t="shared" si="189"/>
        <v>10438.098637489058</v>
      </c>
    </row>
    <row r="403" spans="1:11" x14ac:dyDescent="0.2">
      <c r="A403" s="156"/>
      <c r="B403" s="167">
        <f t="shared" si="187"/>
        <v>41548</v>
      </c>
      <c r="C403" s="167">
        <f t="shared" si="185"/>
        <v>41639</v>
      </c>
      <c r="D403" s="142">
        <f t="shared" si="188"/>
        <v>92</v>
      </c>
      <c r="E403" s="160">
        <f>VLOOKUP(C403,'FERC Interest Rate'!$A:$B,2,TRUE)</f>
        <v>3.2500000000000001E-2</v>
      </c>
      <c r="F403" s="148">
        <f t="shared" si="190"/>
        <v>10438.098637489058</v>
      </c>
      <c r="G403" s="147"/>
      <c r="H403" s="147"/>
      <c r="I403" s="254">
        <f t="shared" si="182"/>
        <v>85.506616235869274</v>
      </c>
      <c r="J403" s="148"/>
      <c r="K403" s="130">
        <f t="shared" si="189"/>
        <v>10523.605253724927</v>
      </c>
    </row>
    <row r="404" spans="1:11" x14ac:dyDescent="0.2">
      <c r="A404" s="156"/>
      <c r="B404" s="167">
        <f t="shared" si="187"/>
        <v>41640</v>
      </c>
      <c r="C404" s="167">
        <f t="shared" si="185"/>
        <v>41729</v>
      </c>
      <c r="D404" s="142">
        <f t="shared" si="188"/>
        <v>90</v>
      </c>
      <c r="E404" s="160">
        <f>VLOOKUP(C404,'FERC Interest Rate'!$A:$B,2,TRUE)</f>
        <v>3.2500000000000001E-2</v>
      </c>
      <c r="F404" s="148">
        <f t="shared" si="190"/>
        <v>10523.605253724927</v>
      </c>
      <c r="G404" s="147"/>
      <c r="H404" s="147">
        <f>($F$397/20)*4</f>
        <v>2000</v>
      </c>
      <c r="I404" s="254">
        <f t="shared" si="182"/>
        <v>84.333001005877833</v>
      </c>
      <c r="J404" s="148">
        <f>(SUM($I$397:$I$420)/20)*4</f>
        <v>121.58765094616115</v>
      </c>
      <c r="K404" s="130">
        <f t="shared" si="189"/>
        <v>8486.3506037846437</v>
      </c>
    </row>
    <row r="405" spans="1:11" x14ac:dyDescent="0.2">
      <c r="A405" s="156"/>
      <c r="B405" s="167">
        <f t="shared" si="184"/>
        <v>41730</v>
      </c>
      <c r="C405" s="167">
        <f t="shared" si="185"/>
        <v>41820</v>
      </c>
      <c r="D405" s="142">
        <f t="shared" si="181"/>
        <v>91</v>
      </c>
      <c r="E405" s="160">
        <f>VLOOKUP(C405,'FERC Interest Rate'!$A:$B,2,TRUE)</f>
        <v>3.2500000000000001E-2</v>
      </c>
      <c r="F405" s="148">
        <f>K404</f>
        <v>8486.3506037846437</v>
      </c>
      <c r="G405" s="147">
        <f t="shared" ref="G405:G420" si="191">F405*E405*(D405/(DATE(YEAR(C405),12,31)-DATE(YEAR(C405),1,1)+1))</f>
        <v>68.762690166282425</v>
      </c>
      <c r="H405" s="147">
        <f t="shared" ref="H405:H420" si="192">$F$397/20</f>
        <v>500</v>
      </c>
      <c r="I405" s="148">
        <v>0</v>
      </c>
      <c r="J405" s="148">
        <f>SUM($I$397:$I$420)/20</f>
        <v>30.396912736540287</v>
      </c>
      <c r="K405" s="130">
        <f t="shared" si="183"/>
        <v>7955.9536910481038</v>
      </c>
    </row>
    <row r="406" spans="1:11" x14ac:dyDescent="0.2">
      <c r="A406" s="156"/>
      <c r="B406" s="167">
        <f t="shared" si="184"/>
        <v>41821</v>
      </c>
      <c r="C406" s="167">
        <f t="shared" si="185"/>
        <v>41912</v>
      </c>
      <c r="D406" s="142">
        <f t="shared" si="181"/>
        <v>92</v>
      </c>
      <c r="E406" s="160">
        <f>VLOOKUP(C406,'FERC Interest Rate'!$A:$B,2,TRUE)</f>
        <v>3.2500000000000001E-2</v>
      </c>
      <c r="F406" s="148">
        <f>K405</f>
        <v>7955.9536910481038</v>
      </c>
      <c r="G406" s="147">
        <f t="shared" si="191"/>
        <v>65.173428866394062</v>
      </c>
      <c r="H406" s="147">
        <f t="shared" si="192"/>
        <v>500</v>
      </c>
      <c r="I406" s="148">
        <v>0</v>
      </c>
      <c r="J406" s="148">
        <f t="shared" ref="J406:J420" si="193">SUM($I$397:$I$420)/20</f>
        <v>30.396912736540287</v>
      </c>
      <c r="K406" s="130">
        <f t="shared" si="183"/>
        <v>7425.5567783115639</v>
      </c>
    </row>
    <row r="407" spans="1:11" x14ac:dyDescent="0.2">
      <c r="A407" s="156"/>
      <c r="B407" s="167">
        <f t="shared" si="184"/>
        <v>41913</v>
      </c>
      <c r="C407" s="167">
        <f t="shared" si="185"/>
        <v>42004</v>
      </c>
      <c r="D407" s="142">
        <f t="shared" si="181"/>
        <v>92</v>
      </c>
      <c r="E407" s="160">
        <f>VLOOKUP(C407,'FERC Interest Rate'!$A:$B,2,TRUE)</f>
        <v>3.2500000000000001E-2</v>
      </c>
      <c r="F407" s="148">
        <f t="shared" ref="F407:F420" si="194">K406</f>
        <v>7425.5567783115639</v>
      </c>
      <c r="G407" s="147">
        <f t="shared" si="191"/>
        <v>60.828533608634466</v>
      </c>
      <c r="H407" s="147">
        <f t="shared" si="192"/>
        <v>500</v>
      </c>
      <c r="I407" s="148">
        <v>0</v>
      </c>
      <c r="J407" s="148">
        <f t="shared" si="193"/>
        <v>30.396912736540287</v>
      </c>
      <c r="K407" s="130">
        <f t="shared" si="183"/>
        <v>6895.159865575024</v>
      </c>
    </row>
    <row r="408" spans="1:11" x14ac:dyDescent="0.2">
      <c r="A408" s="156"/>
      <c r="B408" s="167">
        <f t="shared" si="184"/>
        <v>42005</v>
      </c>
      <c r="C408" s="167">
        <f t="shared" si="185"/>
        <v>42094</v>
      </c>
      <c r="D408" s="142">
        <f t="shared" si="181"/>
        <v>90</v>
      </c>
      <c r="E408" s="160">
        <f>VLOOKUP(C408,'FERC Interest Rate'!$A:$B,2,TRUE)</f>
        <v>3.2500000000000001E-2</v>
      </c>
      <c r="F408" s="148">
        <f t="shared" si="194"/>
        <v>6895.159865575024</v>
      </c>
      <c r="G408" s="147">
        <f t="shared" si="191"/>
        <v>55.255733169334093</v>
      </c>
      <c r="H408" s="147">
        <f t="shared" si="192"/>
        <v>500</v>
      </c>
      <c r="I408" s="148">
        <v>0</v>
      </c>
      <c r="J408" s="148">
        <f t="shared" si="193"/>
        <v>30.396912736540287</v>
      </c>
      <c r="K408" s="130">
        <f t="shared" si="183"/>
        <v>6364.7629528384841</v>
      </c>
    </row>
    <row r="409" spans="1:11" x14ac:dyDescent="0.2">
      <c r="A409" s="156"/>
      <c r="B409" s="167">
        <f t="shared" si="184"/>
        <v>42095</v>
      </c>
      <c r="C409" s="167">
        <f t="shared" si="185"/>
        <v>42185</v>
      </c>
      <c r="D409" s="142">
        <f t="shared" si="181"/>
        <v>91</v>
      </c>
      <c r="E409" s="160">
        <f>VLOOKUP(C409,'FERC Interest Rate'!$A:$B,2,TRUE)</f>
        <v>3.2500000000000001E-2</v>
      </c>
      <c r="F409" s="148">
        <f t="shared" si="194"/>
        <v>6364.7629528384841</v>
      </c>
      <c r="G409" s="147">
        <f t="shared" si="191"/>
        <v>51.572017624711826</v>
      </c>
      <c r="H409" s="147">
        <f t="shared" si="192"/>
        <v>500</v>
      </c>
      <c r="I409" s="148">
        <v>0</v>
      </c>
      <c r="J409" s="148">
        <f t="shared" si="193"/>
        <v>30.396912736540287</v>
      </c>
      <c r="K409" s="130">
        <f t="shared" si="183"/>
        <v>5834.3660401019442</v>
      </c>
    </row>
    <row r="410" spans="1:11" x14ac:dyDescent="0.2">
      <c r="A410" s="156"/>
      <c r="B410" s="167">
        <f t="shared" si="184"/>
        <v>42186</v>
      </c>
      <c r="C410" s="167">
        <f t="shared" si="185"/>
        <v>42277</v>
      </c>
      <c r="D410" s="142">
        <f t="shared" si="181"/>
        <v>92</v>
      </c>
      <c r="E410" s="160">
        <f>VLOOKUP(C410,'FERC Interest Rate'!$A:$B,2,TRUE)</f>
        <v>3.2500000000000001E-2</v>
      </c>
      <c r="F410" s="148">
        <f t="shared" si="194"/>
        <v>5834.3660401019442</v>
      </c>
      <c r="G410" s="147">
        <f t="shared" si="191"/>
        <v>47.793847835355656</v>
      </c>
      <c r="H410" s="147">
        <f t="shared" si="192"/>
        <v>500</v>
      </c>
      <c r="I410" s="148">
        <v>0</v>
      </c>
      <c r="J410" s="148">
        <f t="shared" si="193"/>
        <v>30.396912736540287</v>
      </c>
      <c r="K410" s="130">
        <f t="shared" si="183"/>
        <v>5303.9691273654043</v>
      </c>
    </row>
    <row r="411" spans="1:11" x14ac:dyDescent="0.2">
      <c r="A411" s="156"/>
      <c r="B411" s="167">
        <f t="shared" si="184"/>
        <v>42278</v>
      </c>
      <c r="C411" s="167">
        <f t="shared" si="185"/>
        <v>42369</v>
      </c>
      <c r="D411" s="142">
        <f t="shared" si="181"/>
        <v>92</v>
      </c>
      <c r="E411" s="160">
        <f>VLOOKUP(C411,'FERC Interest Rate'!$A:$B,2,TRUE)</f>
        <v>3.2500000000000001E-2</v>
      </c>
      <c r="F411" s="148">
        <f t="shared" si="194"/>
        <v>5303.9691273654043</v>
      </c>
      <c r="G411" s="147">
        <f t="shared" si="191"/>
        <v>43.44895257759606</v>
      </c>
      <c r="H411" s="147">
        <f t="shared" si="192"/>
        <v>500</v>
      </c>
      <c r="I411" s="148">
        <v>0</v>
      </c>
      <c r="J411" s="148">
        <f t="shared" si="193"/>
        <v>30.396912736540287</v>
      </c>
      <c r="K411" s="130">
        <f t="shared" si="183"/>
        <v>4773.5722146288645</v>
      </c>
    </row>
    <row r="412" spans="1:11" x14ac:dyDescent="0.2">
      <c r="A412" s="156"/>
      <c r="B412" s="167">
        <f t="shared" si="184"/>
        <v>42370</v>
      </c>
      <c r="C412" s="167">
        <f t="shared" si="185"/>
        <v>42460</v>
      </c>
      <c r="D412" s="142">
        <f t="shared" si="181"/>
        <v>91</v>
      </c>
      <c r="E412" s="160">
        <f>VLOOKUP(C412,'FERC Interest Rate'!$A:$B,2,TRUE)</f>
        <v>3.2500000000000001E-2</v>
      </c>
      <c r="F412" s="148">
        <f t="shared" si="194"/>
        <v>4773.5722146288645</v>
      </c>
      <c r="G412" s="147">
        <f t="shared" si="191"/>
        <v>38.573332854548816</v>
      </c>
      <c r="H412" s="147">
        <f t="shared" si="192"/>
        <v>500</v>
      </c>
      <c r="I412" s="148">
        <v>0</v>
      </c>
      <c r="J412" s="148">
        <f t="shared" si="193"/>
        <v>30.396912736540287</v>
      </c>
      <c r="K412" s="130">
        <f t="shared" si="183"/>
        <v>4243.1753018923246</v>
      </c>
    </row>
    <row r="413" spans="1:11" x14ac:dyDescent="0.2">
      <c r="A413" s="156"/>
      <c r="B413" s="167">
        <f t="shared" si="184"/>
        <v>42461</v>
      </c>
      <c r="C413" s="167">
        <f t="shared" si="185"/>
        <v>42551</v>
      </c>
      <c r="D413" s="142">
        <f t="shared" si="181"/>
        <v>91</v>
      </c>
      <c r="E413" s="160">
        <f>VLOOKUP(C413,'FERC Interest Rate'!$A:$B,2,TRUE)</f>
        <v>3.2500000000000001E-2</v>
      </c>
      <c r="F413" s="148">
        <f t="shared" si="194"/>
        <v>4243.1753018923246</v>
      </c>
      <c r="G413" s="147">
        <f t="shared" si="191"/>
        <v>34.287406981821178</v>
      </c>
      <c r="H413" s="147">
        <f t="shared" si="192"/>
        <v>500</v>
      </c>
      <c r="I413" s="148">
        <v>0</v>
      </c>
      <c r="J413" s="148">
        <f t="shared" si="193"/>
        <v>30.396912736540287</v>
      </c>
      <c r="K413" s="130">
        <f t="shared" si="183"/>
        <v>3712.7783891557842</v>
      </c>
    </row>
    <row r="414" spans="1:11" x14ac:dyDescent="0.2">
      <c r="A414" s="156"/>
      <c r="B414" s="167">
        <f t="shared" si="184"/>
        <v>42552</v>
      </c>
      <c r="C414" s="167">
        <f t="shared" si="185"/>
        <v>42643</v>
      </c>
      <c r="D414" s="142">
        <f t="shared" si="181"/>
        <v>92</v>
      </c>
      <c r="E414" s="160">
        <f>VLOOKUP(C414,'FERC Interest Rate'!$A:$B,2,TRUE)</f>
        <v>4.0333330000000001E-2</v>
      </c>
      <c r="F414" s="148">
        <f t="shared" si="194"/>
        <v>3712.7783891557842</v>
      </c>
      <c r="G414" s="147">
        <f t="shared" si="191"/>
        <v>37.641753745287865</v>
      </c>
      <c r="H414" s="147">
        <f t="shared" si="192"/>
        <v>500</v>
      </c>
      <c r="I414" s="148">
        <v>0</v>
      </c>
      <c r="J414" s="148">
        <f t="shared" si="193"/>
        <v>30.396912736540287</v>
      </c>
      <c r="K414" s="130">
        <f t="shared" si="183"/>
        <v>3182.3814764192439</v>
      </c>
    </row>
    <row r="415" spans="1:11" x14ac:dyDescent="0.2">
      <c r="A415" s="156"/>
      <c r="B415" s="167">
        <f t="shared" si="184"/>
        <v>42644</v>
      </c>
      <c r="C415" s="167">
        <f t="shared" si="185"/>
        <v>42735</v>
      </c>
      <c r="D415" s="142">
        <f t="shared" si="181"/>
        <v>92</v>
      </c>
      <c r="E415" s="160">
        <f>VLOOKUP(C415,'FERC Interest Rate'!$A:$B,2,TRUE)</f>
        <v>4.2833329999999996E-2</v>
      </c>
      <c r="F415" s="148">
        <f t="shared" si="194"/>
        <v>3182.3814764192439</v>
      </c>
      <c r="G415" s="147">
        <f t="shared" si="191"/>
        <v>34.26421756506133</v>
      </c>
      <c r="H415" s="147">
        <f t="shared" si="192"/>
        <v>500</v>
      </c>
      <c r="I415" s="148">
        <v>0</v>
      </c>
      <c r="J415" s="148">
        <f t="shared" si="193"/>
        <v>30.396912736540287</v>
      </c>
      <c r="K415" s="130">
        <f t="shared" si="183"/>
        <v>2651.9845636827035</v>
      </c>
    </row>
    <row r="416" spans="1:11" x14ac:dyDescent="0.2">
      <c r="A416" s="156"/>
      <c r="B416" s="167">
        <f t="shared" si="184"/>
        <v>42736</v>
      </c>
      <c r="C416" s="167">
        <f t="shared" si="185"/>
        <v>42825</v>
      </c>
      <c r="D416" s="142">
        <f t="shared" si="181"/>
        <v>90</v>
      </c>
      <c r="E416" s="160">
        <f>VLOOKUP(C416,'FERC Interest Rate'!$A:$B,2,TRUE)</f>
        <v>4.7066670000000005E-2</v>
      </c>
      <c r="F416" s="148">
        <f t="shared" si="194"/>
        <v>2651.9845636827035</v>
      </c>
      <c r="G416" s="147">
        <f t="shared" si="191"/>
        <v>30.777554540699455</v>
      </c>
      <c r="H416" s="147">
        <f t="shared" si="192"/>
        <v>500</v>
      </c>
      <c r="I416" s="148">
        <v>0</v>
      </c>
      <c r="J416" s="148">
        <f t="shared" si="193"/>
        <v>30.396912736540287</v>
      </c>
      <c r="K416" s="130">
        <f t="shared" si="183"/>
        <v>2121.5876509461632</v>
      </c>
    </row>
    <row r="417" spans="1:11" x14ac:dyDescent="0.2">
      <c r="A417" s="169"/>
      <c r="B417" s="167">
        <f t="shared" si="184"/>
        <v>42826</v>
      </c>
      <c r="C417" s="167">
        <f t="shared" si="185"/>
        <v>42916</v>
      </c>
      <c r="D417" s="142">
        <f t="shared" si="181"/>
        <v>91</v>
      </c>
      <c r="E417" s="160">
        <f>VLOOKUP(C417,'FERC Interest Rate'!$A:$B,2,TRUE)</f>
        <v>5.21E-2</v>
      </c>
      <c r="F417" s="148">
        <f t="shared" si="194"/>
        <v>2121.5876509461632</v>
      </c>
      <c r="G417" s="147">
        <f t="shared" si="191"/>
        <v>27.557970443563985</v>
      </c>
      <c r="H417" s="147">
        <f t="shared" si="192"/>
        <v>500</v>
      </c>
      <c r="I417" s="148">
        <v>0</v>
      </c>
      <c r="J417" s="148">
        <f t="shared" si="193"/>
        <v>30.396912736540287</v>
      </c>
      <c r="K417" s="130">
        <f t="shared" si="183"/>
        <v>1591.1907382096229</v>
      </c>
    </row>
    <row r="418" spans="1:11" x14ac:dyDescent="0.2">
      <c r="A418" s="169"/>
      <c r="B418" s="167">
        <f t="shared" si="184"/>
        <v>42917</v>
      </c>
      <c r="C418" s="167">
        <f t="shared" si="185"/>
        <v>43008</v>
      </c>
      <c r="D418" s="142">
        <f t="shared" si="181"/>
        <v>92</v>
      </c>
      <c r="E418" s="160">
        <f>VLOOKUP(C418,'FERC Interest Rate'!$A:$B,2,TRUE)</f>
        <v>5.7066670000000007E-2</v>
      </c>
      <c r="F418" s="148">
        <f t="shared" si="194"/>
        <v>1591.1907382096229</v>
      </c>
      <c r="G418" s="147">
        <f t="shared" si="191"/>
        <v>22.887572663919933</v>
      </c>
      <c r="H418" s="147">
        <f t="shared" si="192"/>
        <v>500</v>
      </c>
      <c r="I418" s="148">
        <v>0</v>
      </c>
      <c r="J418" s="148">
        <f t="shared" si="193"/>
        <v>30.396912736540287</v>
      </c>
      <c r="K418" s="130">
        <f t="shared" si="183"/>
        <v>1060.7938254730825</v>
      </c>
    </row>
    <row r="419" spans="1:11" x14ac:dyDescent="0.2">
      <c r="A419" s="169"/>
      <c r="B419" s="167">
        <f t="shared" si="184"/>
        <v>43009</v>
      </c>
      <c r="C419" s="167">
        <f t="shared" si="185"/>
        <v>43100</v>
      </c>
      <c r="D419" s="142">
        <f t="shared" si="181"/>
        <v>92</v>
      </c>
      <c r="E419" s="160">
        <f>VLOOKUP(C419,'FERC Interest Rate'!$A:$B,2,TRUE)</f>
        <v>6.2033329999999998E-2</v>
      </c>
      <c r="F419" s="148">
        <f t="shared" si="194"/>
        <v>1060.7938254730825</v>
      </c>
      <c r="G419" s="147">
        <f t="shared" si="191"/>
        <v>16.586358236309973</v>
      </c>
      <c r="H419" s="147">
        <f t="shared" si="192"/>
        <v>500</v>
      </c>
      <c r="I419" s="148">
        <v>0</v>
      </c>
      <c r="J419" s="148">
        <f t="shared" si="193"/>
        <v>30.396912736540287</v>
      </c>
      <c r="K419" s="130">
        <f t="shared" si="183"/>
        <v>530.39691273654216</v>
      </c>
    </row>
    <row r="420" spans="1:11" x14ac:dyDescent="0.2">
      <c r="A420" s="169"/>
      <c r="B420" s="167">
        <f t="shared" si="184"/>
        <v>43101</v>
      </c>
      <c r="C420" s="167">
        <f t="shared" si="185"/>
        <v>43190</v>
      </c>
      <c r="D420" s="142">
        <f t="shared" si="181"/>
        <v>90</v>
      </c>
      <c r="E420" s="160">
        <f>VLOOKUP(C420,'FERC Interest Rate'!$A:$B,2,TRUE)</f>
        <v>6.6699999999999995E-2</v>
      </c>
      <c r="F420" s="148">
        <f t="shared" si="194"/>
        <v>530.39691273654216</v>
      </c>
      <c r="G420" s="147">
        <f t="shared" si="191"/>
        <v>8.7232127867327733</v>
      </c>
      <c r="H420" s="147">
        <f t="shared" si="192"/>
        <v>500</v>
      </c>
      <c r="I420" s="148">
        <v>0</v>
      </c>
      <c r="J420" s="148">
        <f t="shared" si="193"/>
        <v>30.396912736540287</v>
      </c>
      <c r="K420" s="130">
        <f t="shared" si="183"/>
        <v>1.8758328224066645E-12</v>
      </c>
    </row>
    <row r="421" spans="1:11" ht="13.5" thickBot="1" x14ac:dyDescent="0.25">
      <c r="A421" s="129"/>
      <c r="B421" s="168"/>
      <c r="C421" s="168"/>
      <c r="D421" s="121"/>
      <c r="E421" s="122"/>
      <c r="F421" s="145"/>
      <c r="G421" s="145"/>
      <c r="H421" s="146">
        <f>SUM(H404:H420)</f>
        <v>10000</v>
      </c>
      <c r="I421" s="123">
        <f>SUM(I397:I420)</f>
        <v>607.93825473080574</v>
      </c>
      <c r="J421" s="123">
        <f>SUM(J404:J420)</f>
        <v>607.93825473080597</v>
      </c>
      <c r="K421" s="128"/>
    </row>
    <row r="422" spans="1:11" ht="13.5" thickBot="1" x14ac:dyDescent="0.25"/>
    <row r="423" spans="1:11" ht="13.5" thickBot="1" x14ac:dyDescent="0.25">
      <c r="A423" s="304" t="s">
        <v>71</v>
      </c>
      <c r="B423" s="305"/>
      <c r="C423" s="305"/>
      <c r="D423" s="305"/>
      <c r="E423" s="305"/>
      <c r="F423" s="305"/>
      <c r="G423" s="305"/>
      <c r="H423" s="305"/>
      <c r="I423" s="305"/>
      <c r="J423" s="305"/>
      <c r="K423" s="306"/>
    </row>
    <row r="424" spans="1:11" ht="13.5" thickBot="1" x14ac:dyDescent="0.25">
      <c r="A424" s="190" t="s">
        <v>110</v>
      </c>
      <c r="B424" s="185">
        <v>27</v>
      </c>
      <c r="C424" s="191"/>
      <c r="D424" s="191"/>
      <c r="E424" s="191"/>
      <c r="F424" s="191"/>
      <c r="G424" s="191"/>
      <c r="H424" s="191"/>
      <c r="I424" s="191"/>
      <c r="J424" s="191"/>
      <c r="K424" s="192"/>
    </row>
    <row r="425" spans="1:11" ht="51.75" thickBot="1" x14ac:dyDescent="0.25">
      <c r="A425" s="163" t="s">
        <v>9</v>
      </c>
      <c r="B425" s="164" t="s">
        <v>10</v>
      </c>
      <c r="C425" s="164" t="s">
        <v>11</v>
      </c>
      <c r="D425" s="164" t="s">
        <v>12</v>
      </c>
      <c r="E425" s="164" t="s">
        <v>13</v>
      </c>
      <c r="F425" s="164" t="s">
        <v>14</v>
      </c>
      <c r="G425" s="164" t="s">
        <v>32</v>
      </c>
      <c r="H425" s="164" t="s">
        <v>16</v>
      </c>
      <c r="I425" s="164" t="s">
        <v>85</v>
      </c>
      <c r="J425" s="164" t="s">
        <v>33</v>
      </c>
      <c r="K425" s="165" t="s">
        <v>15</v>
      </c>
    </row>
    <row r="426" spans="1:11" x14ac:dyDescent="0.2">
      <c r="A426" s="266"/>
      <c r="B426" s="267">
        <f>VLOOKUP(B424,A$1:F$31,2,FALSE)</f>
        <v>41089</v>
      </c>
      <c r="C426" s="267">
        <f>DATE(YEAR(B426),IF(MONTH(B426)&lt;=3,3,IF(MONTH(B426)&lt;=6,6,IF(MONTH(B426)&lt;=9,9,12))),IF(OR(MONTH(B426)&lt;=3,MONTH(B426)&gt;=10),31,30))</f>
        <v>41090</v>
      </c>
      <c r="D426" s="268">
        <f>C426-B426+1</f>
        <v>2</v>
      </c>
      <c r="E426" s="259">
        <f>VLOOKUP(C426,'FERC Interest Rate'!$A:$B,2,TRUE)</f>
        <v>3.2500000000000001E-2</v>
      </c>
      <c r="F426" s="254">
        <f>VLOOKUP(B424,$A$1:$F$31,5,FALSE)</f>
        <v>10000</v>
      </c>
      <c r="G426" s="273"/>
      <c r="H426" s="273"/>
      <c r="I426" s="254">
        <f>F426*E426*(D426/(DATE(YEAR(C426),12,31)-DATE(YEAR(C426),1,1)+1))</f>
        <v>1.7759562841530054</v>
      </c>
      <c r="J426" s="273"/>
      <c r="K426" s="255">
        <f>F426+I426-H426-J426</f>
        <v>10001.775956284153</v>
      </c>
    </row>
    <row r="427" spans="1:11" x14ac:dyDescent="0.2">
      <c r="A427" s="256"/>
      <c r="B427" s="257">
        <f>C426+1</f>
        <v>41091</v>
      </c>
      <c r="C427" s="257">
        <f>EOMONTH(C426,3)</f>
        <v>41182</v>
      </c>
      <c r="D427" s="258">
        <f t="shared" ref="D427:D449" si="195">C427-B427+1</f>
        <v>92</v>
      </c>
      <c r="E427" s="259">
        <f>VLOOKUP(C427,'FERC Interest Rate'!$A:$B,2,TRUE)</f>
        <v>3.2500000000000001E-2</v>
      </c>
      <c r="F427" s="260">
        <f>K426</f>
        <v>10001.775956284153</v>
      </c>
      <c r="G427" s="273"/>
      <c r="H427" s="272"/>
      <c r="I427" s="254">
        <f t="shared" ref="I427:I433" si="196">F427*E427*(D427/(DATE(YEAR(C427),12,31)-DATE(YEAR(C427),1,1)+1))</f>
        <v>81.708497566365082</v>
      </c>
      <c r="J427" s="273"/>
      <c r="K427" s="255">
        <f t="shared" ref="K427:K449" si="197">F427+I427-H427-J427</f>
        <v>10083.484453850519</v>
      </c>
    </row>
    <row r="428" spans="1:11" x14ac:dyDescent="0.2">
      <c r="A428" s="256"/>
      <c r="B428" s="257">
        <f t="shared" ref="B428:B449" si="198">C427+1</f>
        <v>41183</v>
      </c>
      <c r="C428" s="257">
        <f t="shared" ref="C428:C449" si="199">EOMONTH(C427,3)</f>
        <v>41274</v>
      </c>
      <c r="D428" s="258">
        <f t="shared" si="195"/>
        <v>92</v>
      </c>
      <c r="E428" s="259">
        <f>VLOOKUP(C428,'FERC Interest Rate'!$A:$B,2,TRUE)</f>
        <v>3.2500000000000001E-2</v>
      </c>
      <c r="F428" s="260">
        <f t="shared" ref="F428:F434" si="200">K427</f>
        <v>10083.484453850519</v>
      </c>
      <c r="G428" s="273"/>
      <c r="H428" s="272"/>
      <c r="I428" s="254">
        <f t="shared" si="196"/>
        <v>82.376006877084848</v>
      </c>
      <c r="J428" s="273"/>
      <c r="K428" s="255">
        <f t="shared" si="197"/>
        <v>10165.860460727603</v>
      </c>
    </row>
    <row r="429" spans="1:11" x14ac:dyDescent="0.2">
      <c r="A429" s="256"/>
      <c r="B429" s="257">
        <f t="shared" si="198"/>
        <v>41275</v>
      </c>
      <c r="C429" s="257">
        <f t="shared" si="199"/>
        <v>41364</v>
      </c>
      <c r="D429" s="258">
        <f t="shared" si="195"/>
        <v>90</v>
      </c>
      <c r="E429" s="259">
        <f>VLOOKUP(C429,'FERC Interest Rate'!$A:$B,2,TRUE)</f>
        <v>3.2500000000000001E-2</v>
      </c>
      <c r="F429" s="260">
        <f t="shared" si="200"/>
        <v>10165.860460727603</v>
      </c>
      <c r="G429" s="273"/>
      <c r="H429" s="272"/>
      <c r="I429" s="254">
        <f t="shared" si="196"/>
        <v>81.466142048296547</v>
      </c>
      <c r="J429" s="273"/>
      <c r="K429" s="255">
        <f t="shared" si="197"/>
        <v>10247.3266027759</v>
      </c>
    </row>
    <row r="430" spans="1:11" x14ac:dyDescent="0.2">
      <c r="A430" s="156"/>
      <c r="B430" s="167">
        <f t="shared" ref="B430:B434" si="201">C429+1</f>
        <v>41365</v>
      </c>
      <c r="C430" s="167">
        <f t="shared" si="199"/>
        <v>41455</v>
      </c>
      <c r="D430" s="142">
        <f t="shared" ref="D430:D434" si="202">C430-B430+1</f>
        <v>91</v>
      </c>
      <c r="E430" s="160">
        <f>VLOOKUP(C430,'FERC Interest Rate'!$A:$B,2,TRUE)</f>
        <v>3.2500000000000001E-2</v>
      </c>
      <c r="F430" s="148">
        <f t="shared" si="200"/>
        <v>10247.3266027759</v>
      </c>
      <c r="G430" s="273"/>
      <c r="H430" s="147"/>
      <c r="I430" s="254">
        <f t="shared" si="196"/>
        <v>83.031420349889657</v>
      </c>
      <c r="J430" s="148"/>
      <c r="K430" s="130">
        <f t="shared" ref="K430:K433" si="203">F430+I430-H430-J430</f>
        <v>10330.358023125789</v>
      </c>
    </row>
    <row r="431" spans="1:11" x14ac:dyDescent="0.2">
      <c r="A431" s="156"/>
      <c r="B431" s="167">
        <f t="shared" si="201"/>
        <v>41456</v>
      </c>
      <c r="C431" s="167">
        <f t="shared" si="199"/>
        <v>41547</v>
      </c>
      <c r="D431" s="142">
        <f t="shared" si="202"/>
        <v>92</v>
      </c>
      <c r="E431" s="160">
        <f>VLOOKUP(C431,'FERC Interest Rate'!$A:$B,2,TRUE)</f>
        <v>3.2500000000000001E-2</v>
      </c>
      <c r="F431" s="148">
        <f t="shared" si="200"/>
        <v>10330.358023125789</v>
      </c>
      <c r="G431" s="147"/>
      <c r="H431" s="147"/>
      <c r="I431" s="254">
        <f t="shared" si="196"/>
        <v>84.62402873738661</v>
      </c>
      <c r="J431" s="148"/>
      <c r="K431" s="130">
        <f t="shared" si="203"/>
        <v>10414.982051863175</v>
      </c>
    </row>
    <row r="432" spans="1:11" x14ac:dyDescent="0.2">
      <c r="A432" s="156"/>
      <c r="B432" s="167">
        <f t="shared" si="201"/>
        <v>41548</v>
      </c>
      <c r="C432" s="167">
        <f t="shared" si="199"/>
        <v>41639</v>
      </c>
      <c r="D432" s="142">
        <f t="shared" si="202"/>
        <v>92</v>
      </c>
      <c r="E432" s="160">
        <f>VLOOKUP(C432,'FERC Interest Rate'!$A:$B,2,TRUE)</f>
        <v>3.2500000000000001E-2</v>
      </c>
      <c r="F432" s="148">
        <f t="shared" si="200"/>
        <v>10414.982051863175</v>
      </c>
      <c r="G432" s="147"/>
      <c r="H432" s="147"/>
      <c r="I432" s="254">
        <f t="shared" si="196"/>
        <v>85.317250233070951</v>
      </c>
      <c r="J432" s="148"/>
      <c r="K432" s="130">
        <f t="shared" si="203"/>
        <v>10500.299302096246</v>
      </c>
    </row>
    <row r="433" spans="1:11" x14ac:dyDescent="0.2">
      <c r="A433" s="156"/>
      <c r="B433" s="167">
        <f t="shared" si="201"/>
        <v>41640</v>
      </c>
      <c r="C433" s="167">
        <f t="shared" si="199"/>
        <v>41729</v>
      </c>
      <c r="D433" s="142">
        <f t="shared" si="202"/>
        <v>90</v>
      </c>
      <c r="E433" s="160">
        <f>VLOOKUP(C433,'FERC Interest Rate'!$A:$B,2,TRUE)</f>
        <v>3.2500000000000001E-2</v>
      </c>
      <c r="F433" s="148">
        <f t="shared" si="200"/>
        <v>10500.299302096246</v>
      </c>
      <c r="G433" s="147"/>
      <c r="H433" s="147">
        <f>($F$426/20)*4</f>
        <v>2000</v>
      </c>
      <c r="I433" s="254">
        <f t="shared" si="196"/>
        <v>84.14623413323703</v>
      </c>
      <c r="J433" s="148">
        <f>(SUM($I$426:$I$449)/20)*4</f>
        <v>116.88910724589675</v>
      </c>
      <c r="K433" s="130">
        <f t="shared" si="203"/>
        <v>8467.5564289835856</v>
      </c>
    </row>
    <row r="434" spans="1:11" x14ac:dyDescent="0.2">
      <c r="A434" s="156"/>
      <c r="B434" s="167">
        <f t="shared" si="201"/>
        <v>41730</v>
      </c>
      <c r="C434" s="167">
        <f t="shared" si="199"/>
        <v>41820</v>
      </c>
      <c r="D434" s="142">
        <f t="shared" si="202"/>
        <v>91</v>
      </c>
      <c r="E434" s="160">
        <f>VLOOKUP(C434,'FERC Interest Rate'!$A:$B,2,TRUE)</f>
        <v>3.2500000000000001E-2</v>
      </c>
      <c r="F434" s="148">
        <f t="shared" si="200"/>
        <v>8467.5564289835856</v>
      </c>
      <c r="G434" s="147">
        <f t="shared" ref="G434" si="204">F434*E434*(D434/(DATE(YEAR(C434),12,31)-DATE(YEAR(C434),1,1)+1))</f>
        <v>68.610405859503999</v>
      </c>
      <c r="H434" s="147">
        <f t="shared" ref="H434" si="205">$F$426/20</f>
        <v>500</v>
      </c>
      <c r="I434" s="148">
        <v>0</v>
      </c>
      <c r="J434" s="148">
        <f>SUM($I$426:$I$449)/20</f>
        <v>29.222276811474188</v>
      </c>
      <c r="K434" s="130">
        <f>F434+I434-H434-J434</f>
        <v>7938.3341521721113</v>
      </c>
    </row>
    <row r="435" spans="1:11" x14ac:dyDescent="0.2">
      <c r="A435" s="156"/>
      <c r="B435" s="167">
        <f t="shared" si="198"/>
        <v>41821</v>
      </c>
      <c r="C435" s="167">
        <f t="shared" si="199"/>
        <v>41912</v>
      </c>
      <c r="D435" s="142">
        <f t="shared" si="195"/>
        <v>92</v>
      </c>
      <c r="E435" s="160">
        <f>VLOOKUP(C435,'FERC Interest Rate'!$A:$B,2,TRUE)</f>
        <v>3.2500000000000001E-2</v>
      </c>
      <c r="F435" s="148">
        <f>K434</f>
        <v>7938.3341521721113</v>
      </c>
      <c r="G435" s="147">
        <f t="shared" ref="G435:G449" si="206">F435*E435*(D435/(DATE(YEAR(C435),12,31)-DATE(YEAR(C435),1,1)+1))</f>
        <v>65.029093465738669</v>
      </c>
      <c r="H435" s="147">
        <f t="shared" ref="H435:H449" si="207">$F$426/20</f>
        <v>500</v>
      </c>
      <c r="I435" s="148">
        <v>0</v>
      </c>
      <c r="J435" s="148">
        <f t="shared" ref="J435:J449" si="208">SUM($I$426:$I$449)/20</f>
        <v>29.222276811474188</v>
      </c>
      <c r="K435" s="130">
        <f t="shared" si="197"/>
        <v>7409.111875360637</v>
      </c>
    </row>
    <row r="436" spans="1:11" x14ac:dyDescent="0.2">
      <c r="A436" s="156"/>
      <c r="B436" s="167">
        <f t="shared" si="198"/>
        <v>41913</v>
      </c>
      <c r="C436" s="167">
        <f t="shared" si="199"/>
        <v>42004</v>
      </c>
      <c r="D436" s="142">
        <f t="shared" si="195"/>
        <v>92</v>
      </c>
      <c r="E436" s="160">
        <f>VLOOKUP(C436,'FERC Interest Rate'!$A:$B,2,TRUE)</f>
        <v>3.2500000000000001E-2</v>
      </c>
      <c r="F436" s="148">
        <f t="shared" ref="F436:F449" si="209">K435</f>
        <v>7409.111875360637</v>
      </c>
      <c r="G436" s="147">
        <f t="shared" si="206"/>
        <v>60.693820568022758</v>
      </c>
      <c r="H436" s="147">
        <f t="shared" si="207"/>
        <v>500</v>
      </c>
      <c r="I436" s="148">
        <v>0</v>
      </c>
      <c r="J436" s="148">
        <f t="shared" si="208"/>
        <v>29.222276811474188</v>
      </c>
      <c r="K436" s="130">
        <f t="shared" si="197"/>
        <v>6879.8895985491627</v>
      </c>
    </row>
    <row r="437" spans="1:11" x14ac:dyDescent="0.2">
      <c r="A437" s="156"/>
      <c r="B437" s="167">
        <f t="shared" si="198"/>
        <v>42005</v>
      </c>
      <c r="C437" s="167">
        <f t="shared" si="199"/>
        <v>42094</v>
      </c>
      <c r="D437" s="142">
        <f t="shared" si="195"/>
        <v>90</v>
      </c>
      <c r="E437" s="160">
        <f>VLOOKUP(C437,'FERC Interest Rate'!$A:$B,2,TRUE)</f>
        <v>3.2500000000000001E-2</v>
      </c>
      <c r="F437" s="148">
        <f t="shared" si="209"/>
        <v>6879.8895985491627</v>
      </c>
      <c r="G437" s="147">
        <f t="shared" si="206"/>
        <v>55.133361851387129</v>
      </c>
      <c r="H437" s="147">
        <f t="shared" si="207"/>
        <v>500</v>
      </c>
      <c r="I437" s="148">
        <v>0</v>
      </c>
      <c r="J437" s="148">
        <f t="shared" si="208"/>
        <v>29.222276811474188</v>
      </c>
      <c r="K437" s="130">
        <f t="shared" si="197"/>
        <v>6350.6673217376883</v>
      </c>
    </row>
    <row r="438" spans="1:11" x14ac:dyDescent="0.2">
      <c r="A438" s="156"/>
      <c r="B438" s="167">
        <f t="shared" si="198"/>
        <v>42095</v>
      </c>
      <c r="C438" s="167">
        <f t="shared" si="199"/>
        <v>42185</v>
      </c>
      <c r="D438" s="142">
        <f t="shared" si="195"/>
        <v>91</v>
      </c>
      <c r="E438" s="160">
        <f>VLOOKUP(C438,'FERC Interest Rate'!$A:$B,2,TRUE)</f>
        <v>3.2500000000000001E-2</v>
      </c>
      <c r="F438" s="148">
        <f t="shared" si="209"/>
        <v>6350.6673217376883</v>
      </c>
      <c r="G438" s="147">
        <f t="shared" si="206"/>
        <v>51.457804394627978</v>
      </c>
      <c r="H438" s="147">
        <f t="shared" si="207"/>
        <v>500</v>
      </c>
      <c r="I438" s="148">
        <v>0</v>
      </c>
      <c r="J438" s="148">
        <f t="shared" si="208"/>
        <v>29.222276811474188</v>
      </c>
      <c r="K438" s="130">
        <f>F438+I438-H438-J438</f>
        <v>5821.445044926214</v>
      </c>
    </row>
    <row r="439" spans="1:11" x14ac:dyDescent="0.2">
      <c r="A439" s="156"/>
      <c r="B439" s="167">
        <f t="shared" si="198"/>
        <v>42186</v>
      </c>
      <c r="C439" s="167">
        <f t="shared" si="199"/>
        <v>42277</v>
      </c>
      <c r="D439" s="142">
        <f t="shared" si="195"/>
        <v>92</v>
      </c>
      <c r="E439" s="160">
        <f>VLOOKUP(C439,'FERC Interest Rate'!$A:$B,2,TRUE)</f>
        <v>3.2500000000000001E-2</v>
      </c>
      <c r="F439" s="148">
        <f t="shared" si="209"/>
        <v>5821.445044926214</v>
      </c>
      <c r="G439" s="147">
        <f t="shared" si="206"/>
        <v>47.688001874875013</v>
      </c>
      <c r="H439" s="147">
        <f t="shared" si="207"/>
        <v>500</v>
      </c>
      <c r="I439" s="148">
        <v>0</v>
      </c>
      <c r="J439" s="148">
        <f t="shared" si="208"/>
        <v>29.222276811474188</v>
      </c>
      <c r="K439" s="130">
        <f t="shared" si="197"/>
        <v>5292.2227681147397</v>
      </c>
    </row>
    <row r="440" spans="1:11" x14ac:dyDescent="0.2">
      <c r="A440" s="156"/>
      <c r="B440" s="167">
        <f t="shared" si="198"/>
        <v>42278</v>
      </c>
      <c r="C440" s="167">
        <f t="shared" si="199"/>
        <v>42369</v>
      </c>
      <c r="D440" s="142">
        <f t="shared" si="195"/>
        <v>92</v>
      </c>
      <c r="E440" s="160">
        <f>VLOOKUP(C440,'FERC Interest Rate'!$A:$B,2,TRUE)</f>
        <v>3.2500000000000001E-2</v>
      </c>
      <c r="F440" s="148">
        <f t="shared" si="209"/>
        <v>5292.2227681147397</v>
      </c>
      <c r="G440" s="147">
        <f t="shared" si="206"/>
        <v>43.352728977159103</v>
      </c>
      <c r="H440" s="147">
        <f t="shared" si="207"/>
        <v>500</v>
      </c>
      <c r="I440" s="148">
        <v>0</v>
      </c>
      <c r="J440" s="148">
        <f t="shared" si="208"/>
        <v>29.222276811474188</v>
      </c>
      <c r="K440" s="130">
        <f t="shared" si="197"/>
        <v>4763.0004913032653</v>
      </c>
    </row>
    <row r="441" spans="1:11" x14ac:dyDescent="0.2">
      <c r="A441" s="156"/>
      <c r="B441" s="167">
        <f t="shared" si="198"/>
        <v>42370</v>
      </c>
      <c r="C441" s="167">
        <f t="shared" si="199"/>
        <v>42460</v>
      </c>
      <c r="D441" s="142">
        <f t="shared" si="195"/>
        <v>91</v>
      </c>
      <c r="E441" s="160">
        <f>VLOOKUP(C441,'FERC Interest Rate'!$A:$B,2,TRUE)</f>
        <v>3.2500000000000001E-2</v>
      </c>
      <c r="F441" s="148">
        <f t="shared" si="209"/>
        <v>4763.0004913032653</v>
      </c>
      <c r="G441" s="147">
        <f t="shared" si="206"/>
        <v>38.487906975490183</v>
      </c>
      <c r="H441" s="147">
        <f t="shared" si="207"/>
        <v>500</v>
      </c>
      <c r="I441" s="148">
        <v>0</v>
      </c>
      <c r="J441" s="148">
        <f t="shared" si="208"/>
        <v>29.222276811474188</v>
      </c>
      <c r="K441" s="130">
        <f t="shared" si="197"/>
        <v>4233.778214491791</v>
      </c>
    </row>
    <row r="442" spans="1:11" x14ac:dyDescent="0.2">
      <c r="A442" s="156"/>
      <c r="B442" s="167">
        <f t="shared" si="198"/>
        <v>42461</v>
      </c>
      <c r="C442" s="167">
        <f t="shared" si="199"/>
        <v>42551</v>
      </c>
      <c r="D442" s="142">
        <f t="shared" si="195"/>
        <v>91</v>
      </c>
      <c r="E442" s="160">
        <f>VLOOKUP(C442,'FERC Interest Rate'!$A:$B,2,TRUE)</f>
        <v>3.2500000000000001E-2</v>
      </c>
      <c r="F442" s="148">
        <f t="shared" si="209"/>
        <v>4233.778214491791</v>
      </c>
      <c r="G442" s="147">
        <f t="shared" si="206"/>
        <v>34.211472867102387</v>
      </c>
      <c r="H442" s="147">
        <f t="shared" si="207"/>
        <v>500</v>
      </c>
      <c r="I442" s="148">
        <v>0</v>
      </c>
      <c r="J442" s="148">
        <f t="shared" si="208"/>
        <v>29.222276811474188</v>
      </c>
      <c r="K442" s="130">
        <f t="shared" si="197"/>
        <v>3704.5559376803167</v>
      </c>
    </row>
    <row r="443" spans="1:11" x14ac:dyDescent="0.2">
      <c r="A443" s="156"/>
      <c r="B443" s="167">
        <f t="shared" si="198"/>
        <v>42552</v>
      </c>
      <c r="C443" s="167">
        <f t="shared" si="199"/>
        <v>42643</v>
      </c>
      <c r="D443" s="142">
        <f t="shared" si="195"/>
        <v>92</v>
      </c>
      <c r="E443" s="160">
        <f>VLOOKUP(C443,'FERC Interest Rate'!$A:$B,2,TRUE)</f>
        <v>4.0333330000000001E-2</v>
      </c>
      <c r="F443" s="148">
        <f t="shared" si="209"/>
        <v>3704.5559376803167</v>
      </c>
      <c r="G443" s="147">
        <f t="shared" si="206"/>
        <v>37.558390974559039</v>
      </c>
      <c r="H443" s="147">
        <f t="shared" si="207"/>
        <v>500</v>
      </c>
      <c r="I443" s="148">
        <v>0</v>
      </c>
      <c r="J443" s="148">
        <f t="shared" si="208"/>
        <v>29.222276811474188</v>
      </c>
      <c r="K443" s="130">
        <f t="shared" si="197"/>
        <v>3175.3336608688423</v>
      </c>
    </row>
    <row r="444" spans="1:11" x14ac:dyDescent="0.2">
      <c r="A444" s="156"/>
      <c r="B444" s="167">
        <f t="shared" si="198"/>
        <v>42644</v>
      </c>
      <c r="C444" s="167">
        <f t="shared" si="199"/>
        <v>42735</v>
      </c>
      <c r="D444" s="142">
        <f t="shared" si="195"/>
        <v>92</v>
      </c>
      <c r="E444" s="160">
        <f>VLOOKUP(C444,'FERC Interest Rate'!$A:$B,2,TRUE)</f>
        <v>4.2833329999999996E-2</v>
      </c>
      <c r="F444" s="148">
        <f t="shared" si="209"/>
        <v>3175.3336608688423</v>
      </c>
      <c r="G444" s="147">
        <f t="shared" si="206"/>
        <v>34.188334806452168</v>
      </c>
      <c r="H444" s="147">
        <f t="shared" si="207"/>
        <v>500</v>
      </c>
      <c r="I444" s="148">
        <v>0</v>
      </c>
      <c r="J444" s="148">
        <f t="shared" si="208"/>
        <v>29.222276811474188</v>
      </c>
      <c r="K444" s="130">
        <f t="shared" si="197"/>
        <v>2646.111384057368</v>
      </c>
    </row>
    <row r="445" spans="1:11" x14ac:dyDescent="0.2">
      <c r="A445" s="156"/>
      <c r="B445" s="167">
        <f t="shared" si="198"/>
        <v>42736</v>
      </c>
      <c r="C445" s="167">
        <f t="shared" si="199"/>
        <v>42825</v>
      </c>
      <c r="D445" s="142">
        <f t="shared" si="195"/>
        <v>90</v>
      </c>
      <c r="E445" s="160">
        <f>VLOOKUP(C445,'FERC Interest Rate'!$A:$B,2,TRUE)</f>
        <v>4.7066670000000005E-2</v>
      </c>
      <c r="F445" s="148">
        <f t="shared" si="209"/>
        <v>2646.111384057368</v>
      </c>
      <c r="G445" s="147">
        <f t="shared" si="206"/>
        <v>30.709393470412127</v>
      </c>
      <c r="H445" s="147">
        <f t="shared" si="207"/>
        <v>500</v>
      </c>
      <c r="I445" s="148">
        <v>0</v>
      </c>
      <c r="J445" s="148">
        <f t="shared" si="208"/>
        <v>29.222276811474188</v>
      </c>
      <c r="K445" s="130">
        <f t="shared" si="197"/>
        <v>2116.8891072458937</v>
      </c>
    </row>
    <row r="446" spans="1:11" x14ac:dyDescent="0.2">
      <c r="A446" s="169"/>
      <c r="B446" s="167">
        <f t="shared" si="198"/>
        <v>42826</v>
      </c>
      <c r="C446" s="167">
        <f t="shared" si="199"/>
        <v>42916</v>
      </c>
      <c r="D446" s="142">
        <f t="shared" si="195"/>
        <v>91</v>
      </c>
      <c r="E446" s="160">
        <f>VLOOKUP(C446,'FERC Interest Rate'!$A:$B,2,TRUE)</f>
        <v>5.21E-2</v>
      </c>
      <c r="F446" s="148">
        <f t="shared" si="209"/>
        <v>2116.8891072458937</v>
      </c>
      <c r="G446" s="147">
        <f t="shared" si="206"/>
        <v>27.496939579078102</v>
      </c>
      <c r="H446" s="147">
        <f t="shared" si="207"/>
        <v>500</v>
      </c>
      <c r="I446" s="148">
        <v>0</v>
      </c>
      <c r="J446" s="148">
        <f t="shared" si="208"/>
        <v>29.222276811474188</v>
      </c>
      <c r="K446" s="130">
        <f t="shared" si="197"/>
        <v>1587.6668304344196</v>
      </c>
    </row>
    <row r="447" spans="1:11" x14ac:dyDescent="0.2">
      <c r="A447" s="169"/>
      <c r="B447" s="167">
        <f t="shared" si="198"/>
        <v>42917</v>
      </c>
      <c r="C447" s="167">
        <f t="shared" si="199"/>
        <v>43008</v>
      </c>
      <c r="D447" s="142">
        <f t="shared" si="195"/>
        <v>92</v>
      </c>
      <c r="E447" s="160">
        <f>VLOOKUP(C447,'FERC Interest Rate'!$A:$B,2,TRUE)</f>
        <v>5.7066670000000007E-2</v>
      </c>
      <c r="F447" s="148">
        <f t="shared" si="209"/>
        <v>1587.6668304344196</v>
      </c>
      <c r="G447" s="147">
        <f t="shared" si="206"/>
        <v>22.836885028975136</v>
      </c>
      <c r="H447" s="147">
        <f t="shared" si="207"/>
        <v>500</v>
      </c>
      <c r="I447" s="148">
        <v>0</v>
      </c>
      <c r="J447" s="148">
        <f t="shared" si="208"/>
        <v>29.222276811474188</v>
      </c>
      <c r="K447" s="130">
        <f t="shared" si="197"/>
        <v>1058.4445536229455</v>
      </c>
    </row>
    <row r="448" spans="1:11" x14ac:dyDescent="0.2">
      <c r="A448" s="169"/>
      <c r="B448" s="167">
        <f t="shared" si="198"/>
        <v>43009</v>
      </c>
      <c r="C448" s="167">
        <f t="shared" si="199"/>
        <v>43100</v>
      </c>
      <c r="D448" s="142">
        <f t="shared" si="195"/>
        <v>92</v>
      </c>
      <c r="E448" s="160">
        <f>VLOOKUP(C448,'FERC Interest Rate'!$A:$B,2,TRUE)</f>
        <v>6.2033329999999998E-2</v>
      </c>
      <c r="F448" s="148">
        <f t="shared" si="209"/>
        <v>1058.4445536229455</v>
      </c>
      <c r="G448" s="147">
        <f t="shared" si="206"/>
        <v>16.549625495634874</v>
      </c>
      <c r="H448" s="147">
        <f t="shared" si="207"/>
        <v>500</v>
      </c>
      <c r="I448" s="148">
        <v>0</v>
      </c>
      <c r="J448" s="148">
        <f t="shared" si="208"/>
        <v>29.222276811474188</v>
      </c>
      <c r="K448" s="130">
        <f t="shared" si="197"/>
        <v>529.22227681147126</v>
      </c>
    </row>
    <row r="449" spans="1:11" x14ac:dyDescent="0.2">
      <c r="A449" s="169"/>
      <c r="B449" s="167">
        <f t="shared" si="198"/>
        <v>43101</v>
      </c>
      <c r="C449" s="167">
        <f t="shared" si="199"/>
        <v>43190</v>
      </c>
      <c r="D449" s="142">
        <f t="shared" si="195"/>
        <v>90</v>
      </c>
      <c r="E449" s="160">
        <f>VLOOKUP(C449,'FERC Interest Rate'!$A:$B,2,TRUE)</f>
        <v>6.6699999999999995E-2</v>
      </c>
      <c r="F449" s="148">
        <f t="shared" si="209"/>
        <v>529.22227681147126</v>
      </c>
      <c r="G449" s="147">
        <f t="shared" si="206"/>
        <v>8.7038940484911276</v>
      </c>
      <c r="H449" s="147">
        <f t="shared" si="207"/>
        <v>500</v>
      </c>
      <c r="I449" s="148">
        <v>0</v>
      </c>
      <c r="J449" s="148">
        <f t="shared" si="208"/>
        <v>29.222276811474188</v>
      </c>
      <c r="K449" s="130">
        <f t="shared" si="197"/>
        <v>-2.9274360713316128E-12</v>
      </c>
    </row>
    <row r="450" spans="1:11" ht="13.5" thickBot="1" x14ac:dyDescent="0.25">
      <c r="A450" s="129"/>
      <c r="B450" s="168"/>
      <c r="C450" s="168"/>
      <c r="D450" s="121"/>
      <c r="E450" s="122"/>
      <c r="F450" s="145"/>
      <c r="G450" s="145"/>
      <c r="H450" s="146">
        <f>SUM(H433:H449)</f>
        <v>10000</v>
      </c>
      <c r="I450" s="123">
        <f>SUM(I426:I449)</f>
        <v>584.44553622948376</v>
      </c>
      <c r="J450" s="123">
        <f>SUM(J433:J449)</f>
        <v>584.44553622948411</v>
      </c>
      <c r="K450" s="128"/>
    </row>
  </sheetData>
  <mergeCells count="14">
    <mergeCell ref="A36:K36"/>
    <mergeCell ref="A88:K88"/>
    <mergeCell ref="A62:F62"/>
    <mergeCell ref="A120:K120"/>
    <mergeCell ref="A152:K152"/>
    <mergeCell ref="A183:K183"/>
    <mergeCell ref="A365:K365"/>
    <mergeCell ref="A394:K394"/>
    <mergeCell ref="A423:K423"/>
    <mergeCell ref="A214:K214"/>
    <mergeCell ref="A245:K245"/>
    <mergeCell ref="A275:K275"/>
    <mergeCell ref="A305:K305"/>
    <mergeCell ref="A335:K335"/>
  </mergeCells>
  <printOptions horizontalCentered="1"/>
  <pageMargins left="0.7" right="0.7" top="0.75" bottom="0.75" header="0.3" footer="0.3"/>
  <pageSetup scale="56" orientation="landscape" cellComments="asDisplayed" r:id="rId1"/>
  <headerFooter alignWithMargins="0">
    <oddHeader>&amp;RTO11 Draft Annual Update
Attachment 4
WP Schedule 22
Page &amp;P of &amp;N</oddHeader>
    <oddFooter>&amp;R&amp;A</oddFooter>
  </headerFooter>
  <rowBreaks count="7" manualBreakCount="7">
    <brk id="35" max="16383" man="1"/>
    <brk id="87" max="16383" man="1"/>
    <brk id="151" max="16383" man="1"/>
    <brk id="213" max="16383" man="1"/>
    <brk id="274" max="16383" man="1"/>
    <brk id="334" max="16383" man="1"/>
    <brk id="39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8" ht="51" x14ac:dyDescent="0.2">
      <c r="A1" s="187" t="s">
        <v>18</v>
      </c>
      <c r="B1" s="3" t="s">
        <v>8</v>
      </c>
      <c r="C1" s="187" t="s">
        <v>7</v>
      </c>
      <c r="D1" s="187" t="s">
        <v>1</v>
      </c>
      <c r="E1" s="187" t="s">
        <v>24</v>
      </c>
      <c r="F1" s="3" t="s">
        <v>0</v>
      </c>
      <c r="H1" s="187"/>
    </row>
    <row r="2" spans="1:8" ht="12.75" customHeight="1" x14ac:dyDescent="0.2">
      <c r="A2" s="4">
        <v>1</v>
      </c>
      <c r="B2" s="9">
        <v>41275</v>
      </c>
      <c r="C2" s="10">
        <v>5567720</v>
      </c>
      <c r="D2" s="10">
        <v>0</v>
      </c>
      <c r="E2" s="10">
        <v>0</v>
      </c>
      <c r="F2" s="29">
        <f>SUM(C2:E2)</f>
        <v>5567720</v>
      </c>
    </row>
    <row r="3" spans="1:8" ht="12.75" customHeight="1" x14ac:dyDescent="0.2">
      <c r="A3" s="4">
        <v>2</v>
      </c>
      <c r="B3" s="137" t="s">
        <v>93</v>
      </c>
      <c r="C3" s="10">
        <v>0</v>
      </c>
      <c r="D3" s="10">
        <v>0</v>
      </c>
      <c r="E3" s="10">
        <v>0</v>
      </c>
      <c r="F3" s="29">
        <f t="shared" ref="F3:F25" si="0">SUM(C3:E3)</f>
        <v>0</v>
      </c>
    </row>
    <row r="4" spans="1:8" x14ac:dyDescent="0.2">
      <c r="A4" s="4">
        <v>3</v>
      </c>
      <c r="B4" s="137" t="s">
        <v>93</v>
      </c>
      <c r="C4" s="10">
        <v>0</v>
      </c>
      <c r="D4" s="10">
        <v>0</v>
      </c>
      <c r="E4" s="10">
        <v>0</v>
      </c>
      <c r="F4" s="29">
        <f t="shared" si="0"/>
        <v>0</v>
      </c>
    </row>
    <row r="5" spans="1:8" x14ac:dyDescent="0.2">
      <c r="A5" s="4">
        <v>4</v>
      </c>
      <c r="B5" s="137" t="s">
        <v>93</v>
      </c>
      <c r="C5" s="10">
        <v>0</v>
      </c>
      <c r="D5" s="10">
        <v>0</v>
      </c>
      <c r="E5" s="10">
        <v>0</v>
      </c>
      <c r="F5" s="29">
        <f t="shared" si="0"/>
        <v>0</v>
      </c>
    </row>
    <row r="6" spans="1:8" ht="12.75" customHeight="1" x14ac:dyDescent="0.2">
      <c r="A6" s="4">
        <v>5</v>
      </c>
      <c r="B6" s="137" t="s">
        <v>93</v>
      </c>
      <c r="C6" s="10">
        <v>0</v>
      </c>
      <c r="D6" s="10">
        <v>0</v>
      </c>
      <c r="E6" s="10">
        <v>0</v>
      </c>
      <c r="F6" s="29">
        <f t="shared" si="0"/>
        <v>0</v>
      </c>
    </row>
    <row r="7" spans="1:8" x14ac:dyDescent="0.2">
      <c r="A7" s="4">
        <v>6</v>
      </c>
      <c r="B7" s="137" t="s">
        <v>93</v>
      </c>
      <c r="C7" s="10">
        <v>0</v>
      </c>
      <c r="D7" s="10">
        <v>0</v>
      </c>
      <c r="E7" s="10">
        <v>0</v>
      </c>
      <c r="F7" s="29">
        <f t="shared" si="0"/>
        <v>0</v>
      </c>
    </row>
    <row r="8" spans="1:8" x14ac:dyDescent="0.2">
      <c r="A8" s="4">
        <v>7</v>
      </c>
      <c r="B8" s="137" t="s">
        <v>93</v>
      </c>
      <c r="C8" s="10">
        <v>0</v>
      </c>
      <c r="D8" s="10">
        <v>0</v>
      </c>
      <c r="E8" s="10">
        <v>0</v>
      </c>
      <c r="F8" s="29">
        <f t="shared" si="0"/>
        <v>0</v>
      </c>
    </row>
    <row r="9" spans="1:8" x14ac:dyDescent="0.2">
      <c r="A9" s="4">
        <v>8</v>
      </c>
      <c r="B9" s="137" t="s">
        <v>93</v>
      </c>
      <c r="C9" s="10">
        <v>0</v>
      </c>
      <c r="D9" s="10">
        <v>0</v>
      </c>
      <c r="E9" s="10">
        <v>0</v>
      </c>
      <c r="F9" s="29">
        <f t="shared" si="0"/>
        <v>0</v>
      </c>
    </row>
    <row r="10" spans="1:8" x14ac:dyDescent="0.2">
      <c r="A10" s="4">
        <v>9</v>
      </c>
      <c r="B10" s="137" t="s">
        <v>93</v>
      </c>
      <c r="C10" s="10">
        <v>0</v>
      </c>
      <c r="D10" s="10">
        <v>0</v>
      </c>
      <c r="E10" s="10">
        <v>0</v>
      </c>
      <c r="F10" s="29">
        <f t="shared" si="0"/>
        <v>0</v>
      </c>
    </row>
    <row r="11" spans="1:8" x14ac:dyDescent="0.2">
      <c r="A11" s="4">
        <v>10</v>
      </c>
      <c r="B11" s="137" t="s">
        <v>93</v>
      </c>
      <c r="C11" s="10">
        <v>0</v>
      </c>
      <c r="D11" s="10">
        <v>0</v>
      </c>
      <c r="E11" s="10">
        <v>0</v>
      </c>
      <c r="F11" s="29">
        <f t="shared" si="0"/>
        <v>0</v>
      </c>
    </row>
    <row r="12" spans="1:8" x14ac:dyDescent="0.2">
      <c r="A12" s="4">
        <v>11</v>
      </c>
      <c r="B12" s="137" t="s">
        <v>93</v>
      </c>
      <c r="C12" s="10">
        <v>0</v>
      </c>
      <c r="D12" s="10">
        <v>0</v>
      </c>
      <c r="E12" s="10">
        <v>0</v>
      </c>
      <c r="F12" s="29">
        <f t="shared" si="0"/>
        <v>0</v>
      </c>
      <c r="H12" s="64"/>
    </row>
    <row r="13" spans="1:8" x14ac:dyDescent="0.2">
      <c r="A13" s="4">
        <v>12</v>
      </c>
      <c r="B13" s="137" t="s">
        <v>93</v>
      </c>
      <c r="C13" s="10">
        <v>0</v>
      </c>
      <c r="D13" s="10">
        <v>0</v>
      </c>
      <c r="E13" s="10">
        <v>0</v>
      </c>
      <c r="F13" s="29">
        <f t="shared" si="0"/>
        <v>0</v>
      </c>
      <c r="H13" s="64"/>
    </row>
    <row r="14" spans="1:8" x14ac:dyDescent="0.2">
      <c r="A14" s="4">
        <v>13</v>
      </c>
      <c r="B14" s="137" t="s">
        <v>93</v>
      </c>
      <c r="C14" s="10">
        <v>0</v>
      </c>
      <c r="D14" s="10">
        <v>0</v>
      </c>
      <c r="E14" s="10">
        <v>0</v>
      </c>
      <c r="F14" s="29">
        <f t="shared" si="0"/>
        <v>0</v>
      </c>
      <c r="H14" s="64"/>
    </row>
    <row r="15" spans="1:8" x14ac:dyDescent="0.2">
      <c r="A15" s="4">
        <v>14</v>
      </c>
      <c r="B15" s="137" t="s">
        <v>93</v>
      </c>
      <c r="C15" s="10">
        <v>0</v>
      </c>
      <c r="D15" s="10">
        <v>0</v>
      </c>
      <c r="E15" s="10">
        <v>0</v>
      </c>
      <c r="F15" s="29">
        <f t="shared" si="0"/>
        <v>0</v>
      </c>
      <c r="H15" s="64"/>
    </row>
    <row r="16" spans="1:8"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87" t="s">
        <v>0</v>
      </c>
      <c r="C26" s="57">
        <f>SUM(C2:C25)</f>
        <v>5567720</v>
      </c>
      <c r="D26" s="57">
        <f>SUM(D2:D25)</f>
        <v>0</v>
      </c>
      <c r="E26" s="57">
        <f>SUM(E2:E25)</f>
        <v>0</v>
      </c>
      <c r="F26" s="57">
        <f>SUM(F2:F25)</f>
        <v>5567720</v>
      </c>
    </row>
    <row r="27" spans="1:11" x14ac:dyDescent="0.2">
      <c r="B27" s="187"/>
      <c r="C27" s="57"/>
      <c r="D27" s="57"/>
      <c r="E27" s="57"/>
      <c r="F27" s="57"/>
    </row>
    <row r="28" spans="1:11" x14ac:dyDescent="0.2">
      <c r="A28" s="187" t="s">
        <v>90</v>
      </c>
      <c r="B28" s="137" t="s">
        <v>93</v>
      </c>
      <c r="C28" s="30">
        <v>0</v>
      </c>
      <c r="D28" s="30">
        <v>0</v>
      </c>
      <c r="E28" s="30">
        <v>0</v>
      </c>
      <c r="F28" s="57">
        <f>SUM(C28:E28)</f>
        <v>0</v>
      </c>
    </row>
    <row r="29" spans="1:11" x14ac:dyDescent="0.2">
      <c r="A29" s="187" t="s">
        <v>91</v>
      </c>
      <c r="B29" s="137" t="s">
        <v>93</v>
      </c>
      <c r="C29" s="30">
        <v>0</v>
      </c>
      <c r="D29" s="30">
        <v>0</v>
      </c>
      <c r="E29" s="30">
        <v>0</v>
      </c>
      <c r="F29" s="57">
        <f>SUM(C29:E29)</f>
        <v>0</v>
      </c>
    </row>
    <row r="30" spans="1:11" x14ac:dyDescent="0.2">
      <c r="B30" s="187"/>
      <c r="C30" s="57"/>
      <c r="D30" s="57"/>
      <c r="E30" s="57"/>
      <c r="F30" s="57"/>
    </row>
    <row r="31" spans="1:11" x14ac:dyDescent="0.2">
      <c r="C31" s="187" t="s">
        <v>43</v>
      </c>
      <c r="D31" s="187" t="s">
        <v>42</v>
      </c>
      <c r="G31"/>
      <c r="H31"/>
      <c r="I31"/>
      <c r="J31"/>
      <c r="K31"/>
    </row>
    <row r="32" spans="1:11" x14ac:dyDescent="0.2">
      <c r="B32" s="186" t="s">
        <v>26</v>
      </c>
      <c r="C32" s="188">
        <v>41850</v>
      </c>
      <c r="D32" s="188">
        <v>41590</v>
      </c>
      <c r="G32"/>
      <c r="H32"/>
      <c r="I32"/>
      <c r="J32"/>
      <c r="K32"/>
    </row>
    <row r="33" spans="1:11" x14ac:dyDescent="0.2">
      <c r="B33" s="186" t="s">
        <v>84</v>
      </c>
      <c r="C33" s="188">
        <v>41955</v>
      </c>
      <c r="D33" s="188">
        <v>41977</v>
      </c>
      <c r="G33"/>
      <c r="H33"/>
      <c r="I33"/>
      <c r="J33"/>
      <c r="K33"/>
    </row>
    <row r="34" spans="1:11" ht="13.5" thickBot="1" x14ac:dyDescent="0.25">
      <c r="B34" s="186"/>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56"/>
      <c r="B37" s="257">
        <f>$D$32</f>
        <v>41590</v>
      </c>
      <c r="C37" s="257">
        <f>DATE(YEAR(B37),IF(MONTH(B37)&lt;=3,3,IF(MONTH(B37)&lt;=6,6,IF(MONTH(B37)&lt;=9,9,12))),IF(OR(MONTH(B37)&lt;=3,MONTH(B37)&gt;=10),31,30))</f>
        <v>41639</v>
      </c>
      <c r="D37" s="258">
        <f>C37-B37+1</f>
        <v>50</v>
      </c>
      <c r="E37" s="259">
        <f>VLOOKUP(C37,'FERC Interest Rate'!$A:$B,2,TRUE)</f>
        <v>3.2500000000000001E-2</v>
      </c>
      <c r="F37" s="260">
        <f>$C$26</f>
        <v>5567720</v>
      </c>
      <c r="G37" s="272">
        <v>0</v>
      </c>
      <c r="H37" s="272">
        <v>0</v>
      </c>
      <c r="I37" s="260">
        <f>F37*E37*(D37/(DATE(YEAR(C37),12,31)-DATE(YEAR(C37),1,1)+1))</f>
        <v>24787.794520547945</v>
      </c>
      <c r="J37" s="260">
        <v>0</v>
      </c>
      <c r="K37" s="255">
        <f>F37+I37-H37-J37</f>
        <v>5592507.7945205476</v>
      </c>
    </row>
    <row r="38" spans="1:11" x14ac:dyDescent="0.2">
      <c r="A38" s="256"/>
      <c r="B38" s="257">
        <f t="shared" ref="B38:B41" si="1">C37+1</f>
        <v>41640</v>
      </c>
      <c r="C38" s="257">
        <f t="shared" ref="C38:C60" si="2">EOMONTH(C37,3)</f>
        <v>41729</v>
      </c>
      <c r="D38" s="258">
        <f t="shared" ref="D38:D41" si="3">C38-B38+1</f>
        <v>90</v>
      </c>
      <c r="E38" s="259">
        <f>VLOOKUP(C38,'FERC Interest Rate'!$A:$B,2,TRUE)</f>
        <v>3.2500000000000001E-2</v>
      </c>
      <c r="F38" s="260">
        <f t="shared" ref="F38:F44" si="4">K37</f>
        <v>5592507.7945205476</v>
      </c>
      <c r="G38" s="272">
        <v>0</v>
      </c>
      <c r="H38" s="272">
        <v>0</v>
      </c>
      <c r="I38" s="260">
        <f t="shared" ref="I38:I41" si="5">F38*E38*(D38/(DATE(YEAR(C38),12,31)-DATE(YEAR(C38),1,1)+1))</f>
        <v>44816.672051979731</v>
      </c>
      <c r="J38" s="260">
        <v>0</v>
      </c>
      <c r="K38" s="255">
        <f t="shared" ref="K38:K41" si="6">F38+I38-H38-J38</f>
        <v>5637324.4665725278</v>
      </c>
    </row>
    <row r="39" spans="1:11" x14ac:dyDescent="0.2">
      <c r="A39" s="256"/>
      <c r="B39" s="257">
        <f t="shared" si="1"/>
        <v>41730</v>
      </c>
      <c r="C39" s="257">
        <f t="shared" si="2"/>
        <v>41820</v>
      </c>
      <c r="D39" s="258">
        <f t="shared" si="3"/>
        <v>91</v>
      </c>
      <c r="E39" s="259">
        <f>VLOOKUP(C39,'FERC Interest Rate'!$A:$B,2,TRUE)</f>
        <v>3.2500000000000001E-2</v>
      </c>
      <c r="F39" s="260">
        <f t="shared" si="4"/>
        <v>5637324.4665725278</v>
      </c>
      <c r="G39" s="272">
        <v>0</v>
      </c>
      <c r="H39" s="272">
        <v>0</v>
      </c>
      <c r="I39" s="260">
        <f t="shared" si="5"/>
        <v>45677.77290380343</v>
      </c>
      <c r="J39" s="260">
        <v>0</v>
      </c>
      <c r="K39" s="255">
        <f t="shared" si="6"/>
        <v>5683002.2394763315</v>
      </c>
    </row>
    <row r="40" spans="1:11" x14ac:dyDescent="0.2">
      <c r="A40" s="256"/>
      <c r="B40" s="257">
        <f t="shared" si="1"/>
        <v>41821</v>
      </c>
      <c r="C40" s="257">
        <f t="shared" si="2"/>
        <v>41912</v>
      </c>
      <c r="D40" s="258">
        <f t="shared" si="3"/>
        <v>92</v>
      </c>
      <c r="E40" s="259">
        <f>VLOOKUP(C40,'FERC Interest Rate'!$A:$B,2,TRUE)</f>
        <v>3.2500000000000001E-2</v>
      </c>
      <c r="F40" s="260">
        <f t="shared" si="4"/>
        <v>5683002.2394763315</v>
      </c>
      <c r="G40" s="272">
        <v>0</v>
      </c>
      <c r="H40" s="272">
        <v>0</v>
      </c>
      <c r="I40" s="260">
        <f t="shared" si="5"/>
        <v>46553.90875625817</v>
      </c>
      <c r="J40" s="260">
        <v>0</v>
      </c>
      <c r="K40" s="255">
        <f t="shared" si="6"/>
        <v>5729556.1482325895</v>
      </c>
    </row>
    <row r="41" spans="1:11" x14ac:dyDescent="0.2">
      <c r="A41" s="156"/>
      <c r="B41" s="167">
        <f t="shared" si="1"/>
        <v>41913</v>
      </c>
      <c r="C41" s="167">
        <f t="shared" si="2"/>
        <v>42004</v>
      </c>
      <c r="D41" s="142">
        <f t="shared" si="3"/>
        <v>92</v>
      </c>
      <c r="E41" s="160">
        <f>VLOOKUP(C41,'FERC Interest Rate'!$A:$B,2,TRUE)</f>
        <v>3.2500000000000001E-2</v>
      </c>
      <c r="F41" s="148">
        <f t="shared" si="4"/>
        <v>5729556.1482325895</v>
      </c>
      <c r="G41" s="272">
        <v>0</v>
      </c>
      <c r="H41" s="147">
        <f t="shared" ref="H41:H43" si="7">$C$26/20</f>
        <v>278386</v>
      </c>
      <c r="I41" s="260">
        <f t="shared" si="5"/>
        <v>46935.268173192999</v>
      </c>
      <c r="J41" s="148">
        <f>SUM($I$37:$I$61)/20</f>
        <v>10438.570820289115</v>
      </c>
      <c r="K41" s="130">
        <f t="shared" si="6"/>
        <v>5487666.8455854934</v>
      </c>
    </row>
    <row r="42" spans="1:11" x14ac:dyDescent="0.2">
      <c r="A42" s="156"/>
      <c r="B42" s="167">
        <f t="shared" ref="B42:B56" si="8">C41+1</f>
        <v>42005</v>
      </c>
      <c r="C42" s="167">
        <f t="shared" si="2"/>
        <v>42094</v>
      </c>
      <c r="D42" s="142">
        <f t="shared" ref="D42:D56" si="9">C42-B42+1</f>
        <v>90</v>
      </c>
      <c r="E42" s="160">
        <f>VLOOKUP(C42,'FERC Interest Rate'!$A:$B,2,TRUE)</f>
        <v>3.2500000000000001E-2</v>
      </c>
      <c r="F42" s="148">
        <f t="shared" si="4"/>
        <v>5487666.8455854934</v>
      </c>
      <c r="G42" s="147">
        <f t="shared" ref="G42" si="10">F42*E42*(D42/(DATE(YEAR(C42),12,31)-DATE(YEAR(C42),1,1)+1))</f>
        <v>43976.508283116622</v>
      </c>
      <c r="H42" s="147">
        <f t="shared" si="7"/>
        <v>278386</v>
      </c>
      <c r="I42" s="148">
        <v>0</v>
      </c>
      <c r="J42" s="148">
        <f t="shared" ref="J42:J60" si="11">SUM($I$37:$I$61)/20</f>
        <v>10438.570820289115</v>
      </c>
      <c r="K42" s="130">
        <f t="shared" ref="K42:K56" si="12">F42+I42-H42-J42</f>
        <v>5198842.2747652046</v>
      </c>
    </row>
    <row r="43" spans="1:11" x14ac:dyDescent="0.2">
      <c r="A43" s="156"/>
      <c r="B43" s="167">
        <f t="shared" si="8"/>
        <v>42095</v>
      </c>
      <c r="C43" s="167">
        <f t="shared" si="2"/>
        <v>42185</v>
      </c>
      <c r="D43" s="142">
        <f t="shared" si="9"/>
        <v>91</v>
      </c>
      <c r="E43" s="160">
        <f>VLOOKUP(C43,'FERC Interest Rate'!$A:$B,2,TRUE)</f>
        <v>3.2500000000000001E-2</v>
      </c>
      <c r="F43" s="148">
        <f t="shared" si="4"/>
        <v>5198842.2747652046</v>
      </c>
      <c r="G43" s="147">
        <f t="shared" ref="G43:G56" si="13">F43*E43*(D43/(DATE(YEAR(C43),12,31)-DATE(YEAR(C43),1,1)+1))</f>
        <v>42124.865829090668</v>
      </c>
      <c r="H43" s="147">
        <f t="shared" si="7"/>
        <v>278386</v>
      </c>
      <c r="I43" s="148">
        <v>0</v>
      </c>
      <c r="J43" s="148">
        <f t="shared" si="11"/>
        <v>10438.570820289115</v>
      </c>
      <c r="K43" s="130">
        <f t="shared" si="12"/>
        <v>4910017.7039449159</v>
      </c>
    </row>
    <row r="44" spans="1:11" x14ac:dyDescent="0.2">
      <c r="A44" s="156"/>
      <c r="B44" s="167">
        <f t="shared" si="8"/>
        <v>42186</v>
      </c>
      <c r="C44" s="167">
        <f t="shared" si="2"/>
        <v>42277</v>
      </c>
      <c r="D44" s="142">
        <f t="shared" si="9"/>
        <v>92</v>
      </c>
      <c r="E44" s="160">
        <f>VLOOKUP(C44,'FERC Interest Rate'!$A:$B,2,TRUE)</f>
        <v>3.2500000000000001E-2</v>
      </c>
      <c r="F44" s="148">
        <f t="shared" si="4"/>
        <v>4910017.7039449159</v>
      </c>
      <c r="G44" s="147">
        <f t="shared" si="13"/>
        <v>40221.788862452871</v>
      </c>
      <c r="H44" s="147">
        <f t="shared" ref="H44:H60" si="14">$C$26/20</f>
        <v>278386</v>
      </c>
      <c r="I44" s="148">
        <v>0</v>
      </c>
      <c r="J44" s="148">
        <f t="shared" si="11"/>
        <v>10438.570820289115</v>
      </c>
      <c r="K44" s="130">
        <f t="shared" si="12"/>
        <v>4621193.1331246272</v>
      </c>
    </row>
    <row r="45" spans="1:11" x14ac:dyDescent="0.2">
      <c r="A45" s="156"/>
      <c r="B45" s="167">
        <f t="shared" si="8"/>
        <v>42278</v>
      </c>
      <c r="C45" s="167">
        <f t="shared" si="2"/>
        <v>42369</v>
      </c>
      <c r="D45" s="142">
        <f t="shared" si="9"/>
        <v>92</v>
      </c>
      <c r="E45" s="160">
        <f>VLOOKUP(C45,'FERC Interest Rate'!$A:$B,2,TRUE)</f>
        <v>3.2500000000000001E-2</v>
      </c>
      <c r="F45" s="148">
        <f t="shared" ref="F45:F56" si="15">K44</f>
        <v>4621193.1331246272</v>
      </c>
      <c r="G45" s="147">
        <f t="shared" si="13"/>
        <v>37855.801282308596</v>
      </c>
      <c r="H45" s="147">
        <f t="shared" si="14"/>
        <v>278386</v>
      </c>
      <c r="I45" s="148">
        <v>0</v>
      </c>
      <c r="J45" s="148">
        <f t="shared" si="11"/>
        <v>10438.570820289115</v>
      </c>
      <c r="K45" s="130">
        <f t="shared" si="12"/>
        <v>4332368.5623043384</v>
      </c>
    </row>
    <row r="46" spans="1:11" x14ac:dyDescent="0.2">
      <c r="A46" s="156"/>
      <c r="B46" s="167">
        <f t="shared" si="8"/>
        <v>42370</v>
      </c>
      <c r="C46" s="167">
        <f t="shared" si="2"/>
        <v>42460</v>
      </c>
      <c r="D46" s="142">
        <f t="shared" si="9"/>
        <v>91</v>
      </c>
      <c r="E46" s="160">
        <f>VLOOKUP(C46,'FERC Interest Rate'!$A:$B,2,TRUE)</f>
        <v>3.2500000000000001E-2</v>
      </c>
      <c r="F46" s="148">
        <f t="shared" si="15"/>
        <v>4332368.5623043384</v>
      </c>
      <c r="G46" s="147">
        <f t="shared" si="13"/>
        <v>35008.142139385469</v>
      </c>
      <c r="H46" s="147">
        <f t="shared" si="14"/>
        <v>278386</v>
      </c>
      <c r="I46" s="148">
        <v>0</v>
      </c>
      <c r="J46" s="148">
        <f t="shared" si="11"/>
        <v>10438.570820289115</v>
      </c>
      <c r="K46" s="130">
        <f t="shared" si="12"/>
        <v>4043543.9914840492</v>
      </c>
    </row>
    <row r="47" spans="1:11" x14ac:dyDescent="0.2">
      <c r="A47" s="156"/>
      <c r="B47" s="167">
        <f t="shared" si="8"/>
        <v>42461</v>
      </c>
      <c r="C47" s="167">
        <f t="shared" si="2"/>
        <v>42551</v>
      </c>
      <c r="D47" s="142">
        <f t="shared" si="9"/>
        <v>91</v>
      </c>
      <c r="E47" s="160">
        <f>VLOOKUP(C47,'FERC Interest Rate'!$A:$B,2,TRUE)</f>
        <v>3.2500000000000001E-2</v>
      </c>
      <c r="F47" s="148">
        <f t="shared" si="15"/>
        <v>4043543.9914840492</v>
      </c>
      <c r="G47" s="147">
        <f t="shared" si="13"/>
        <v>32674.265996759772</v>
      </c>
      <c r="H47" s="147">
        <f t="shared" si="14"/>
        <v>278386</v>
      </c>
      <c r="I47" s="148">
        <v>0</v>
      </c>
      <c r="J47" s="148">
        <f t="shared" si="11"/>
        <v>10438.570820289115</v>
      </c>
      <c r="K47" s="130">
        <f t="shared" si="12"/>
        <v>3754719.42066376</v>
      </c>
    </row>
    <row r="48" spans="1:11" x14ac:dyDescent="0.2">
      <c r="A48" s="156"/>
      <c r="B48" s="167">
        <f t="shared" si="8"/>
        <v>42552</v>
      </c>
      <c r="C48" s="167">
        <f t="shared" si="2"/>
        <v>42643</v>
      </c>
      <c r="D48" s="142">
        <f t="shared" si="9"/>
        <v>92</v>
      </c>
      <c r="E48" s="160">
        <f>VLOOKUP(C48,'FERC Interest Rate'!$A:$B,2,TRUE)</f>
        <v>4.0333330000000001E-2</v>
      </c>
      <c r="F48" s="148">
        <f t="shared" si="15"/>
        <v>3754719.42066376</v>
      </c>
      <c r="G48" s="147">
        <f t="shared" si="13"/>
        <v>38066.97006966039</v>
      </c>
      <c r="H48" s="147">
        <f t="shared" si="14"/>
        <v>278386</v>
      </c>
      <c r="I48" s="148">
        <v>0</v>
      </c>
      <c r="J48" s="148">
        <f t="shared" si="11"/>
        <v>10438.570820289115</v>
      </c>
      <c r="K48" s="130">
        <f t="shared" si="12"/>
        <v>3465894.8498434708</v>
      </c>
    </row>
    <row r="49" spans="1:11" x14ac:dyDescent="0.2">
      <c r="A49" s="156"/>
      <c r="B49" s="167">
        <f t="shared" si="8"/>
        <v>42644</v>
      </c>
      <c r="C49" s="167">
        <f t="shared" si="2"/>
        <v>42735</v>
      </c>
      <c r="D49" s="142">
        <f t="shared" si="9"/>
        <v>92</v>
      </c>
      <c r="E49" s="160">
        <f>VLOOKUP(C49,'FERC Interest Rate'!$A:$B,2,TRUE)</f>
        <v>4.2833329999999996E-2</v>
      </c>
      <c r="F49" s="148">
        <f t="shared" si="15"/>
        <v>3465894.8498434708</v>
      </c>
      <c r="G49" s="147">
        <f t="shared" si="13"/>
        <v>37316.762956490209</v>
      </c>
      <c r="H49" s="147">
        <f t="shared" si="14"/>
        <v>278386</v>
      </c>
      <c r="I49" s="148">
        <v>0</v>
      </c>
      <c r="J49" s="148">
        <f t="shared" si="11"/>
        <v>10438.570820289115</v>
      </c>
      <c r="K49" s="130">
        <f t="shared" si="12"/>
        <v>3177070.2790231816</v>
      </c>
    </row>
    <row r="50" spans="1:11" x14ac:dyDescent="0.2">
      <c r="A50" s="156"/>
      <c r="B50" s="167">
        <f t="shared" si="8"/>
        <v>42736</v>
      </c>
      <c r="C50" s="167">
        <f t="shared" si="2"/>
        <v>42825</v>
      </c>
      <c r="D50" s="142">
        <f t="shared" si="9"/>
        <v>90</v>
      </c>
      <c r="E50" s="160">
        <f>VLOOKUP(C50,'FERC Interest Rate'!$A:$B,2,TRUE)</f>
        <v>4.7066670000000005E-2</v>
      </c>
      <c r="F50" s="148">
        <f t="shared" si="15"/>
        <v>3177070.2790231816</v>
      </c>
      <c r="G50" s="147">
        <f t="shared" si="13"/>
        <v>36871.426452228174</v>
      </c>
      <c r="H50" s="147">
        <f t="shared" si="14"/>
        <v>278386</v>
      </c>
      <c r="I50" s="148">
        <v>0</v>
      </c>
      <c r="J50" s="148">
        <f t="shared" si="11"/>
        <v>10438.570820289115</v>
      </c>
      <c r="K50" s="130">
        <f t="shared" si="12"/>
        <v>2888245.7082028924</v>
      </c>
    </row>
    <row r="51" spans="1:11" x14ac:dyDescent="0.2">
      <c r="A51" s="156"/>
      <c r="B51" s="167">
        <f t="shared" si="8"/>
        <v>42826</v>
      </c>
      <c r="C51" s="167">
        <f t="shared" si="2"/>
        <v>42916</v>
      </c>
      <c r="D51" s="142">
        <f t="shared" si="9"/>
        <v>91</v>
      </c>
      <c r="E51" s="160">
        <f>VLOOKUP(C51,'FERC Interest Rate'!$A:$B,2,TRUE)</f>
        <v>5.21E-2</v>
      </c>
      <c r="F51" s="148">
        <f t="shared" si="15"/>
        <v>2888245.7082028924</v>
      </c>
      <c r="G51" s="147">
        <f t="shared" si="13"/>
        <v>37516.333499070497</v>
      </c>
      <c r="H51" s="147">
        <f t="shared" si="14"/>
        <v>278386</v>
      </c>
      <c r="I51" s="148">
        <v>0</v>
      </c>
      <c r="J51" s="148">
        <f t="shared" si="11"/>
        <v>10438.570820289115</v>
      </c>
      <c r="K51" s="130">
        <f t="shared" si="12"/>
        <v>2599421.1373826033</v>
      </c>
    </row>
    <row r="52" spans="1:11" x14ac:dyDescent="0.2">
      <c r="A52" s="156"/>
      <c r="B52" s="167">
        <f t="shared" si="8"/>
        <v>42917</v>
      </c>
      <c r="C52" s="167">
        <f t="shared" si="2"/>
        <v>43008</v>
      </c>
      <c r="D52" s="142">
        <f t="shared" si="9"/>
        <v>92</v>
      </c>
      <c r="E52" s="160">
        <f>VLOOKUP(C52,'FERC Interest Rate'!$A:$B,2,TRUE)</f>
        <v>5.7066670000000007E-2</v>
      </c>
      <c r="F52" s="148">
        <f t="shared" si="15"/>
        <v>2599421.1373826033</v>
      </c>
      <c r="G52" s="147">
        <f t="shared" si="13"/>
        <v>37389.885912053338</v>
      </c>
      <c r="H52" s="147">
        <f t="shared" si="14"/>
        <v>278386</v>
      </c>
      <c r="I52" s="148">
        <v>0</v>
      </c>
      <c r="J52" s="148">
        <f t="shared" si="11"/>
        <v>10438.570820289115</v>
      </c>
      <c r="K52" s="130">
        <f t="shared" si="12"/>
        <v>2310596.5665623141</v>
      </c>
    </row>
    <row r="53" spans="1:11" x14ac:dyDescent="0.2">
      <c r="A53" s="156"/>
      <c r="B53" s="167">
        <f t="shared" si="8"/>
        <v>43009</v>
      </c>
      <c r="C53" s="167">
        <f t="shared" si="2"/>
        <v>43100</v>
      </c>
      <c r="D53" s="142">
        <f t="shared" si="9"/>
        <v>92</v>
      </c>
      <c r="E53" s="160">
        <f>VLOOKUP(C53,'FERC Interest Rate'!$A:$B,2,TRUE)</f>
        <v>6.2033329999999998E-2</v>
      </c>
      <c r="F53" s="148">
        <f t="shared" si="15"/>
        <v>2310596.5665623141</v>
      </c>
      <c r="G53" s="147">
        <f t="shared" si="13"/>
        <v>36128.021743998041</v>
      </c>
      <c r="H53" s="147">
        <f t="shared" si="14"/>
        <v>278386</v>
      </c>
      <c r="I53" s="148">
        <v>0</v>
      </c>
      <c r="J53" s="148">
        <f t="shared" si="11"/>
        <v>10438.570820289115</v>
      </c>
      <c r="K53" s="130">
        <f t="shared" si="12"/>
        <v>2021771.9957420249</v>
      </c>
    </row>
    <row r="54" spans="1:11" x14ac:dyDescent="0.2">
      <c r="A54" s="156"/>
      <c r="B54" s="167">
        <f t="shared" si="8"/>
        <v>43101</v>
      </c>
      <c r="C54" s="167">
        <f t="shared" si="2"/>
        <v>43190</v>
      </c>
      <c r="D54" s="142">
        <f t="shared" si="9"/>
        <v>90</v>
      </c>
      <c r="E54" s="160">
        <f>VLOOKUP(C54,'FERC Interest Rate'!$A:$B,2,TRUE)</f>
        <v>6.6699999999999995E-2</v>
      </c>
      <c r="F54" s="148">
        <f t="shared" si="15"/>
        <v>2021771.9957420249</v>
      </c>
      <c r="G54" s="147">
        <f t="shared" si="13"/>
        <v>33251.225453258558</v>
      </c>
      <c r="H54" s="147">
        <f t="shared" si="14"/>
        <v>278386</v>
      </c>
      <c r="I54" s="148">
        <v>0</v>
      </c>
      <c r="J54" s="148">
        <f t="shared" si="11"/>
        <v>10438.570820289115</v>
      </c>
      <c r="K54" s="130">
        <f t="shared" si="12"/>
        <v>1732947.4249217357</v>
      </c>
    </row>
    <row r="55" spans="1:11" x14ac:dyDescent="0.2">
      <c r="A55" s="156"/>
      <c r="B55" s="167">
        <f t="shared" si="8"/>
        <v>43191</v>
      </c>
      <c r="C55" s="167">
        <f t="shared" si="2"/>
        <v>43281</v>
      </c>
      <c r="D55" s="142">
        <f t="shared" si="9"/>
        <v>91</v>
      </c>
      <c r="E55" s="160">
        <f>VLOOKUP(C55,'FERC Interest Rate'!$A:$B,2,TRUE)</f>
        <v>6.7500000000000004E-2</v>
      </c>
      <c r="F55" s="148">
        <f t="shared" si="15"/>
        <v>1732947.4249217357</v>
      </c>
      <c r="G55" s="147">
        <f t="shared" si="13"/>
        <v>29163.368650908938</v>
      </c>
      <c r="H55" s="147">
        <f t="shared" si="14"/>
        <v>278386</v>
      </c>
      <c r="I55" s="148">
        <v>0</v>
      </c>
      <c r="J55" s="148">
        <f t="shared" si="11"/>
        <v>10438.570820289115</v>
      </c>
      <c r="K55" s="130">
        <f t="shared" si="12"/>
        <v>1444122.8541014465</v>
      </c>
    </row>
    <row r="56" spans="1:11" x14ac:dyDescent="0.2">
      <c r="A56" s="156"/>
      <c r="B56" s="167">
        <f t="shared" si="8"/>
        <v>43282</v>
      </c>
      <c r="C56" s="167">
        <f t="shared" si="2"/>
        <v>43373</v>
      </c>
      <c r="D56" s="142">
        <f t="shared" si="9"/>
        <v>92</v>
      </c>
      <c r="E56" s="160">
        <f>VLOOKUP(C56,'FERC Interest Rate'!$A:$B,2,TRUE)</f>
        <v>6.7500000000000004E-2</v>
      </c>
      <c r="F56" s="148">
        <f t="shared" si="15"/>
        <v>1444122.8541014465</v>
      </c>
      <c r="G56" s="147">
        <f t="shared" si="13"/>
        <v>24569.871024575299</v>
      </c>
      <c r="H56" s="147">
        <f t="shared" si="14"/>
        <v>278386</v>
      </c>
      <c r="I56" s="148">
        <v>0</v>
      </c>
      <c r="J56" s="148">
        <f t="shared" si="11"/>
        <v>10438.570820289115</v>
      </c>
      <c r="K56" s="130">
        <f t="shared" si="12"/>
        <v>1155298.2832811573</v>
      </c>
    </row>
    <row r="57" spans="1:11" x14ac:dyDescent="0.2">
      <c r="A57" s="156"/>
      <c r="B57" s="167">
        <f t="shared" ref="B57:B60" si="16">C56+1</f>
        <v>43374</v>
      </c>
      <c r="C57" s="167">
        <f t="shared" si="2"/>
        <v>43465</v>
      </c>
      <c r="D57" s="142">
        <f t="shared" ref="D57:D60" si="17">C57-B57+1</f>
        <v>92</v>
      </c>
      <c r="E57" s="160">
        <f>VLOOKUP(C57,'FERC Interest Rate'!$A:$B,2,TRUE)</f>
        <v>6.7500000000000004E-2</v>
      </c>
      <c r="F57" s="148">
        <f t="shared" ref="F57:F60" si="18">K56</f>
        <v>1155298.2832811573</v>
      </c>
      <c r="G57" s="147">
        <f t="shared" ref="G57:G60" si="19">F57*E57*(D57/(DATE(YEAR(C57),12,31)-DATE(YEAR(C57),1,1)+1))</f>
        <v>19655.89681966024</v>
      </c>
      <c r="H57" s="147">
        <f t="shared" si="14"/>
        <v>278386</v>
      </c>
      <c r="I57" s="148">
        <v>0</v>
      </c>
      <c r="J57" s="148">
        <f t="shared" si="11"/>
        <v>10438.570820289115</v>
      </c>
      <c r="K57" s="130">
        <f t="shared" ref="K57:K60" si="20">F57+I57-H57-J57</f>
        <v>866473.71246086818</v>
      </c>
    </row>
    <row r="58" spans="1:11" x14ac:dyDescent="0.2">
      <c r="A58" s="156"/>
      <c r="B58" s="167">
        <f t="shared" si="16"/>
        <v>43466</v>
      </c>
      <c r="C58" s="167">
        <f t="shared" si="2"/>
        <v>43555</v>
      </c>
      <c r="D58" s="142">
        <f t="shared" si="17"/>
        <v>90</v>
      </c>
      <c r="E58" s="160">
        <f>VLOOKUP(C58,'FERC Interest Rate'!$A:$B,2,TRUE)</f>
        <v>6.7500000000000004E-2</v>
      </c>
      <c r="F58" s="148">
        <f t="shared" si="18"/>
        <v>866473.71246086818</v>
      </c>
      <c r="G58" s="147">
        <f t="shared" si="19"/>
        <v>14421.446036163765</v>
      </c>
      <c r="H58" s="147">
        <f t="shared" si="14"/>
        <v>278386</v>
      </c>
      <c r="I58" s="148">
        <v>0</v>
      </c>
      <c r="J58" s="148">
        <f t="shared" si="11"/>
        <v>10438.570820289115</v>
      </c>
      <c r="K58" s="130">
        <f t="shared" si="20"/>
        <v>577649.1416405791</v>
      </c>
    </row>
    <row r="59" spans="1:11" x14ac:dyDescent="0.2">
      <c r="A59" s="156"/>
      <c r="B59" s="167">
        <f t="shared" si="16"/>
        <v>43556</v>
      </c>
      <c r="C59" s="167">
        <f t="shared" si="2"/>
        <v>43646</v>
      </c>
      <c r="D59" s="142">
        <f t="shared" si="17"/>
        <v>91</v>
      </c>
      <c r="E59" s="160">
        <f>VLOOKUP(C59,'FERC Interest Rate'!$A:$B,2,TRUE)</f>
        <v>6.7500000000000004E-2</v>
      </c>
      <c r="F59" s="148">
        <f t="shared" si="18"/>
        <v>577649.1416405791</v>
      </c>
      <c r="G59" s="147">
        <f t="shared" si="19"/>
        <v>9721.1228836363225</v>
      </c>
      <c r="H59" s="147">
        <f t="shared" si="14"/>
        <v>278386</v>
      </c>
      <c r="I59" s="148">
        <v>0</v>
      </c>
      <c r="J59" s="148">
        <f t="shared" si="11"/>
        <v>10438.570820289115</v>
      </c>
      <c r="K59" s="130">
        <f t="shared" si="20"/>
        <v>288824.57082028996</v>
      </c>
    </row>
    <row r="60" spans="1:11" x14ac:dyDescent="0.2">
      <c r="A60" s="156"/>
      <c r="B60" s="167">
        <f t="shared" si="16"/>
        <v>43647</v>
      </c>
      <c r="C60" s="167">
        <f t="shared" si="2"/>
        <v>43738</v>
      </c>
      <c r="D60" s="142">
        <f t="shared" si="17"/>
        <v>92</v>
      </c>
      <c r="E60" s="160">
        <f>VLOOKUP(C60,'FERC Interest Rate'!$A:$B,2,TRUE)</f>
        <v>6.7500000000000004E-2</v>
      </c>
      <c r="F60" s="148">
        <f t="shared" si="18"/>
        <v>288824.57082028996</v>
      </c>
      <c r="G60" s="147">
        <f t="shared" si="19"/>
        <v>4913.9742049150709</v>
      </c>
      <c r="H60" s="147">
        <f t="shared" si="14"/>
        <v>278386</v>
      </c>
      <c r="I60" s="148">
        <v>0</v>
      </c>
      <c r="J60" s="148">
        <f t="shared" si="11"/>
        <v>10438.570820289115</v>
      </c>
      <c r="K60" s="130">
        <f t="shared" si="20"/>
        <v>8.4037310443818569E-10</v>
      </c>
    </row>
    <row r="61" spans="1:11" ht="13.5" thickBot="1" x14ac:dyDescent="0.25">
      <c r="A61" s="129"/>
      <c r="B61" s="144"/>
      <c r="C61" s="144"/>
      <c r="D61" s="121"/>
      <c r="E61" s="122"/>
      <c r="F61" s="145"/>
      <c r="G61" s="145"/>
      <c r="H61" s="146"/>
      <c r="I61" s="123"/>
      <c r="J61" s="123"/>
      <c r="K61" s="128"/>
    </row>
    <row r="62" spans="1:11" x14ac:dyDescent="0.2">
      <c r="A62" s="5"/>
      <c r="B62" s="41"/>
      <c r="C62" s="41"/>
      <c r="D62" s="42"/>
      <c r="E62" s="43"/>
      <c r="F62" s="126"/>
      <c r="G62" s="126"/>
      <c r="H62" s="58"/>
      <c r="I62" s="58"/>
      <c r="J62" s="44"/>
    </row>
    <row r="63" spans="1:11" ht="13.5" thickBot="1" x14ac:dyDescent="0.25"/>
    <row r="64" spans="1:11" ht="13.5" thickBot="1" x14ac:dyDescent="0.25">
      <c r="A64" s="304" t="s">
        <v>71</v>
      </c>
      <c r="B64" s="305"/>
      <c r="C64" s="305"/>
      <c r="D64" s="305"/>
      <c r="E64" s="305"/>
      <c r="F64" s="305"/>
      <c r="G64" s="305"/>
      <c r="H64" s="305"/>
      <c r="I64" s="305"/>
      <c r="J64" s="305"/>
      <c r="K64" s="306"/>
    </row>
    <row r="65" spans="1:11" ht="51.75" thickBot="1" x14ac:dyDescent="0.25">
      <c r="A65" s="163" t="s">
        <v>9</v>
      </c>
      <c r="B65" s="164" t="s">
        <v>10</v>
      </c>
      <c r="C65" s="164" t="s">
        <v>11</v>
      </c>
      <c r="D65" s="164" t="s">
        <v>12</v>
      </c>
      <c r="E65" s="164" t="s">
        <v>13</v>
      </c>
      <c r="F65" s="164" t="s">
        <v>14</v>
      </c>
      <c r="G65" s="164" t="s">
        <v>32</v>
      </c>
      <c r="H65" s="164" t="s">
        <v>16</v>
      </c>
      <c r="I65" s="164" t="s">
        <v>85</v>
      </c>
      <c r="J65" s="164" t="s">
        <v>33</v>
      </c>
      <c r="K65" s="165" t="s">
        <v>15</v>
      </c>
    </row>
    <row r="66" spans="1:11" x14ac:dyDescent="0.2">
      <c r="A66" s="157"/>
      <c r="B66" s="166">
        <f>$B$2</f>
        <v>41275</v>
      </c>
      <c r="C66" s="166">
        <f>DATE(YEAR(B66),IF(MONTH(B66)&lt;=3,3,IF(MONTH(B66)&lt;=6,6,IF(MONTH(B66)&lt;=9,9,12))),IF(OR(MONTH(B66)&lt;=3,MONTH(B66)&gt;=10),31,30))</f>
        <v>41364</v>
      </c>
      <c r="D66" s="159">
        <f>C66-B66+1</f>
        <v>90</v>
      </c>
      <c r="E66" s="160">
        <f>VLOOKUP(C66,'FERC Interest Rate'!$A:$B,2,TRUE)</f>
        <v>3.2500000000000001E-2</v>
      </c>
      <c r="F66" s="161">
        <f>$E$2</f>
        <v>0</v>
      </c>
      <c r="G66" s="147">
        <v>0</v>
      </c>
      <c r="H66" s="162">
        <v>0</v>
      </c>
      <c r="I66" s="161">
        <f>F66*E66*(D66/(DATE(YEAR(C66),12,31)-DATE(YEAR(C66),1,1)+1))</f>
        <v>0</v>
      </c>
      <c r="J66" s="161">
        <v>0</v>
      </c>
      <c r="K66" s="130">
        <f>F66+I66-H66-J66</f>
        <v>0</v>
      </c>
    </row>
    <row r="67" spans="1:11" x14ac:dyDescent="0.2">
      <c r="A67" s="156"/>
      <c r="B67" s="167">
        <f>C66+1</f>
        <v>41365</v>
      </c>
      <c r="C67" s="167">
        <f>EOMONTH(C66,3)</f>
        <v>41455</v>
      </c>
      <c r="D67" s="142">
        <f t="shared" ref="D67:D93" si="21">C67-B67+1</f>
        <v>91</v>
      </c>
      <c r="E67" s="160">
        <f>VLOOKUP(C67,'FERC Interest Rate'!$A:$B,2,TRUE)</f>
        <v>3.2500000000000001E-2</v>
      </c>
      <c r="F67" s="148">
        <f>K66</f>
        <v>0</v>
      </c>
      <c r="G67" s="147">
        <v>0</v>
      </c>
      <c r="H67" s="147">
        <v>0</v>
      </c>
      <c r="I67" s="161">
        <f t="shared" ref="I67:I73" si="22">F67*E67*(D67/(DATE(YEAR(C67),12,31)-DATE(YEAR(C67),1,1)+1))</f>
        <v>0</v>
      </c>
      <c r="J67" s="148">
        <v>0</v>
      </c>
      <c r="K67" s="130">
        <f t="shared" ref="K67:K93" si="23">F67+I67-H67-J67</f>
        <v>0</v>
      </c>
    </row>
    <row r="68" spans="1:11" x14ac:dyDescent="0.2">
      <c r="A68" s="156"/>
      <c r="B68" s="167">
        <f t="shared" ref="B68:B93" si="24">C67+1</f>
        <v>41456</v>
      </c>
      <c r="C68" s="167">
        <f t="shared" ref="C68:C93" si="25">EOMONTH(C67,3)</f>
        <v>41547</v>
      </c>
      <c r="D68" s="142">
        <f t="shared" si="21"/>
        <v>92</v>
      </c>
      <c r="E68" s="160">
        <f>VLOOKUP(C68,'FERC Interest Rate'!$A:$B,2,TRUE)</f>
        <v>3.2500000000000001E-2</v>
      </c>
      <c r="F68" s="148">
        <f t="shared" ref="F68:F93" si="26">K67</f>
        <v>0</v>
      </c>
      <c r="G68" s="147">
        <v>0</v>
      </c>
      <c r="H68" s="147">
        <v>0</v>
      </c>
      <c r="I68" s="161">
        <f t="shared" si="22"/>
        <v>0</v>
      </c>
      <c r="J68" s="148">
        <v>0</v>
      </c>
      <c r="K68" s="130">
        <f t="shared" si="23"/>
        <v>0</v>
      </c>
    </row>
    <row r="69" spans="1:11" x14ac:dyDescent="0.2">
      <c r="A69" s="156"/>
      <c r="B69" s="167">
        <f t="shared" si="24"/>
        <v>41548</v>
      </c>
      <c r="C69" s="167">
        <f t="shared" si="25"/>
        <v>41639</v>
      </c>
      <c r="D69" s="142">
        <f t="shared" si="21"/>
        <v>92</v>
      </c>
      <c r="E69" s="160">
        <f>VLOOKUP(C69,'FERC Interest Rate'!$A:$B,2,TRUE)</f>
        <v>3.2500000000000001E-2</v>
      </c>
      <c r="F69" s="148">
        <f t="shared" si="26"/>
        <v>0</v>
      </c>
      <c r="G69" s="147">
        <v>0</v>
      </c>
      <c r="H69" s="147">
        <v>0</v>
      </c>
      <c r="I69" s="161">
        <f t="shared" si="22"/>
        <v>0</v>
      </c>
      <c r="J69" s="148">
        <v>0</v>
      </c>
      <c r="K69" s="130">
        <f t="shared" si="23"/>
        <v>0</v>
      </c>
    </row>
    <row r="70" spans="1:11" x14ac:dyDescent="0.2">
      <c r="A70" s="156"/>
      <c r="B70" s="167">
        <f t="shared" si="24"/>
        <v>41640</v>
      </c>
      <c r="C70" s="167">
        <f t="shared" si="25"/>
        <v>41729</v>
      </c>
      <c r="D70" s="142">
        <f t="shared" si="21"/>
        <v>90</v>
      </c>
      <c r="E70" s="160">
        <f>VLOOKUP(C70,'FERC Interest Rate'!$A:$B,2,TRUE)</f>
        <v>3.2500000000000001E-2</v>
      </c>
      <c r="F70" s="148">
        <f t="shared" si="26"/>
        <v>0</v>
      </c>
      <c r="G70" s="147">
        <v>0</v>
      </c>
      <c r="H70" s="147">
        <v>0</v>
      </c>
      <c r="I70" s="161">
        <f t="shared" si="22"/>
        <v>0</v>
      </c>
      <c r="J70" s="148">
        <v>0</v>
      </c>
      <c r="K70" s="130">
        <f t="shared" si="23"/>
        <v>0</v>
      </c>
    </row>
    <row r="71" spans="1:11" x14ac:dyDescent="0.2">
      <c r="A71" s="156"/>
      <c r="B71" s="167">
        <f t="shared" si="24"/>
        <v>41730</v>
      </c>
      <c r="C71" s="167">
        <f t="shared" si="25"/>
        <v>41820</v>
      </c>
      <c r="D71" s="142">
        <f t="shared" si="21"/>
        <v>91</v>
      </c>
      <c r="E71" s="160">
        <f>VLOOKUP(C71,'FERC Interest Rate'!$A:$B,2,TRUE)</f>
        <v>3.2500000000000001E-2</v>
      </c>
      <c r="F71" s="148">
        <f t="shared" si="26"/>
        <v>0</v>
      </c>
      <c r="G71" s="147">
        <v>0</v>
      </c>
      <c r="H71" s="147">
        <v>0</v>
      </c>
      <c r="I71" s="161">
        <f t="shared" si="22"/>
        <v>0</v>
      </c>
      <c r="J71" s="148">
        <v>0</v>
      </c>
      <c r="K71" s="130">
        <f t="shared" si="23"/>
        <v>0</v>
      </c>
    </row>
    <row r="72" spans="1:11" x14ac:dyDescent="0.2">
      <c r="A72" s="156"/>
      <c r="B72" s="167">
        <f t="shared" si="24"/>
        <v>41821</v>
      </c>
      <c r="C72" s="167">
        <f t="shared" si="25"/>
        <v>41912</v>
      </c>
      <c r="D72" s="142">
        <f t="shared" si="21"/>
        <v>92</v>
      </c>
      <c r="E72" s="160">
        <f>VLOOKUP(C72,'FERC Interest Rate'!$A:$B,2,TRUE)</f>
        <v>3.2500000000000001E-2</v>
      </c>
      <c r="F72" s="148">
        <f t="shared" si="26"/>
        <v>0</v>
      </c>
      <c r="G72" s="147">
        <v>0</v>
      </c>
      <c r="H72" s="147">
        <v>0</v>
      </c>
      <c r="I72" s="161">
        <f t="shared" si="22"/>
        <v>0</v>
      </c>
      <c r="J72" s="148">
        <v>0</v>
      </c>
      <c r="K72" s="130">
        <f t="shared" si="23"/>
        <v>0</v>
      </c>
    </row>
    <row r="73" spans="1:11" x14ac:dyDescent="0.2">
      <c r="A73" s="156"/>
      <c r="B73" s="167">
        <f t="shared" si="24"/>
        <v>41913</v>
      </c>
      <c r="C73" s="167">
        <f t="shared" si="25"/>
        <v>42004</v>
      </c>
      <c r="D73" s="142">
        <f t="shared" si="21"/>
        <v>92</v>
      </c>
      <c r="E73" s="160">
        <f>VLOOKUP(C73,'FERC Interest Rate'!$A:$B,2,TRUE)</f>
        <v>3.2500000000000001E-2</v>
      </c>
      <c r="F73" s="148">
        <f t="shared" si="26"/>
        <v>0</v>
      </c>
      <c r="G73" s="147">
        <v>0</v>
      </c>
      <c r="H73" s="147">
        <v>0</v>
      </c>
      <c r="I73" s="161">
        <f t="shared" si="22"/>
        <v>0</v>
      </c>
      <c r="J73" s="148">
        <v>0</v>
      </c>
      <c r="K73" s="130">
        <f t="shared" si="23"/>
        <v>0</v>
      </c>
    </row>
    <row r="74" spans="1:11" x14ac:dyDescent="0.2">
      <c r="A74" s="156"/>
      <c r="B74" s="167">
        <f t="shared" si="24"/>
        <v>42005</v>
      </c>
      <c r="C74" s="167">
        <f t="shared" si="25"/>
        <v>42094</v>
      </c>
      <c r="D74" s="142">
        <f t="shared" si="21"/>
        <v>90</v>
      </c>
      <c r="E74" s="160">
        <f>VLOOKUP(C74,'FERC Interest Rate'!$A:$B,2,TRUE)</f>
        <v>3.2500000000000001E-2</v>
      </c>
      <c r="F74" s="148">
        <f>K73</f>
        <v>0</v>
      </c>
      <c r="G74" s="147">
        <f t="shared" ref="G74:G91" si="27">F74*E74*(D74/(DATE(YEAR(C74),12,31)-DATE(YEAR(C74),1,1)+1))</f>
        <v>0</v>
      </c>
      <c r="H74" s="147">
        <f>$F$66/20</f>
        <v>0</v>
      </c>
      <c r="I74" s="148">
        <v>0</v>
      </c>
      <c r="J74" s="148">
        <f>SUM($I$66:$I$94)/20</f>
        <v>0</v>
      </c>
      <c r="K74" s="130">
        <f t="shared" si="23"/>
        <v>0</v>
      </c>
    </row>
    <row r="75" spans="1:11" x14ac:dyDescent="0.2">
      <c r="A75" s="156"/>
      <c r="B75" s="167">
        <f t="shared" si="24"/>
        <v>42095</v>
      </c>
      <c r="C75" s="167">
        <f t="shared" si="25"/>
        <v>42185</v>
      </c>
      <c r="D75" s="142">
        <f t="shared" si="21"/>
        <v>91</v>
      </c>
      <c r="E75" s="160">
        <f>VLOOKUP(C75,'FERC Interest Rate'!$A:$B,2,TRUE)</f>
        <v>3.2500000000000001E-2</v>
      </c>
      <c r="F75" s="148">
        <f>K74</f>
        <v>0</v>
      </c>
      <c r="G75" s="147">
        <f t="shared" si="27"/>
        <v>0</v>
      </c>
      <c r="H75" s="147">
        <f t="shared" ref="H75:H93" si="28">$F$66/20</f>
        <v>0</v>
      </c>
      <c r="I75" s="148">
        <v>0</v>
      </c>
      <c r="J75" s="148">
        <f t="shared" ref="J75:J93" si="29">SUM($I$66:$I$94)/20</f>
        <v>0</v>
      </c>
      <c r="K75" s="130">
        <f t="shared" si="23"/>
        <v>0</v>
      </c>
    </row>
    <row r="76" spans="1:11" x14ac:dyDescent="0.2">
      <c r="A76" s="156"/>
      <c r="B76" s="167">
        <f t="shared" si="24"/>
        <v>42186</v>
      </c>
      <c r="C76" s="167">
        <f t="shared" si="25"/>
        <v>42277</v>
      </c>
      <c r="D76" s="142">
        <f t="shared" si="21"/>
        <v>92</v>
      </c>
      <c r="E76" s="160">
        <f>VLOOKUP(C76,'FERC Interest Rate'!$A:$B,2,TRUE)</f>
        <v>3.2500000000000001E-2</v>
      </c>
      <c r="F76" s="148">
        <f t="shared" si="26"/>
        <v>0</v>
      </c>
      <c r="G76" s="147">
        <f t="shared" si="27"/>
        <v>0</v>
      </c>
      <c r="H76" s="147">
        <f t="shared" si="28"/>
        <v>0</v>
      </c>
      <c r="I76" s="148">
        <v>0</v>
      </c>
      <c r="J76" s="148">
        <f t="shared" si="29"/>
        <v>0</v>
      </c>
      <c r="K76" s="130">
        <f t="shared" si="23"/>
        <v>0</v>
      </c>
    </row>
    <row r="77" spans="1:11" x14ac:dyDescent="0.2">
      <c r="A77" s="156"/>
      <c r="B77" s="167">
        <f t="shared" si="24"/>
        <v>42278</v>
      </c>
      <c r="C77" s="167">
        <f t="shared" si="25"/>
        <v>42369</v>
      </c>
      <c r="D77" s="142">
        <f t="shared" si="21"/>
        <v>92</v>
      </c>
      <c r="E77" s="160">
        <f>VLOOKUP(C77,'FERC Interest Rate'!$A:$B,2,TRUE)</f>
        <v>3.2500000000000001E-2</v>
      </c>
      <c r="F77" s="148">
        <f t="shared" si="26"/>
        <v>0</v>
      </c>
      <c r="G77" s="147">
        <f t="shared" si="27"/>
        <v>0</v>
      </c>
      <c r="H77" s="147">
        <f t="shared" si="28"/>
        <v>0</v>
      </c>
      <c r="I77" s="148">
        <v>0</v>
      </c>
      <c r="J77" s="148">
        <f t="shared" si="29"/>
        <v>0</v>
      </c>
      <c r="K77" s="130">
        <f t="shared" si="23"/>
        <v>0</v>
      </c>
    </row>
    <row r="78" spans="1:11" x14ac:dyDescent="0.2">
      <c r="A78" s="156"/>
      <c r="B78" s="167">
        <f t="shared" si="24"/>
        <v>42370</v>
      </c>
      <c r="C78" s="167">
        <f t="shared" si="25"/>
        <v>42460</v>
      </c>
      <c r="D78" s="142">
        <f t="shared" si="21"/>
        <v>91</v>
      </c>
      <c r="E78" s="160">
        <f>VLOOKUP(C78,'FERC Interest Rate'!$A:$B,2,TRUE)</f>
        <v>3.2500000000000001E-2</v>
      </c>
      <c r="F78" s="148">
        <f t="shared" si="26"/>
        <v>0</v>
      </c>
      <c r="G78" s="147">
        <f t="shared" si="27"/>
        <v>0</v>
      </c>
      <c r="H78" s="147">
        <f t="shared" si="28"/>
        <v>0</v>
      </c>
      <c r="I78" s="148">
        <v>0</v>
      </c>
      <c r="J78" s="148">
        <f t="shared" si="29"/>
        <v>0</v>
      </c>
      <c r="K78" s="130">
        <f t="shared" si="23"/>
        <v>0</v>
      </c>
    </row>
    <row r="79" spans="1:11" x14ac:dyDescent="0.2">
      <c r="A79" s="156"/>
      <c r="B79" s="167">
        <f t="shared" si="24"/>
        <v>42461</v>
      </c>
      <c r="C79" s="167">
        <f t="shared" si="25"/>
        <v>42551</v>
      </c>
      <c r="D79" s="142">
        <f t="shared" si="21"/>
        <v>91</v>
      </c>
      <c r="E79" s="160">
        <f>VLOOKUP(C79,'FERC Interest Rate'!$A:$B,2,TRUE)</f>
        <v>3.2500000000000001E-2</v>
      </c>
      <c r="F79" s="148">
        <f t="shared" si="26"/>
        <v>0</v>
      </c>
      <c r="G79" s="147">
        <f t="shared" si="27"/>
        <v>0</v>
      </c>
      <c r="H79" s="147">
        <f t="shared" si="28"/>
        <v>0</v>
      </c>
      <c r="I79" s="148">
        <v>0</v>
      </c>
      <c r="J79" s="148">
        <f t="shared" si="29"/>
        <v>0</v>
      </c>
      <c r="K79" s="130">
        <f t="shared" si="23"/>
        <v>0</v>
      </c>
    </row>
    <row r="80" spans="1:11" x14ac:dyDescent="0.2">
      <c r="A80" s="156"/>
      <c r="B80" s="167">
        <f t="shared" si="24"/>
        <v>42552</v>
      </c>
      <c r="C80" s="167">
        <f t="shared" si="25"/>
        <v>42643</v>
      </c>
      <c r="D80" s="142">
        <f t="shared" si="21"/>
        <v>92</v>
      </c>
      <c r="E80" s="160">
        <f>VLOOKUP(C80,'FERC Interest Rate'!$A:$B,2,TRUE)</f>
        <v>4.0333330000000001E-2</v>
      </c>
      <c r="F80" s="148">
        <f t="shared" si="26"/>
        <v>0</v>
      </c>
      <c r="G80" s="147">
        <f t="shared" si="27"/>
        <v>0</v>
      </c>
      <c r="H80" s="147">
        <f t="shared" si="28"/>
        <v>0</v>
      </c>
      <c r="I80" s="148">
        <v>0</v>
      </c>
      <c r="J80" s="148">
        <f t="shared" si="29"/>
        <v>0</v>
      </c>
      <c r="K80" s="130">
        <f t="shared" si="23"/>
        <v>0</v>
      </c>
    </row>
    <row r="81" spans="1:11" x14ac:dyDescent="0.2">
      <c r="A81" s="156"/>
      <c r="B81" s="167">
        <f t="shared" si="24"/>
        <v>42644</v>
      </c>
      <c r="C81" s="167">
        <f t="shared" si="25"/>
        <v>42735</v>
      </c>
      <c r="D81" s="142">
        <f t="shared" si="21"/>
        <v>92</v>
      </c>
      <c r="E81" s="160">
        <f>VLOOKUP(C81,'FERC Interest Rate'!$A:$B,2,TRUE)</f>
        <v>4.2833329999999996E-2</v>
      </c>
      <c r="F81" s="148">
        <f t="shared" si="26"/>
        <v>0</v>
      </c>
      <c r="G81" s="147">
        <f t="shared" si="27"/>
        <v>0</v>
      </c>
      <c r="H81" s="147">
        <f t="shared" si="28"/>
        <v>0</v>
      </c>
      <c r="I81" s="148">
        <v>0</v>
      </c>
      <c r="J81" s="148">
        <f t="shared" si="29"/>
        <v>0</v>
      </c>
      <c r="K81" s="130">
        <f t="shared" si="23"/>
        <v>0</v>
      </c>
    </row>
    <row r="82" spans="1:11" x14ac:dyDescent="0.2">
      <c r="A82" s="156"/>
      <c r="B82" s="167">
        <f t="shared" si="24"/>
        <v>42736</v>
      </c>
      <c r="C82" s="167">
        <f t="shared" si="25"/>
        <v>42825</v>
      </c>
      <c r="D82" s="142">
        <f t="shared" si="21"/>
        <v>90</v>
      </c>
      <c r="E82" s="160">
        <f>VLOOKUP(C82,'FERC Interest Rate'!$A:$B,2,TRUE)</f>
        <v>4.7066670000000005E-2</v>
      </c>
      <c r="F82" s="148">
        <f t="shared" si="26"/>
        <v>0</v>
      </c>
      <c r="G82" s="147">
        <f t="shared" si="27"/>
        <v>0</v>
      </c>
      <c r="H82" s="147">
        <f t="shared" si="28"/>
        <v>0</v>
      </c>
      <c r="I82" s="148">
        <v>0</v>
      </c>
      <c r="J82" s="148">
        <f t="shared" si="29"/>
        <v>0</v>
      </c>
      <c r="K82" s="130">
        <f t="shared" si="23"/>
        <v>0</v>
      </c>
    </row>
    <row r="83" spans="1:11" x14ac:dyDescent="0.2">
      <c r="A83" s="156"/>
      <c r="B83" s="167">
        <f t="shared" si="24"/>
        <v>42826</v>
      </c>
      <c r="C83" s="167">
        <f t="shared" si="25"/>
        <v>42916</v>
      </c>
      <c r="D83" s="142">
        <f t="shared" si="21"/>
        <v>91</v>
      </c>
      <c r="E83" s="160">
        <f>VLOOKUP(C83,'FERC Interest Rate'!$A:$B,2,TRUE)</f>
        <v>5.21E-2</v>
      </c>
      <c r="F83" s="148">
        <f t="shared" si="26"/>
        <v>0</v>
      </c>
      <c r="G83" s="147">
        <f t="shared" si="27"/>
        <v>0</v>
      </c>
      <c r="H83" s="147">
        <f t="shared" si="28"/>
        <v>0</v>
      </c>
      <c r="I83" s="148">
        <v>0</v>
      </c>
      <c r="J83" s="148">
        <f t="shared" si="29"/>
        <v>0</v>
      </c>
      <c r="K83" s="130">
        <f t="shared" si="23"/>
        <v>0</v>
      </c>
    </row>
    <row r="84" spans="1:11" x14ac:dyDescent="0.2">
      <c r="A84" s="156"/>
      <c r="B84" s="167">
        <f t="shared" si="24"/>
        <v>42917</v>
      </c>
      <c r="C84" s="167">
        <f t="shared" si="25"/>
        <v>43008</v>
      </c>
      <c r="D84" s="142">
        <f t="shared" si="21"/>
        <v>92</v>
      </c>
      <c r="E84" s="160">
        <f>VLOOKUP(C84,'FERC Interest Rate'!$A:$B,2,TRUE)</f>
        <v>5.7066670000000007E-2</v>
      </c>
      <c r="F84" s="148">
        <f t="shared" si="26"/>
        <v>0</v>
      </c>
      <c r="G84" s="147">
        <f t="shared" si="27"/>
        <v>0</v>
      </c>
      <c r="H84" s="147">
        <f t="shared" si="28"/>
        <v>0</v>
      </c>
      <c r="I84" s="148">
        <v>0</v>
      </c>
      <c r="J84" s="148">
        <f t="shared" si="29"/>
        <v>0</v>
      </c>
      <c r="K84" s="130">
        <f t="shared" si="23"/>
        <v>0</v>
      </c>
    </row>
    <row r="85" spans="1:11" x14ac:dyDescent="0.2">
      <c r="A85" s="156"/>
      <c r="B85" s="167">
        <f t="shared" si="24"/>
        <v>43009</v>
      </c>
      <c r="C85" s="167">
        <f t="shared" si="25"/>
        <v>43100</v>
      </c>
      <c r="D85" s="142">
        <f t="shared" si="21"/>
        <v>92</v>
      </c>
      <c r="E85" s="160">
        <f>VLOOKUP(C85,'FERC Interest Rate'!$A:$B,2,TRUE)</f>
        <v>6.2033329999999998E-2</v>
      </c>
      <c r="F85" s="148">
        <f t="shared" si="26"/>
        <v>0</v>
      </c>
      <c r="G85" s="147">
        <f t="shared" si="27"/>
        <v>0</v>
      </c>
      <c r="H85" s="147">
        <f t="shared" si="28"/>
        <v>0</v>
      </c>
      <c r="I85" s="148">
        <v>0</v>
      </c>
      <c r="J85" s="148">
        <f t="shared" si="29"/>
        <v>0</v>
      </c>
      <c r="K85" s="130">
        <f t="shared" si="23"/>
        <v>0</v>
      </c>
    </row>
    <row r="86" spans="1:11" x14ac:dyDescent="0.2">
      <c r="A86" s="169"/>
      <c r="B86" s="167">
        <f t="shared" si="24"/>
        <v>43101</v>
      </c>
      <c r="C86" s="167">
        <f t="shared" si="25"/>
        <v>43190</v>
      </c>
      <c r="D86" s="142">
        <f t="shared" si="21"/>
        <v>90</v>
      </c>
      <c r="E86" s="160">
        <f>VLOOKUP(C86,'FERC Interest Rate'!$A:$B,2,TRUE)</f>
        <v>6.6699999999999995E-2</v>
      </c>
      <c r="F86" s="148">
        <f t="shared" si="26"/>
        <v>0</v>
      </c>
      <c r="G86" s="147">
        <f t="shared" si="27"/>
        <v>0</v>
      </c>
      <c r="H86" s="147">
        <f t="shared" si="28"/>
        <v>0</v>
      </c>
      <c r="I86" s="148">
        <v>0</v>
      </c>
      <c r="J86" s="148">
        <f t="shared" si="29"/>
        <v>0</v>
      </c>
      <c r="K86" s="130">
        <f t="shared" si="23"/>
        <v>0</v>
      </c>
    </row>
    <row r="87" spans="1:11" x14ac:dyDescent="0.2">
      <c r="A87" s="169"/>
      <c r="B87" s="167">
        <f t="shared" si="24"/>
        <v>43191</v>
      </c>
      <c r="C87" s="167">
        <f t="shared" si="25"/>
        <v>43281</v>
      </c>
      <c r="D87" s="142">
        <f t="shared" si="21"/>
        <v>91</v>
      </c>
      <c r="E87" s="160">
        <f>VLOOKUP(C87,'FERC Interest Rate'!$A:$B,2,TRUE)</f>
        <v>6.7500000000000004E-2</v>
      </c>
      <c r="F87" s="148">
        <f t="shared" si="26"/>
        <v>0</v>
      </c>
      <c r="G87" s="147">
        <f t="shared" si="27"/>
        <v>0</v>
      </c>
      <c r="H87" s="147">
        <f t="shared" si="28"/>
        <v>0</v>
      </c>
      <c r="I87" s="148">
        <v>0</v>
      </c>
      <c r="J87" s="148">
        <f t="shared" si="29"/>
        <v>0</v>
      </c>
      <c r="K87" s="130">
        <f t="shared" si="23"/>
        <v>0</v>
      </c>
    </row>
    <row r="88" spans="1:11" x14ac:dyDescent="0.2">
      <c r="A88" s="169"/>
      <c r="B88" s="167">
        <f t="shared" si="24"/>
        <v>43282</v>
      </c>
      <c r="C88" s="167">
        <f t="shared" si="25"/>
        <v>43373</v>
      </c>
      <c r="D88" s="142">
        <f t="shared" si="21"/>
        <v>92</v>
      </c>
      <c r="E88" s="160">
        <f>VLOOKUP(C88,'FERC Interest Rate'!$A:$B,2,TRUE)</f>
        <v>6.7500000000000004E-2</v>
      </c>
      <c r="F88" s="148">
        <f t="shared" si="26"/>
        <v>0</v>
      </c>
      <c r="G88" s="147">
        <f t="shared" si="27"/>
        <v>0</v>
      </c>
      <c r="H88" s="147">
        <f t="shared" si="28"/>
        <v>0</v>
      </c>
      <c r="I88" s="148">
        <v>0</v>
      </c>
      <c r="J88" s="148">
        <f t="shared" si="29"/>
        <v>0</v>
      </c>
      <c r="K88" s="130">
        <f t="shared" si="23"/>
        <v>0</v>
      </c>
    </row>
    <row r="89" spans="1:11" x14ac:dyDescent="0.2">
      <c r="A89" s="169"/>
      <c r="B89" s="167">
        <f t="shared" si="24"/>
        <v>43374</v>
      </c>
      <c r="C89" s="167">
        <f t="shared" si="25"/>
        <v>43465</v>
      </c>
      <c r="D89" s="142">
        <f t="shared" si="21"/>
        <v>92</v>
      </c>
      <c r="E89" s="160">
        <f>VLOOKUP(C89,'FERC Interest Rate'!$A:$B,2,TRUE)</f>
        <v>6.7500000000000004E-2</v>
      </c>
      <c r="F89" s="148">
        <f t="shared" si="26"/>
        <v>0</v>
      </c>
      <c r="G89" s="147">
        <f t="shared" si="27"/>
        <v>0</v>
      </c>
      <c r="H89" s="147">
        <f t="shared" si="28"/>
        <v>0</v>
      </c>
      <c r="I89" s="148">
        <v>0</v>
      </c>
      <c r="J89" s="148">
        <f t="shared" si="29"/>
        <v>0</v>
      </c>
      <c r="K89" s="130">
        <f t="shared" si="23"/>
        <v>0</v>
      </c>
    </row>
    <row r="90" spans="1:11" x14ac:dyDescent="0.2">
      <c r="A90" s="169"/>
      <c r="B90" s="167">
        <f t="shared" si="24"/>
        <v>43466</v>
      </c>
      <c r="C90" s="167">
        <f t="shared" si="25"/>
        <v>43555</v>
      </c>
      <c r="D90" s="142">
        <f t="shared" si="21"/>
        <v>90</v>
      </c>
      <c r="E90" s="160">
        <f>VLOOKUP(C90,'FERC Interest Rate'!$A:$B,2,TRUE)</f>
        <v>6.7500000000000004E-2</v>
      </c>
      <c r="F90" s="148">
        <f t="shared" si="26"/>
        <v>0</v>
      </c>
      <c r="G90" s="147">
        <f t="shared" si="27"/>
        <v>0</v>
      </c>
      <c r="H90" s="147">
        <f t="shared" si="28"/>
        <v>0</v>
      </c>
      <c r="I90" s="148">
        <v>0</v>
      </c>
      <c r="J90" s="148">
        <f t="shared" si="29"/>
        <v>0</v>
      </c>
      <c r="K90" s="130">
        <f t="shared" si="23"/>
        <v>0</v>
      </c>
    </row>
    <row r="91" spans="1:11" x14ac:dyDescent="0.2">
      <c r="A91" s="169"/>
      <c r="B91" s="167">
        <f t="shared" si="24"/>
        <v>43556</v>
      </c>
      <c r="C91" s="167">
        <f t="shared" si="25"/>
        <v>43646</v>
      </c>
      <c r="D91" s="142">
        <f t="shared" si="21"/>
        <v>91</v>
      </c>
      <c r="E91" s="160">
        <f>VLOOKUP(C91,'FERC Interest Rate'!$A:$B,2,TRUE)</f>
        <v>6.7500000000000004E-2</v>
      </c>
      <c r="F91" s="148">
        <f t="shared" si="26"/>
        <v>0</v>
      </c>
      <c r="G91" s="147">
        <f t="shared" si="27"/>
        <v>0</v>
      </c>
      <c r="H91" s="147">
        <f t="shared" si="28"/>
        <v>0</v>
      </c>
      <c r="I91" s="148">
        <v>0</v>
      </c>
      <c r="J91" s="148">
        <f t="shared" si="29"/>
        <v>0</v>
      </c>
      <c r="K91" s="130">
        <f t="shared" si="23"/>
        <v>0</v>
      </c>
    </row>
    <row r="92" spans="1:11" x14ac:dyDescent="0.2">
      <c r="A92" s="169"/>
      <c r="B92" s="167">
        <f t="shared" si="24"/>
        <v>43647</v>
      </c>
      <c r="C92" s="167">
        <f t="shared" si="25"/>
        <v>43738</v>
      </c>
      <c r="D92" s="142">
        <f t="shared" si="21"/>
        <v>92</v>
      </c>
      <c r="E92" s="160">
        <f>VLOOKUP(C92,'FERC Interest Rate'!$A:$B,2,TRUE)</f>
        <v>6.7500000000000004E-2</v>
      </c>
      <c r="F92" s="148">
        <f t="shared" si="26"/>
        <v>0</v>
      </c>
      <c r="G92" s="147">
        <f>F92*E92*(D92/(DATE(YEAR(C92),12,31)-DATE(YEAR(C92),1,1)+1))</f>
        <v>0</v>
      </c>
      <c r="H92" s="147">
        <f t="shared" si="28"/>
        <v>0</v>
      </c>
      <c r="I92" s="148">
        <v>0</v>
      </c>
      <c r="J92" s="148">
        <f t="shared" si="29"/>
        <v>0</v>
      </c>
      <c r="K92" s="130">
        <f t="shared" si="23"/>
        <v>0</v>
      </c>
    </row>
    <row r="93" spans="1:11" x14ac:dyDescent="0.2">
      <c r="A93" s="169"/>
      <c r="B93" s="167">
        <f t="shared" si="24"/>
        <v>43739</v>
      </c>
      <c r="C93" s="167">
        <f t="shared" si="25"/>
        <v>43830</v>
      </c>
      <c r="D93" s="142">
        <f t="shared" si="21"/>
        <v>92</v>
      </c>
      <c r="E93" s="160">
        <f>VLOOKUP(C93,'FERC Interest Rate'!$A:$B,2,TRUE)</f>
        <v>6.7500000000000004E-2</v>
      </c>
      <c r="F93" s="148">
        <f t="shared" si="26"/>
        <v>0</v>
      </c>
      <c r="G93" s="147">
        <f>F93*E93*(D93/(DATE(YEAR(C93),12,31)-DATE(YEAR(C93),1,1)+1))</f>
        <v>0</v>
      </c>
      <c r="H93" s="147">
        <f t="shared" si="28"/>
        <v>0</v>
      </c>
      <c r="I93" s="148">
        <v>0</v>
      </c>
      <c r="J93" s="148">
        <f t="shared" si="29"/>
        <v>0</v>
      </c>
      <c r="K93" s="130">
        <f t="shared" si="23"/>
        <v>0</v>
      </c>
    </row>
    <row r="94" spans="1:11" ht="13.5" thickBot="1" x14ac:dyDescent="0.25">
      <c r="A94" s="129"/>
      <c r="B94" s="168"/>
      <c r="C94" s="168"/>
      <c r="D94" s="121"/>
      <c r="E94" s="122"/>
      <c r="F94" s="145"/>
      <c r="G94" s="145"/>
      <c r="H94" s="146"/>
      <c r="I94" s="123"/>
      <c r="J94" s="123"/>
      <c r="K94" s="128"/>
    </row>
  </sheetData>
  <mergeCells count="2">
    <mergeCell ref="A35:K35"/>
    <mergeCell ref="A64:K64"/>
  </mergeCells>
  <printOptions horizontalCentered="1"/>
  <pageMargins left="0.7" right="0.7" top="0.75" bottom="0.75" header="0.3" footer="0.3"/>
  <pageSetup scale="59" orientation="landscape" cellComments="asDisplayed" r:id="rId1"/>
  <headerFooter alignWithMargins="0">
    <oddHeader>&amp;RTO11 Draft Annual Update
Attachment 4
WP Schedule 22
Page &amp;P of &amp;N</oddHeader>
    <oddFooter>&amp;R&amp;A</oddFooter>
  </headerFooter>
  <rowBreaks count="1" manualBreakCount="1">
    <brk id="3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8" ht="51" x14ac:dyDescent="0.2">
      <c r="A1" s="141" t="s">
        <v>18</v>
      </c>
      <c r="B1" s="3" t="s">
        <v>8</v>
      </c>
      <c r="C1" s="141" t="s">
        <v>7</v>
      </c>
      <c r="D1" s="141" t="s">
        <v>1</v>
      </c>
      <c r="E1" s="141" t="s">
        <v>24</v>
      </c>
      <c r="F1" s="3" t="s">
        <v>0</v>
      </c>
      <c r="H1"/>
    </row>
    <row r="2" spans="1:8" ht="12.75" customHeight="1" x14ac:dyDescent="0.2">
      <c r="A2" s="4">
        <v>1</v>
      </c>
      <c r="B2" s="137">
        <v>41232</v>
      </c>
      <c r="C2" s="10">
        <v>9195000</v>
      </c>
      <c r="D2" s="10">
        <v>0</v>
      </c>
      <c r="E2" s="10">
        <v>0</v>
      </c>
      <c r="F2" s="29">
        <f>SUM(C2:E2)</f>
        <v>9195000</v>
      </c>
      <c r="H2"/>
    </row>
    <row r="3" spans="1:8" ht="12.75" customHeight="1" x14ac:dyDescent="0.2">
      <c r="A3" s="4">
        <v>2</v>
      </c>
      <c r="B3" s="137" t="s">
        <v>93</v>
      </c>
      <c r="C3" s="10">
        <v>0</v>
      </c>
      <c r="D3" s="10">
        <v>0</v>
      </c>
      <c r="E3" s="10">
        <v>0</v>
      </c>
      <c r="F3" s="29">
        <f t="shared" ref="F3:F25" si="0">SUM(C3:E3)</f>
        <v>0</v>
      </c>
      <c r="H3"/>
    </row>
    <row r="4" spans="1:8" x14ac:dyDescent="0.2">
      <c r="A4" s="4">
        <v>3</v>
      </c>
      <c r="B4" s="137" t="s">
        <v>93</v>
      </c>
      <c r="C4" s="10">
        <v>0</v>
      </c>
      <c r="D4" s="10">
        <v>0</v>
      </c>
      <c r="E4" s="10">
        <v>0</v>
      </c>
      <c r="F4" s="29">
        <f t="shared" si="0"/>
        <v>0</v>
      </c>
      <c r="H4"/>
    </row>
    <row r="5" spans="1:8" x14ac:dyDescent="0.2">
      <c r="A5" s="4">
        <v>4</v>
      </c>
      <c r="B5" s="137" t="s">
        <v>93</v>
      </c>
      <c r="C5" s="10">
        <v>0</v>
      </c>
      <c r="D5" s="10">
        <v>0</v>
      </c>
      <c r="E5" s="10">
        <v>0</v>
      </c>
      <c r="F5" s="29">
        <f t="shared" si="0"/>
        <v>0</v>
      </c>
      <c r="H5"/>
    </row>
    <row r="6" spans="1:8" ht="12.75" customHeight="1" x14ac:dyDescent="0.2">
      <c r="A6" s="4">
        <v>5</v>
      </c>
      <c r="B6" s="137" t="s">
        <v>93</v>
      </c>
      <c r="C6" s="10">
        <v>0</v>
      </c>
      <c r="D6" s="10">
        <v>0</v>
      </c>
      <c r="E6" s="10">
        <v>0</v>
      </c>
      <c r="F6" s="29">
        <f t="shared" si="0"/>
        <v>0</v>
      </c>
      <c r="H6"/>
    </row>
    <row r="7" spans="1:8" x14ac:dyDescent="0.2">
      <c r="A7" s="4">
        <v>6</v>
      </c>
      <c r="B7" s="137" t="s">
        <v>93</v>
      </c>
      <c r="C7" s="10">
        <v>0</v>
      </c>
      <c r="D7" s="10">
        <v>0</v>
      </c>
      <c r="E7" s="10">
        <v>0</v>
      </c>
      <c r="F7" s="29">
        <f t="shared" si="0"/>
        <v>0</v>
      </c>
      <c r="H7"/>
    </row>
    <row r="8" spans="1:8" x14ac:dyDescent="0.2">
      <c r="A8" s="4">
        <v>7</v>
      </c>
      <c r="B8" s="137" t="s">
        <v>93</v>
      </c>
      <c r="C8" s="10">
        <v>0</v>
      </c>
      <c r="D8" s="10">
        <v>0</v>
      </c>
      <c r="E8" s="10">
        <v>0</v>
      </c>
      <c r="F8" s="29">
        <f t="shared" si="0"/>
        <v>0</v>
      </c>
      <c r="H8"/>
    </row>
    <row r="9" spans="1:8" x14ac:dyDescent="0.2">
      <c r="A9" s="4">
        <v>8</v>
      </c>
      <c r="B9" s="137" t="s">
        <v>93</v>
      </c>
      <c r="C9" s="10">
        <v>0</v>
      </c>
      <c r="D9" s="10">
        <v>0</v>
      </c>
      <c r="E9" s="10">
        <v>0</v>
      </c>
      <c r="F9" s="29">
        <f t="shared" si="0"/>
        <v>0</v>
      </c>
      <c r="H9"/>
    </row>
    <row r="10" spans="1:8" x14ac:dyDescent="0.2">
      <c r="A10" s="4">
        <v>9</v>
      </c>
      <c r="B10" s="137" t="s">
        <v>93</v>
      </c>
      <c r="C10" s="10">
        <v>0</v>
      </c>
      <c r="D10" s="10">
        <v>0</v>
      </c>
      <c r="E10" s="10">
        <v>0</v>
      </c>
      <c r="F10" s="29">
        <f t="shared" si="0"/>
        <v>0</v>
      </c>
      <c r="H10"/>
    </row>
    <row r="11" spans="1:8" x14ac:dyDescent="0.2">
      <c r="A11" s="4">
        <v>10</v>
      </c>
      <c r="B11" s="137" t="s">
        <v>93</v>
      </c>
      <c r="C11" s="10">
        <v>0</v>
      </c>
      <c r="D11" s="10">
        <v>0</v>
      </c>
      <c r="E11" s="10">
        <v>0</v>
      </c>
      <c r="F11" s="29">
        <f t="shared" si="0"/>
        <v>0</v>
      </c>
    </row>
    <row r="12" spans="1:8" x14ac:dyDescent="0.2">
      <c r="A12" s="4">
        <v>11</v>
      </c>
      <c r="B12" s="137" t="s">
        <v>93</v>
      </c>
      <c r="C12" s="10">
        <v>0</v>
      </c>
      <c r="D12" s="10">
        <v>0</v>
      </c>
      <c r="E12" s="10">
        <v>0</v>
      </c>
      <c r="F12" s="29">
        <f t="shared" si="0"/>
        <v>0</v>
      </c>
      <c r="H12" s="64"/>
    </row>
    <row r="13" spans="1:8" x14ac:dyDescent="0.2">
      <c r="A13" s="4">
        <v>12</v>
      </c>
      <c r="B13" s="137" t="s">
        <v>93</v>
      </c>
      <c r="C13" s="10">
        <v>0</v>
      </c>
      <c r="D13" s="10">
        <v>0</v>
      </c>
      <c r="E13" s="10">
        <v>0</v>
      </c>
      <c r="F13" s="29">
        <f t="shared" si="0"/>
        <v>0</v>
      </c>
      <c r="H13" s="64"/>
    </row>
    <row r="14" spans="1:8" x14ac:dyDescent="0.2">
      <c r="A14" s="4">
        <v>13</v>
      </c>
      <c r="B14" s="137" t="s">
        <v>93</v>
      </c>
      <c r="C14" s="10">
        <v>0</v>
      </c>
      <c r="D14" s="10">
        <v>0</v>
      </c>
      <c r="E14" s="10">
        <v>0</v>
      </c>
      <c r="F14" s="29">
        <f t="shared" si="0"/>
        <v>0</v>
      </c>
      <c r="H14" s="64"/>
    </row>
    <row r="15" spans="1:8" x14ac:dyDescent="0.2">
      <c r="A15" s="4">
        <v>14</v>
      </c>
      <c r="B15" s="137" t="s">
        <v>93</v>
      </c>
      <c r="C15" s="10">
        <v>0</v>
      </c>
      <c r="D15" s="10">
        <v>0</v>
      </c>
      <c r="E15" s="10">
        <v>0</v>
      </c>
      <c r="F15" s="29">
        <f t="shared" si="0"/>
        <v>0</v>
      </c>
      <c r="H15" s="64"/>
    </row>
    <row r="16" spans="1:8"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41" t="s">
        <v>0</v>
      </c>
      <c r="C26" s="57">
        <f>SUM(C2:C25)</f>
        <v>9195000</v>
      </c>
      <c r="D26" s="57">
        <f>SUM(D2:D25)</f>
        <v>0</v>
      </c>
      <c r="E26" s="57">
        <f>SUM(E2:E25)</f>
        <v>0</v>
      </c>
      <c r="F26" s="57">
        <f>SUM(F2:F25)</f>
        <v>9195000</v>
      </c>
    </row>
    <row r="27" spans="1:11" x14ac:dyDescent="0.2">
      <c r="B27" s="141"/>
      <c r="C27" s="57"/>
      <c r="D27" s="57"/>
      <c r="E27" s="57"/>
      <c r="F27" s="57"/>
    </row>
    <row r="28" spans="1:11" x14ac:dyDescent="0.2">
      <c r="A28" s="141" t="s">
        <v>90</v>
      </c>
      <c r="B28" s="137" t="s">
        <v>93</v>
      </c>
      <c r="C28" s="30">
        <v>0</v>
      </c>
      <c r="D28" s="30">
        <v>0</v>
      </c>
      <c r="E28" s="30">
        <v>0</v>
      </c>
      <c r="F28" s="57">
        <f>SUM(C28:E28)</f>
        <v>0</v>
      </c>
    </row>
    <row r="29" spans="1:11" x14ac:dyDescent="0.2">
      <c r="A29" s="141" t="s">
        <v>91</v>
      </c>
      <c r="B29" s="137" t="s">
        <v>93</v>
      </c>
      <c r="C29" s="30">
        <v>0</v>
      </c>
      <c r="D29" s="30">
        <v>0</v>
      </c>
      <c r="E29" s="30">
        <v>0</v>
      </c>
      <c r="F29" s="57">
        <f>SUM(C29:E29)</f>
        <v>0</v>
      </c>
    </row>
    <row r="30" spans="1:11" x14ac:dyDescent="0.2">
      <c r="B30" s="141"/>
      <c r="C30" s="57"/>
      <c r="D30" s="57"/>
      <c r="E30" s="57"/>
      <c r="F30" s="57"/>
    </row>
    <row r="31" spans="1:11" x14ac:dyDescent="0.2">
      <c r="C31" s="141" t="s">
        <v>43</v>
      </c>
      <c r="D31" s="141" t="s">
        <v>42</v>
      </c>
      <c r="G31"/>
      <c r="H31"/>
      <c r="I31"/>
      <c r="J31"/>
      <c r="K31"/>
    </row>
    <row r="32" spans="1:11" x14ac:dyDescent="0.2">
      <c r="B32" s="140" t="s">
        <v>26</v>
      </c>
      <c r="C32" s="188">
        <v>41244</v>
      </c>
      <c r="D32" s="188">
        <v>41232</v>
      </c>
      <c r="G32"/>
      <c r="H32"/>
      <c r="I32"/>
      <c r="J32"/>
      <c r="K32"/>
    </row>
    <row r="33" spans="1:11" x14ac:dyDescent="0.2">
      <c r="B33" s="140" t="s">
        <v>84</v>
      </c>
      <c r="C33" s="188">
        <v>41335</v>
      </c>
      <c r="D33" s="188">
        <v>41291</v>
      </c>
      <c r="G33"/>
      <c r="H33"/>
      <c r="I33"/>
      <c r="J33"/>
      <c r="K33"/>
    </row>
    <row r="34" spans="1:11" ht="13.5" thickBot="1" x14ac:dyDescent="0.25">
      <c r="B34" s="140"/>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66"/>
      <c r="B37" s="267">
        <f>$D$32</f>
        <v>41232</v>
      </c>
      <c r="C37" s="267">
        <f>DATE(YEAR(B37),IF(MONTH(B37)&lt;=3,3,IF(MONTH(B37)&lt;=6,6,IF(MONTH(B37)&lt;=9,9,12))),IF(OR(MONTH(B37)&lt;=3,MONTH(B37)&gt;=10),31,30))</f>
        <v>41274</v>
      </c>
      <c r="D37" s="268">
        <f>C37-B37+1</f>
        <v>43</v>
      </c>
      <c r="E37" s="259">
        <f>VLOOKUP(C37,'FERC Interest Rate'!$A:$B,2,TRUE)</f>
        <v>3.2500000000000001E-2</v>
      </c>
      <c r="F37" s="254">
        <f>$C$26</f>
        <v>9195000</v>
      </c>
      <c r="G37" s="273">
        <v>0</v>
      </c>
      <c r="H37" s="273">
        <v>0</v>
      </c>
      <c r="I37" s="254">
        <f>F37*E37*(D37/(DATE(YEAR(C37),12,31)-DATE(YEAR(C37),1,1)+1))</f>
        <v>35109.323770491806</v>
      </c>
      <c r="J37" s="254">
        <v>0</v>
      </c>
      <c r="K37" s="255">
        <f>F37+I37-H37-J37</f>
        <v>9230109.3237704914</v>
      </c>
    </row>
    <row r="38" spans="1:11" x14ac:dyDescent="0.2">
      <c r="A38" s="156"/>
      <c r="B38" s="167">
        <f t="shared" ref="B38:B39" si="1">C37+1</f>
        <v>41275</v>
      </c>
      <c r="C38" s="167">
        <v>41364</v>
      </c>
      <c r="D38" s="142">
        <f t="shared" ref="D38:D39" si="2">C38-B38+1</f>
        <v>90</v>
      </c>
      <c r="E38" s="160">
        <f>VLOOKUP(C38,'FERC Interest Rate'!$A:$B,2,TRUE)</f>
        <v>3.2500000000000001E-2</v>
      </c>
      <c r="F38" s="148">
        <f t="shared" ref="F38:F57" si="3">K37</f>
        <v>9230109.3237704914</v>
      </c>
      <c r="G38" s="273">
        <v>0</v>
      </c>
      <c r="H38" s="147">
        <f t="shared" ref="H38:H57" si="4">$C$26/20</f>
        <v>459750</v>
      </c>
      <c r="I38" s="254">
        <f>F38*E38*(D38/(DATE(YEAR(C38),12,31)-DATE(YEAR(C38),1,1)+1))</f>
        <v>73967.314443914205</v>
      </c>
      <c r="J38" s="148">
        <f>SUM($I$37:$I$58)/20</f>
        <v>5453.8319107203006</v>
      </c>
      <c r="K38" s="130">
        <f t="shared" ref="K38:K39" si="5">F38+I38-H38-J38</f>
        <v>8838872.8063036855</v>
      </c>
    </row>
    <row r="39" spans="1:11" x14ac:dyDescent="0.2">
      <c r="A39" s="156"/>
      <c r="B39" s="167">
        <f t="shared" si="1"/>
        <v>41365</v>
      </c>
      <c r="C39" s="167">
        <f t="shared" ref="C39:C47" si="6">EOMONTH(C38,3)</f>
        <v>41455</v>
      </c>
      <c r="D39" s="142">
        <f t="shared" si="2"/>
        <v>91</v>
      </c>
      <c r="E39" s="160">
        <f>VLOOKUP(C39,'FERC Interest Rate'!$A:$B,2,TRUE)</f>
        <v>3.2500000000000001E-2</v>
      </c>
      <c r="F39" s="148">
        <f t="shared" si="3"/>
        <v>8838872.8063036855</v>
      </c>
      <c r="G39" s="147">
        <f t="shared" ref="G39:G57" si="7">F39*E39*(D39/(DATE(YEAR(C39),12,31)-DATE(YEAR(C39),1,1)+1))</f>
        <v>71619.085820940149</v>
      </c>
      <c r="H39" s="147">
        <f t="shared" si="4"/>
        <v>459750</v>
      </c>
      <c r="I39" s="148">
        <v>0</v>
      </c>
      <c r="J39" s="148">
        <f t="shared" ref="J39:J57" si="8">SUM($I$37:$I$58)/20</f>
        <v>5453.8319107203006</v>
      </c>
      <c r="K39" s="130">
        <f t="shared" si="5"/>
        <v>8373668.9743929654</v>
      </c>
    </row>
    <row r="40" spans="1:11" x14ac:dyDescent="0.2">
      <c r="A40" s="156"/>
      <c r="B40" s="167">
        <f t="shared" ref="B40:B57" si="9">C39+1</f>
        <v>41456</v>
      </c>
      <c r="C40" s="167">
        <f t="shared" si="6"/>
        <v>41547</v>
      </c>
      <c r="D40" s="142">
        <f t="shared" ref="D40:D57" si="10">C40-B40+1</f>
        <v>92</v>
      </c>
      <c r="E40" s="160">
        <f>VLOOKUP(C40,'FERC Interest Rate'!$A:$B,2,TRUE)</f>
        <v>3.2500000000000001E-2</v>
      </c>
      <c r="F40" s="148">
        <f t="shared" si="3"/>
        <v>8373668.9743929654</v>
      </c>
      <c r="G40" s="147">
        <f t="shared" si="7"/>
        <v>68595.260913520455</v>
      </c>
      <c r="H40" s="147">
        <f t="shared" si="4"/>
        <v>459750</v>
      </c>
      <c r="I40" s="161">
        <v>0</v>
      </c>
      <c r="J40" s="148">
        <f t="shared" si="8"/>
        <v>5453.8319107203006</v>
      </c>
      <c r="K40" s="130">
        <f>F40+I40-H40-J40</f>
        <v>7908465.1424822453</v>
      </c>
    </row>
    <row r="41" spans="1:11" x14ac:dyDescent="0.2">
      <c r="A41" s="156"/>
      <c r="B41" s="167">
        <f t="shared" si="9"/>
        <v>41548</v>
      </c>
      <c r="C41" s="167">
        <f t="shared" si="6"/>
        <v>41639</v>
      </c>
      <c r="D41" s="142">
        <f t="shared" si="10"/>
        <v>92</v>
      </c>
      <c r="E41" s="160">
        <f>VLOOKUP(C41,'FERC Interest Rate'!$A:$B,2,TRUE)</f>
        <v>3.2500000000000001E-2</v>
      </c>
      <c r="F41" s="148">
        <f t="shared" si="3"/>
        <v>7908465.1424822453</v>
      </c>
      <c r="G41" s="147">
        <f t="shared" si="7"/>
        <v>64784.413084991553</v>
      </c>
      <c r="H41" s="147">
        <f t="shared" si="4"/>
        <v>459750</v>
      </c>
      <c r="I41" s="161">
        <v>0</v>
      </c>
      <c r="J41" s="148">
        <f t="shared" si="8"/>
        <v>5453.8319107203006</v>
      </c>
      <c r="K41" s="130">
        <f t="shared" ref="K41:K57" si="11">F41+I41-H41-J41</f>
        <v>7443261.3105715252</v>
      </c>
    </row>
    <row r="42" spans="1:11" x14ac:dyDescent="0.2">
      <c r="A42" s="156"/>
      <c r="B42" s="167">
        <f t="shared" si="9"/>
        <v>41640</v>
      </c>
      <c r="C42" s="167">
        <f t="shared" si="6"/>
        <v>41729</v>
      </c>
      <c r="D42" s="142">
        <f t="shared" si="10"/>
        <v>90</v>
      </c>
      <c r="E42" s="160">
        <f>VLOOKUP(C42,'FERC Interest Rate'!$A:$B,2,TRUE)</f>
        <v>3.2500000000000001E-2</v>
      </c>
      <c r="F42" s="148">
        <f t="shared" si="3"/>
        <v>7443261.3105715252</v>
      </c>
      <c r="G42" s="147">
        <f t="shared" si="7"/>
        <v>59648.052968278658</v>
      </c>
      <c r="H42" s="147">
        <f t="shared" si="4"/>
        <v>459750</v>
      </c>
      <c r="I42" s="148">
        <v>0</v>
      </c>
      <c r="J42" s="148">
        <f t="shared" si="8"/>
        <v>5453.8319107203006</v>
      </c>
      <c r="K42" s="130">
        <f t="shared" si="11"/>
        <v>6978057.4786608052</v>
      </c>
    </row>
    <row r="43" spans="1:11" x14ac:dyDescent="0.2">
      <c r="A43" s="156"/>
      <c r="B43" s="167">
        <f t="shared" si="9"/>
        <v>41730</v>
      </c>
      <c r="C43" s="167">
        <f t="shared" si="6"/>
        <v>41820</v>
      </c>
      <c r="D43" s="142">
        <f t="shared" si="10"/>
        <v>91</v>
      </c>
      <c r="E43" s="160">
        <f>VLOOKUP(C43,'FERC Interest Rate'!$A:$B,2,TRUE)</f>
        <v>3.2500000000000001E-2</v>
      </c>
      <c r="F43" s="148">
        <f t="shared" si="3"/>
        <v>6978057.4786608052</v>
      </c>
      <c r="G43" s="147">
        <f t="shared" si="7"/>
        <v>56541.383542847485</v>
      </c>
      <c r="H43" s="147">
        <f t="shared" si="4"/>
        <v>459750</v>
      </c>
      <c r="I43" s="148">
        <v>0</v>
      </c>
      <c r="J43" s="148">
        <f t="shared" si="8"/>
        <v>5453.8319107203006</v>
      </c>
      <c r="K43" s="130">
        <f t="shared" si="11"/>
        <v>6512853.6467500851</v>
      </c>
    </row>
    <row r="44" spans="1:11" x14ac:dyDescent="0.2">
      <c r="A44" s="156"/>
      <c r="B44" s="167">
        <f t="shared" si="9"/>
        <v>41821</v>
      </c>
      <c r="C44" s="167">
        <f t="shared" si="6"/>
        <v>41912</v>
      </c>
      <c r="D44" s="142">
        <f t="shared" si="10"/>
        <v>92</v>
      </c>
      <c r="E44" s="160">
        <f>VLOOKUP(C44,'FERC Interest Rate'!$A:$B,2,TRUE)</f>
        <v>3.2500000000000001E-2</v>
      </c>
      <c r="F44" s="148">
        <f t="shared" si="3"/>
        <v>6512853.6467500851</v>
      </c>
      <c r="G44" s="147">
        <f t="shared" si="7"/>
        <v>53351.869599404818</v>
      </c>
      <c r="H44" s="147">
        <f t="shared" si="4"/>
        <v>459750</v>
      </c>
      <c r="I44" s="148">
        <v>0</v>
      </c>
      <c r="J44" s="148">
        <f t="shared" si="8"/>
        <v>5453.8319107203006</v>
      </c>
      <c r="K44" s="130">
        <f t="shared" si="11"/>
        <v>6047649.814839365</v>
      </c>
    </row>
    <row r="45" spans="1:11" x14ac:dyDescent="0.2">
      <c r="A45" s="156"/>
      <c r="B45" s="167">
        <f t="shared" si="9"/>
        <v>41913</v>
      </c>
      <c r="C45" s="167">
        <f t="shared" si="6"/>
        <v>42004</v>
      </c>
      <c r="D45" s="142">
        <f t="shared" si="10"/>
        <v>92</v>
      </c>
      <c r="E45" s="160">
        <f>VLOOKUP(C45,'FERC Interest Rate'!$A:$B,2,TRUE)</f>
        <v>3.2500000000000001E-2</v>
      </c>
      <c r="F45" s="148">
        <f t="shared" si="3"/>
        <v>6047649.814839365</v>
      </c>
      <c r="G45" s="147">
        <f>F45*E45*(D45/(DATE(YEAR(C45),12,31)-DATE(YEAR(C45),1,1)+1))</f>
        <v>49541.021770875901</v>
      </c>
      <c r="H45" s="147">
        <f t="shared" si="4"/>
        <v>459750</v>
      </c>
      <c r="I45" s="148">
        <v>0</v>
      </c>
      <c r="J45" s="148">
        <f t="shared" si="8"/>
        <v>5453.8319107203006</v>
      </c>
      <c r="K45" s="130">
        <f t="shared" si="11"/>
        <v>5582445.9829286449</v>
      </c>
    </row>
    <row r="46" spans="1:11" x14ac:dyDescent="0.2">
      <c r="A46" s="156"/>
      <c r="B46" s="167">
        <f t="shared" si="9"/>
        <v>42005</v>
      </c>
      <c r="C46" s="167">
        <f t="shared" si="6"/>
        <v>42094</v>
      </c>
      <c r="D46" s="142">
        <f t="shared" si="10"/>
        <v>90</v>
      </c>
      <c r="E46" s="160">
        <f>VLOOKUP(C46,'FERC Interest Rate'!$A:$B,2,TRUE)</f>
        <v>3.2500000000000001E-2</v>
      </c>
      <c r="F46" s="148">
        <f t="shared" si="3"/>
        <v>5582445.9829286449</v>
      </c>
      <c r="G46" s="147">
        <f t="shared" si="7"/>
        <v>44736.039726208997</v>
      </c>
      <c r="H46" s="147">
        <f t="shared" si="4"/>
        <v>459750</v>
      </c>
      <c r="I46" s="148">
        <v>0</v>
      </c>
      <c r="J46" s="148">
        <f t="shared" si="8"/>
        <v>5453.8319107203006</v>
      </c>
      <c r="K46" s="130">
        <f t="shared" si="11"/>
        <v>5117242.1510179248</v>
      </c>
    </row>
    <row r="47" spans="1:11" x14ac:dyDescent="0.2">
      <c r="A47" s="156"/>
      <c r="B47" s="167">
        <f t="shared" si="9"/>
        <v>42095</v>
      </c>
      <c r="C47" s="167">
        <f t="shared" si="6"/>
        <v>42185</v>
      </c>
      <c r="D47" s="142">
        <f t="shared" si="10"/>
        <v>91</v>
      </c>
      <c r="E47" s="160">
        <f>VLOOKUP(C47,'FERC Interest Rate'!$A:$B,2,TRUE)</f>
        <v>3.2500000000000001E-2</v>
      </c>
      <c r="F47" s="148">
        <f t="shared" si="3"/>
        <v>5117242.1510179248</v>
      </c>
      <c r="G47" s="147">
        <f t="shared" si="7"/>
        <v>41463.681264754829</v>
      </c>
      <c r="H47" s="147">
        <f t="shared" si="4"/>
        <v>459750</v>
      </c>
      <c r="I47" s="148">
        <v>0</v>
      </c>
      <c r="J47" s="148">
        <f t="shared" si="8"/>
        <v>5453.8319107203006</v>
      </c>
      <c r="K47" s="130">
        <f t="shared" si="11"/>
        <v>4652038.3191072047</v>
      </c>
    </row>
    <row r="48" spans="1:11" x14ac:dyDescent="0.2">
      <c r="A48" s="156"/>
      <c r="B48" s="167">
        <f t="shared" si="9"/>
        <v>42186</v>
      </c>
      <c r="C48" s="167">
        <f t="shared" ref="C48:C57" si="12">EOMONTH(C47,3)</f>
        <v>42277</v>
      </c>
      <c r="D48" s="142">
        <f t="shared" si="10"/>
        <v>92</v>
      </c>
      <c r="E48" s="160">
        <f>VLOOKUP(C48,'FERC Interest Rate'!$A:$B,2,TRUE)</f>
        <v>3.2500000000000001E-2</v>
      </c>
      <c r="F48" s="148">
        <f t="shared" si="3"/>
        <v>4652038.3191072047</v>
      </c>
      <c r="G48" s="147">
        <f t="shared" si="7"/>
        <v>38108.478285289166</v>
      </c>
      <c r="H48" s="147">
        <f t="shared" si="4"/>
        <v>459750</v>
      </c>
      <c r="I48" s="148">
        <v>0</v>
      </c>
      <c r="J48" s="148">
        <f t="shared" si="8"/>
        <v>5453.8319107203006</v>
      </c>
      <c r="K48" s="130">
        <f t="shared" si="11"/>
        <v>4186834.4871964846</v>
      </c>
    </row>
    <row r="49" spans="1:11" x14ac:dyDescent="0.2">
      <c r="A49" s="156"/>
      <c r="B49" s="167">
        <f t="shared" si="9"/>
        <v>42278</v>
      </c>
      <c r="C49" s="167">
        <f t="shared" si="12"/>
        <v>42369</v>
      </c>
      <c r="D49" s="142">
        <f t="shared" si="10"/>
        <v>92</v>
      </c>
      <c r="E49" s="160">
        <f>VLOOKUP(C49,'FERC Interest Rate'!$A:$B,2,TRUE)</f>
        <v>3.2500000000000001E-2</v>
      </c>
      <c r="F49" s="148">
        <f t="shared" si="3"/>
        <v>4186834.4871964846</v>
      </c>
      <c r="G49" s="147">
        <f t="shared" si="7"/>
        <v>34297.630456760242</v>
      </c>
      <c r="H49" s="147">
        <f t="shared" si="4"/>
        <v>459750</v>
      </c>
      <c r="I49" s="148">
        <v>0</v>
      </c>
      <c r="J49" s="148">
        <f t="shared" si="8"/>
        <v>5453.8319107203006</v>
      </c>
      <c r="K49" s="130">
        <f t="shared" si="11"/>
        <v>3721630.6552857645</v>
      </c>
    </row>
    <row r="50" spans="1:11" x14ac:dyDescent="0.2">
      <c r="A50" s="156"/>
      <c r="B50" s="167">
        <f t="shared" si="9"/>
        <v>42370</v>
      </c>
      <c r="C50" s="167">
        <f t="shared" si="12"/>
        <v>42460</v>
      </c>
      <c r="D50" s="142">
        <f t="shared" si="10"/>
        <v>91</v>
      </c>
      <c r="E50" s="160">
        <f>VLOOKUP(C50,'FERC Interest Rate'!$A:$B,2,TRUE)</f>
        <v>3.2500000000000001E-2</v>
      </c>
      <c r="F50" s="148">
        <f t="shared" si="3"/>
        <v>3721630.6552857645</v>
      </c>
      <c r="G50" s="147">
        <f t="shared" si="7"/>
        <v>30073.012740458056</v>
      </c>
      <c r="H50" s="147">
        <f t="shared" si="4"/>
        <v>459750</v>
      </c>
      <c r="I50" s="148">
        <v>0</v>
      </c>
      <c r="J50" s="148">
        <f t="shared" si="8"/>
        <v>5453.8319107203006</v>
      </c>
      <c r="K50" s="130">
        <f t="shared" si="11"/>
        <v>3256426.8233750444</v>
      </c>
    </row>
    <row r="51" spans="1:11" x14ac:dyDescent="0.2">
      <c r="A51" s="156"/>
      <c r="B51" s="167">
        <f t="shared" si="9"/>
        <v>42461</v>
      </c>
      <c r="C51" s="167">
        <f t="shared" si="12"/>
        <v>42551</v>
      </c>
      <c r="D51" s="142">
        <f t="shared" si="10"/>
        <v>91</v>
      </c>
      <c r="E51" s="160">
        <f>VLOOKUP(C51,'FERC Interest Rate'!$A:$B,2,TRUE)</f>
        <v>3.2500000000000001E-2</v>
      </c>
      <c r="F51" s="148">
        <f t="shared" si="3"/>
        <v>3256426.8233750444</v>
      </c>
      <c r="G51" s="147">
        <f t="shared" si="7"/>
        <v>26313.886147900805</v>
      </c>
      <c r="H51" s="147">
        <f t="shared" si="4"/>
        <v>459750</v>
      </c>
      <c r="I51" s="148">
        <v>0</v>
      </c>
      <c r="J51" s="148">
        <f t="shared" si="8"/>
        <v>5453.8319107203006</v>
      </c>
      <c r="K51" s="130">
        <f t="shared" si="11"/>
        <v>2791222.9914643243</v>
      </c>
    </row>
    <row r="52" spans="1:11" x14ac:dyDescent="0.2">
      <c r="A52" s="156"/>
      <c r="B52" s="167">
        <f t="shared" si="9"/>
        <v>42552</v>
      </c>
      <c r="C52" s="167">
        <f t="shared" si="12"/>
        <v>42643</v>
      </c>
      <c r="D52" s="142">
        <f t="shared" si="10"/>
        <v>92</v>
      </c>
      <c r="E52" s="160">
        <f>VLOOKUP(C52,'FERC Interest Rate'!$A:$B,2,TRUE)</f>
        <v>4.0333330000000001E-2</v>
      </c>
      <c r="F52" s="148">
        <f t="shared" si="3"/>
        <v>2791222.9914643243</v>
      </c>
      <c r="G52" s="147">
        <f t="shared" si="7"/>
        <v>28298.626387118129</v>
      </c>
      <c r="H52" s="147">
        <f t="shared" si="4"/>
        <v>459750</v>
      </c>
      <c r="I52" s="148">
        <v>0</v>
      </c>
      <c r="J52" s="148">
        <f t="shared" si="8"/>
        <v>5453.8319107203006</v>
      </c>
      <c r="K52" s="130">
        <f t="shared" si="11"/>
        <v>2326019.1595536042</v>
      </c>
    </row>
    <row r="53" spans="1:11" x14ac:dyDescent="0.2">
      <c r="A53" s="156"/>
      <c r="B53" s="167">
        <f t="shared" si="9"/>
        <v>42644</v>
      </c>
      <c r="C53" s="167">
        <f t="shared" si="12"/>
        <v>42735</v>
      </c>
      <c r="D53" s="142">
        <f t="shared" si="10"/>
        <v>92</v>
      </c>
      <c r="E53" s="160">
        <f>VLOOKUP(C53,'FERC Interest Rate'!$A:$B,2,TRUE)</f>
        <v>4.2833329999999996E-2</v>
      </c>
      <c r="F53" s="148">
        <f t="shared" si="3"/>
        <v>2326019.1595536042</v>
      </c>
      <c r="G53" s="147">
        <f t="shared" si="7"/>
        <v>25043.894685159456</v>
      </c>
      <c r="H53" s="147">
        <f t="shared" si="4"/>
        <v>459750</v>
      </c>
      <c r="I53" s="148">
        <v>0</v>
      </c>
      <c r="J53" s="148">
        <f t="shared" si="8"/>
        <v>5453.8319107203006</v>
      </c>
      <c r="K53" s="130">
        <f t="shared" si="11"/>
        <v>1860815.3276428839</v>
      </c>
    </row>
    <row r="54" spans="1:11" x14ac:dyDescent="0.2">
      <c r="A54" s="156"/>
      <c r="B54" s="167">
        <f t="shared" si="9"/>
        <v>42736</v>
      </c>
      <c r="C54" s="167">
        <f t="shared" si="12"/>
        <v>42825</v>
      </c>
      <c r="D54" s="142">
        <f t="shared" si="10"/>
        <v>90</v>
      </c>
      <c r="E54" s="160">
        <f>VLOOKUP(C54,'FERC Interest Rate'!$A:$B,2,TRUE)</f>
        <v>4.7066670000000005E-2</v>
      </c>
      <c r="F54" s="148">
        <f t="shared" si="3"/>
        <v>1860815.3276428839</v>
      </c>
      <c r="G54" s="147">
        <f t="shared" si="7"/>
        <v>21595.655578465357</v>
      </c>
      <c r="H54" s="147">
        <f t="shared" si="4"/>
        <v>459750</v>
      </c>
      <c r="I54" s="148">
        <v>0</v>
      </c>
      <c r="J54" s="148">
        <f t="shared" si="8"/>
        <v>5453.8319107203006</v>
      </c>
      <c r="K54" s="130">
        <f t="shared" si="11"/>
        <v>1395611.4957321635</v>
      </c>
    </row>
    <row r="55" spans="1:11" x14ac:dyDescent="0.2">
      <c r="A55" s="156"/>
      <c r="B55" s="167">
        <f t="shared" si="9"/>
        <v>42826</v>
      </c>
      <c r="C55" s="167">
        <f t="shared" si="12"/>
        <v>42916</v>
      </c>
      <c r="D55" s="142">
        <f t="shared" si="10"/>
        <v>91</v>
      </c>
      <c r="E55" s="160">
        <f>VLOOKUP(C55,'FERC Interest Rate'!$A:$B,2,TRUE)</f>
        <v>5.21E-2</v>
      </c>
      <c r="F55" s="148">
        <f t="shared" si="3"/>
        <v>1395611.4957321635</v>
      </c>
      <c r="G55" s="147">
        <f t="shared" si="7"/>
        <v>18128.037431276058</v>
      </c>
      <c r="H55" s="147">
        <f t="shared" si="4"/>
        <v>459750</v>
      </c>
      <c r="I55" s="148">
        <v>0</v>
      </c>
      <c r="J55" s="148">
        <f t="shared" si="8"/>
        <v>5453.8319107203006</v>
      </c>
      <c r="K55" s="130">
        <f t="shared" si="11"/>
        <v>930407.66382144322</v>
      </c>
    </row>
    <row r="56" spans="1:11" x14ac:dyDescent="0.2">
      <c r="A56" s="156"/>
      <c r="B56" s="167">
        <f t="shared" si="9"/>
        <v>42917</v>
      </c>
      <c r="C56" s="167">
        <f t="shared" si="12"/>
        <v>43008</v>
      </c>
      <c r="D56" s="142">
        <f t="shared" si="10"/>
        <v>92</v>
      </c>
      <c r="E56" s="160">
        <f>VLOOKUP(C56,'FERC Interest Rate'!$A:$B,2,TRUE)</f>
        <v>5.7066670000000007E-2</v>
      </c>
      <c r="F56" s="148">
        <f t="shared" si="3"/>
        <v>930407.66382144322</v>
      </c>
      <c r="G56" s="147">
        <f t="shared" si="7"/>
        <v>13382.916643130879</v>
      </c>
      <c r="H56" s="147">
        <f t="shared" si="4"/>
        <v>459750</v>
      </c>
      <c r="I56" s="148">
        <v>0</v>
      </c>
      <c r="J56" s="148">
        <f t="shared" si="8"/>
        <v>5453.8319107203006</v>
      </c>
      <c r="K56" s="130">
        <f t="shared" si="11"/>
        <v>465203.83191072289</v>
      </c>
    </row>
    <row r="57" spans="1:11" x14ac:dyDescent="0.2">
      <c r="A57" s="169"/>
      <c r="B57" s="167">
        <f t="shared" si="9"/>
        <v>43009</v>
      </c>
      <c r="C57" s="167">
        <f t="shared" si="12"/>
        <v>43100</v>
      </c>
      <c r="D57" s="142">
        <f t="shared" si="10"/>
        <v>92</v>
      </c>
      <c r="E57" s="160">
        <f>VLOOKUP(C57,'FERC Interest Rate'!$A:$B,2,TRUE)</f>
        <v>6.2033329999999998E-2</v>
      </c>
      <c r="F57" s="148">
        <f t="shared" si="3"/>
        <v>465203.83191072289</v>
      </c>
      <c r="G57" s="147">
        <f t="shared" si="7"/>
        <v>7273.8332592898114</v>
      </c>
      <c r="H57" s="147">
        <f t="shared" si="4"/>
        <v>459750</v>
      </c>
      <c r="I57" s="148">
        <v>0</v>
      </c>
      <c r="J57" s="148">
        <f t="shared" si="8"/>
        <v>5453.8319107203006</v>
      </c>
      <c r="K57" s="130">
        <f t="shared" si="11"/>
        <v>2.5884219212457538E-9</v>
      </c>
    </row>
    <row r="58" spans="1:11" ht="13.5" thickBot="1" x14ac:dyDescent="0.25">
      <c r="A58" s="129"/>
      <c r="B58" s="144"/>
      <c r="C58" s="144"/>
      <c r="D58" s="121"/>
      <c r="E58" s="122"/>
      <c r="F58" s="145"/>
      <c r="G58" s="145"/>
      <c r="H58" s="146"/>
      <c r="I58" s="123"/>
      <c r="J58" s="123"/>
      <c r="K58" s="128"/>
    </row>
    <row r="59" spans="1:11" x14ac:dyDescent="0.2">
      <c r="A59" s="5"/>
      <c r="B59" s="41"/>
      <c r="C59" s="41"/>
      <c r="D59" s="42"/>
      <c r="E59" s="43"/>
      <c r="F59" s="126"/>
      <c r="G59" s="126"/>
      <c r="H59" s="58"/>
      <c r="I59" s="58"/>
      <c r="J59" s="44"/>
    </row>
    <row r="60" spans="1:11" ht="13.5" thickBot="1" x14ac:dyDescent="0.25"/>
    <row r="61" spans="1:11" ht="13.5" thickBot="1" x14ac:dyDescent="0.25">
      <c r="A61" s="304" t="s">
        <v>71</v>
      </c>
      <c r="B61" s="305"/>
      <c r="C61" s="305"/>
      <c r="D61" s="305"/>
      <c r="E61" s="305"/>
      <c r="F61" s="305"/>
      <c r="G61" s="305"/>
      <c r="H61" s="305"/>
      <c r="I61" s="305"/>
      <c r="J61" s="305"/>
      <c r="K61" s="306"/>
    </row>
    <row r="62" spans="1:11" ht="51.75" thickBot="1" x14ac:dyDescent="0.25">
      <c r="A62" s="163" t="s">
        <v>9</v>
      </c>
      <c r="B62" s="164" t="s">
        <v>10</v>
      </c>
      <c r="C62" s="164" t="s">
        <v>11</v>
      </c>
      <c r="D62" s="164" t="s">
        <v>12</v>
      </c>
      <c r="E62" s="164" t="s">
        <v>13</v>
      </c>
      <c r="F62" s="164" t="s">
        <v>14</v>
      </c>
      <c r="G62" s="164" t="s">
        <v>32</v>
      </c>
      <c r="H62" s="164" t="s">
        <v>16</v>
      </c>
      <c r="I62" s="164" t="s">
        <v>85</v>
      </c>
      <c r="J62" s="164" t="s">
        <v>33</v>
      </c>
      <c r="K62" s="165" t="s">
        <v>15</v>
      </c>
    </row>
    <row r="63" spans="1:11" x14ac:dyDescent="0.2">
      <c r="A63" s="157"/>
      <c r="B63" s="166">
        <f>$B$2</f>
        <v>41232</v>
      </c>
      <c r="C63" s="166">
        <f>DATE(YEAR(B63),IF(MONTH(B63)&lt;=3,3,IF(MONTH(B63)&lt;=6,6,IF(MONTH(B63)&lt;=9,9,12))),IF(OR(MONTH(B63)&lt;=3,MONTH(B63)&gt;=10),31,30))</f>
        <v>41274</v>
      </c>
      <c r="D63" s="159">
        <f>C63-B63+1</f>
        <v>43</v>
      </c>
      <c r="E63" s="160">
        <f>VLOOKUP(C63,'FERC Interest Rate'!$A:$B,2,FALSE)</f>
        <v>3.2500000000000001E-2</v>
      </c>
      <c r="F63" s="161">
        <f>$E$2</f>
        <v>0</v>
      </c>
      <c r="G63" s="147">
        <v>0</v>
      </c>
      <c r="H63" s="162">
        <v>0</v>
      </c>
      <c r="I63" s="161">
        <f>F63*E63*(D63/(DATE(YEAR(C63),12,31)-DATE(YEAR(C63),1,1)+1))</f>
        <v>0</v>
      </c>
      <c r="J63" s="161">
        <v>0</v>
      </c>
      <c r="K63" s="130">
        <f>F63+I63-H63-J63</f>
        <v>0</v>
      </c>
    </row>
    <row r="64" spans="1:11" x14ac:dyDescent="0.2">
      <c r="A64" s="156"/>
      <c r="B64" s="167">
        <f>C63+1</f>
        <v>41275</v>
      </c>
      <c r="C64" s="167">
        <f>EOMONTH(C63,3)</f>
        <v>41364</v>
      </c>
      <c r="D64" s="142">
        <f t="shared" ref="D64:D90" si="13">C64-B64+1</f>
        <v>90</v>
      </c>
      <c r="E64" s="160">
        <f>VLOOKUP(C64,'FERC Interest Rate'!$A:$B,2,FALSE)</f>
        <v>3.2500000000000001E-2</v>
      </c>
      <c r="F64" s="148">
        <f>K63</f>
        <v>0</v>
      </c>
      <c r="G64" s="147">
        <v>0</v>
      </c>
      <c r="H64" s="147">
        <v>0</v>
      </c>
      <c r="I64" s="161">
        <f t="shared" ref="I64:I70" si="14">F64*E64*(D64/(DATE(YEAR(C64),12,31)-DATE(YEAR(C64),1,1)+1))</f>
        <v>0</v>
      </c>
      <c r="J64" s="148">
        <v>0</v>
      </c>
      <c r="K64" s="130">
        <f t="shared" ref="K64:K90" si="15">F64+I64-H64-J64</f>
        <v>0</v>
      </c>
    </row>
    <row r="65" spans="1:11" x14ac:dyDescent="0.2">
      <c r="A65" s="156"/>
      <c r="B65" s="167">
        <f t="shared" ref="B65:B90" si="16">C64+1</f>
        <v>41365</v>
      </c>
      <c r="C65" s="167">
        <f t="shared" ref="C65:C90" si="17">EOMONTH(C64,3)</f>
        <v>41455</v>
      </c>
      <c r="D65" s="142">
        <f t="shared" si="13"/>
        <v>91</v>
      </c>
      <c r="E65" s="160">
        <f>VLOOKUP(C65,'FERC Interest Rate'!$A:$B,2,FALSE)</f>
        <v>3.2500000000000001E-2</v>
      </c>
      <c r="F65" s="148">
        <f t="shared" ref="F65:F90" si="18">K64</f>
        <v>0</v>
      </c>
      <c r="G65" s="147">
        <v>0</v>
      </c>
      <c r="H65" s="147">
        <v>0</v>
      </c>
      <c r="I65" s="161">
        <f t="shared" si="14"/>
        <v>0</v>
      </c>
      <c r="J65" s="148">
        <v>0</v>
      </c>
      <c r="K65" s="130">
        <f t="shared" si="15"/>
        <v>0</v>
      </c>
    </row>
    <row r="66" spans="1:11" x14ac:dyDescent="0.2">
      <c r="A66" s="156"/>
      <c r="B66" s="167">
        <f t="shared" si="16"/>
        <v>41456</v>
      </c>
      <c r="C66" s="167">
        <f t="shared" si="17"/>
        <v>41547</v>
      </c>
      <c r="D66" s="142">
        <f t="shared" si="13"/>
        <v>92</v>
      </c>
      <c r="E66" s="160">
        <f>VLOOKUP(C66,'FERC Interest Rate'!$A:$B,2,FALSE)</f>
        <v>3.2500000000000001E-2</v>
      </c>
      <c r="F66" s="148">
        <f t="shared" si="18"/>
        <v>0</v>
      </c>
      <c r="G66" s="147">
        <v>0</v>
      </c>
      <c r="H66" s="147">
        <v>0</v>
      </c>
      <c r="I66" s="161">
        <f t="shared" si="14"/>
        <v>0</v>
      </c>
      <c r="J66" s="148">
        <v>0</v>
      </c>
      <c r="K66" s="130">
        <f t="shared" si="15"/>
        <v>0</v>
      </c>
    </row>
    <row r="67" spans="1:11" x14ac:dyDescent="0.2">
      <c r="A67" s="156"/>
      <c r="B67" s="167">
        <f t="shared" si="16"/>
        <v>41548</v>
      </c>
      <c r="C67" s="167">
        <f t="shared" si="17"/>
        <v>41639</v>
      </c>
      <c r="D67" s="142">
        <f t="shared" si="13"/>
        <v>92</v>
      </c>
      <c r="E67" s="160">
        <f>VLOOKUP(C67,'FERC Interest Rate'!$A:$B,2,FALSE)</f>
        <v>3.2500000000000001E-2</v>
      </c>
      <c r="F67" s="148">
        <f t="shared" si="18"/>
        <v>0</v>
      </c>
      <c r="G67" s="147">
        <v>0</v>
      </c>
      <c r="H67" s="147">
        <v>0</v>
      </c>
      <c r="I67" s="161">
        <f t="shared" si="14"/>
        <v>0</v>
      </c>
      <c r="J67" s="148">
        <v>0</v>
      </c>
      <c r="K67" s="130">
        <f t="shared" si="15"/>
        <v>0</v>
      </c>
    </row>
    <row r="68" spans="1:11" x14ac:dyDescent="0.2">
      <c r="A68" s="156"/>
      <c r="B68" s="167">
        <f t="shared" si="16"/>
        <v>41640</v>
      </c>
      <c r="C68" s="167">
        <f t="shared" si="17"/>
        <v>41729</v>
      </c>
      <c r="D68" s="142">
        <f t="shared" si="13"/>
        <v>90</v>
      </c>
      <c r="E68" s="160">
        <f>VLOOKUP(C68,'FERC Interest Rate'!$A:$B,2,FALSE)</f>
        <v>3.2500000000000001E-2</v>
      </c>
      <c r="F68" s="148">
        <f t="shared" si="18"/>
        <v>0</v>
      </c>
      <c r="G68" s="147">
        <v>0</v>
      </c>
      <c r="H68" s="147">
        <v>0</v>
      </c>
      <c r="I68" s="161">
        <f t="shared" si="14"/>
        <v>0</v>
      </c>
      <c r="J68" s="148">
        <v>0</v>
      </c>
      <c r="K68" s="130">
        <f t="shared" si="15"/>
        <v>0</v>
      </c>
    </row>
    <row r="69" spans="1:11" x14ac:dyDescent="0.2">
      <c r="A69" s="156"/>
      <c r="B69" s="167">
        <f t="shared" si="16"/>
        <v>41730</v>
      </c>
      <c r="C69" s="167">
        <f t="shared" si="17"/>
        <v>41820</v>
      </c>
      <c r="D69" s="142">
        <f t="shared" si="13"/>
        <v>91</v>
      </c>
      <c r="E69" s="160">
        <f>VLOOKUP(C69,'FERC Interest Rate'!$A:$B,2,FALSE)</f>
        <v>3.2500000000000001E-2</v>
      </c>
      <c r="F69" s="148">
        <f t="shared" si="18"/>
        <v>0</v>
      </c>
      <c r="G69" s="147">
        <v>0</v>
      </c>
      <c r="H69" s="147">
        <v>0</v>
      </c>
      <c r="I69" s="161">
        <f t="shared" si="14"/>
        <v>0</v>
      </c>
      <c r="J69" s="148">
        <v>0</v>
      </c>
      <c r="K69" s="130">
        <f t="shared" si="15"/>
        <v>0</v>
      </c>
    </row>
    <row r="70" spans="1:11" x14ac:dyDescent="0.2">
      <c r="A70" s="156"/>
      <c r="B70" s="167">
        <f t="shared" si="16"/>
        <v>41821</v>
      </c>
      <c r="C70" s="167">
        <f t="shared" si="17"/>
        <v>41912</v>
      </c>
      <c r="D70" s="142">
        <f t="shared" si="13"/>
        <v>92</v>
      </c>
      <c r="E70" s="160">
        <f>VLOOKUP(C70,'FERC Interest Rate'!$A:$B,2,FALSE)</f>
        <v>3.2500000000000001E-2</v>
      </c>
      <c r="F70" s="148">
        <f t="shared" si="18"/>
        <v>0</v>
      </c>
      <c r="G70" s="147">
        <v>0</v>
      </c>
      <c r="H70" s="147">
        <v>0</v>
      </c>
      <c r="I70" s="161">
        <f t="shared" si="14"/>
        <v>0</v>
      </c>
      <c r="J70" s="148">
        <v>0</v>
      </c>
      <c r="K70" s="130">
        <f t="shared" si="15"/>
        <v>0</v>
      </c>
    </row>
    <row r="71" spans="1:11" x14ac:dyDescent="0.2">
      <c r="A71" s="156"/>
      <c r="B71" s="167">
        <f t="shared" si="16"/>
        <v>41913</v>
      </c>
      <c r="C71" s="167">
        <f t="shared" si="17"/>
        <v>42004</v>
      </c>
      <c r="D71" s="142">
        <f t="shared" si="13"/>
        <v>92</v>
      </c>
      <c r="E71" s="160">
        <f>VLOOKUP(C71,'FERC Interest Rate'!$A:$B,2,FALSE)</f>
        <v>3.2500000000000001E-2</v>
      </c>
      <c r="F71" s="148">
        <f>K70</f>
        <v>0</v>
      </c>
      <c r="G71" s="147">
        <f t="shared" ref="G71:G88" si="19">F71*E71*(D71/(DATE(YEAR(C71),12,31)-DATE(YEAR(C71),1,1)+1))</f>
        <v>0</v>
      </c>
      <c r="H71" s="147">
        <f>$F$63/20</f>
        <v>0</v>
      </c>
      <c r="I71" s="148">
        <v>0</v>
      </c>
      <c r="J71" s="148">
        <f>SUM($I$63:$I$91)/20</f>
        <v>0</v>
      </c>
      <c r="K71" s="130">
        <f t="shared" si="15"/>
        <v>0</v>
      </c>
    </row>
    <row r="72" spans="1:11" x14ac:dyDescent="0.2">
      <c r="A72" s="156"/>
      <c r="B72" s="167">
        <f t="shared" si="16"/>
        <v>42005</v>
      </c>
      <c r="C72" s="167">
        <f t="shared" si="17"/>
        <v>42094</v>
      </c>
      <c r="D72" s="142">
        <f t="shared" si="13"/>
        <v>90</v>
      </c>
      <c r="E72" s="160">
        <f>VLOOKUP(C72,'FERC Interest Rate'!$A:$B,2,FALSE)</f>
        <v>3.2500000000000001E-2</v>
      </c>
      <c r="F72" s="148">
        <f>K71</f>
        <v>0</v>
      </c>
      <c r="G72" s="147">
        <f t="shared" si="19"/>
        <v>0</v>
      </c>
      <c r="H72" s="147">
        <f t="shared" ref="H72:H90" si="20">$F$63/20</f>
        <v>0</v>
      </c>
      <c r="I72" s="148">
        <v>0</v>
      </c>
      <c r="J72" s="148">
        <f t="shared" ref="J72:J90" si="21">SUM($I$63:$I$91)/20</f>
        <v>0</v>
      </c>
      <c r="K72" s="130">
        <f t="shared" si="15"/>
        <v>0</v>
      </c>
    </row>
    <row r="73" spans="1:11" x14ac:dyDescent="0.2">
      <c r="A73" s="156"/>
      <c r="B73" s="167">
        <f t="shared" si="16"/>
        <v>42095</v>
      </c>
      <c r="C73" s="167">
        <f t="shared" si="17"/>
        <v>42185</v>
      </c>
      <c r="D73" s="142">
        <f t="shared" si="13"/>
        <v>91</v>
      </c>
      <c r="E73" s="160">
        <f>VLOOKUP(C73,'FERC Interest Rate'!$A:$B,2,FALSE)</f>
        <v>3.2500000000000001E-2</v>
      </c>
      <c r="F73" s="148">
        <f t="shared" si="18"/>
        <v>0</v>
      </c>
      <c r="G73" s="147">
        <f t="shared" si="19"/>
        <v>0</v>
      </c>
      <c r="H73" s="147">
        <f t="shared" si="20"/>
        <v>0</v>
      </c>
      <c r="I73" s="148">
        <v>0</v>
      </c>
      <c r="J73" s="148">
        <f t="shared" si="21"/>
        <v>0</v>
      </c>
      <c r="K73" s="130">
        <f t="shared" si="15"/>
        <v>0</v>
      </c>
    </row>
    <row r="74" spans="1:11" x14ac:dyDescent="0.2">
      <c r="A74" s="156"/>
      <c r="B74" s="167">
        <f t="shared" si="16"/>
        <v>42186</v>
      </c>
      <c r="C74" s="167">
        <f t="shared" si="17"/>
        <v>42277</v>
      </c>
      <c r="D74" s="142">
        <f t="shared" si="13"/>
        <v>92</v>
      </c>
      <c r="E74" s="160">
        <f>VLOOKUP(C74,'FERC Interest Rate'!$A:$B,2,FALSE)</f>
        <v>3.2500000000000001E-2</v>
      </c>
      <c r="F74" s="148">
        <f t="shared" si="18"/>
        <v>0</v>
      </c>
      <c r="G74" s="147">
        <f t="shared" si="19"/>
        <v>0</v>
      </c>
      <c r="H74" s="147">
        <f t="shared" si="20"/>
        <v>0</v>
      </c>
      <c r="I74" s="148">
        <v>0</v>
      </c>
      <c r="J74" s="148">
        <f t="shared" si="21"/>
        <v>0</v>
      </c>
      <c r="K74" s="130">
        <f t="shared" si="15"/>
        <v>0</v>
      </c>
    </row>
    <row r="75" spans="1:11" x14ac:dyDescent="0.2">
      <c r="A75" s="156"/>
      <c r="B75" s="167">
        <f t="shared" si="16"/>
        <v>42278</v>
      </c>
      <c r="C75" s="167">
        <f t="shared" si="17"/>
        <v>42369</v>
      </c>
      <c r="D75" s="142">
        <f t="shared" si="13"/>
        <v>92</v>
      </c>
      <c r="E75" s="160">
        <f>VLOOKUP(C75,'FERC Interest Rate'!$A:$B,2,FALSE)</f>
        <v>3.2500000000000001E-2</v>
      </c>
      <c r="F75" s="148">
        <f t="shared" si="18"/>
        <v>0</v>
      </c>
      <c r="G75" s="147">
        <f t="shared" si="19"/>
        <v>0</v>
      </c>
      <c r="H75" s="147">
        <f t="shared" si="20"/>
        <v>0</v>
      </c>
      <c r="I75" s="148">
        <v>0</v>
      </c>
      <c r="J75" s="148">
        <f t="shared" si="21"/>
        <v>0</v>
      </c>
      <c r="K75" s="130">
        <f t="shared" si="15"/>
        <v>0</v>
      </c>
    </row>
    <row r="76" spans="1:11" x14ac:dyDescent="0.2">
      <c r="A76" s="156"/>
      <c r="B76" s="167">
        <f t="shared" si="16"/>
        <v>42370</v>
      </c>
      <c r="C76" s="167">
        <f t="shared" si="17"/>
        <v>42460</v>
      </c>
      <c r="D76" s="142">
        <f t="shared" si="13"/>
        <v>91</v>
      </c>
      <c r="E76" s="160">
        <f>VLOOKUP(C76,'FERC Interest Rate'!$A:$B,2,FALSE)</f>
        <v>3.2500000000000001E-2</v>
      </c>
      <c r="F76" s="148">
        <f t="shared" si="18"/>
        <v>0</v>
      </c>
      <c r="G76" s="147">
        <f t="shared" si="19"/>
        <v>0</v>
      </c>
      <c r="H76" s="147">
        <f t="shared" si="20"/>
        <v>0</v>
      </c>
      <c r="I76" s="148">
        <v>0</v>
      </c>
      <c r="J76" s="148">
        <f t="shared" si="21"/>
        <v>0</v>
      </c>
      <c r="K76" s="130">
        <f t="shared" si="15"/>
        <v>0</v>
      </c>
    </row>
    <row r="77" spans="1:11" x14ac:dyDescent="0.2">
      <c r="A77" s="156"/>
      <c r="B77" s="167">
        <f t="shared" si="16"/>
        <v>42461</v>
      </c>
      <c r="C77" s="167">
        <f t="shared" si="17"/>
        <v>42551</v>
      </c>
      <c r="D77" s="142">
        <f t="shared" si="13"/>
        <v>91</v>
      </c>
      <c r="E77" s="160">
        <f>VLOOKUP(C77,'FERC Interest Rate'!$A:$B,2,FALSE)</f>
        <v>3.2500000000000001E-2</v>
      </c>
      <c r="F77" s="148">
        <f t="shared" si="18"/>
        <v>0</v>
      </c>
      <c r="G77" s="147">
        <f t="shared" si="19"/>
        <v>0</v>
      </c>
      <c r="H77" s="147">
        <f t="shared" si="20"/>
        <v>0</v>
      </c>
      <c r="I77" s="148">
        <v>0</v>
      </c>
      <c r="J77" s="148">
        <f t="shared" si="21"/>
        <v>0</v>
      </c>
      <c r="K77" s="130">
        <f t="shared" si="15"/>
        <v>0</v>
      </c>
    </row>
    <row r="78" spans="1:11" x14ac:dyDescent="0.2">
      <c r="A78" s="156"/>
      <c r="B78" s="167">
        <f t="shared" si="16"/>
        <v>42552</v>
      </c>
      <c r="C78" s="167">
        <f t="shared" si="17"/>
        <v>42643</v>
      </c>
      <c r="D78" s="142">
        <f t="shared" si="13"/>
        <v>92</v>
      </c>
      <c r="E78" s="160">
        <f>VLOOKUP(C78,'FERC Interest Rate'!$A:$B,2,FALSE)</f>
        <v>4.0333330000000001E-2</v>
      </c>
      <c r="F78" s="148">
        <f t="shared" si="18"/>
        <v>0</v>
      </c>
      <c r="G78" s="147">
        <f t="shared" si="19"/>
        <v>0</v>
      </c>
      <c r="H78" s="147">
        <f t="shared" si="20"/>
        <v>0</v>
      </c>
      <c r="I78" s="148">
        <v>0</v>
      </c>
      <c r="J78" s="148">
        <f t="shared" si="21"/>
        <v>0</v>
      </c>
      <c r="K78" s="130">
        <f t="shared" si="15"/>
        <v>0</v>
      </c>
    </row>
    <row r="79" spans="1:11" x14ac:dyDescent="0.2">
      <c r="A79" s="156"/>
      <c r="B79" s="167">
        <f t="shared" si="16"/>
        <v>42644</v>
      </c>
      <c r="C79" s="167">
        <f t="shared" si="17"/>
        <v>42735</v>
      </c>
      <c r="D79" s="142">
        <f t="shared" si="13"/>
        <v>92</v>
      </c>
      <c r="E79" s="160">
        <f>VLOOKUP(C79,'FERC Interest Rate'!$A:$B,2,FALSE)</f>
        <v>4.2833329999999996E-2</v>
      </c>
      <c r="F79" s="148">
        <f t="shared" si="18"/>
        <v>0</v>
      </c>
      <c r="G79" s="147">
        <f t="shared" si="19"/>
        <v>0</v>
      </c>
      <c r="H79" s="147">
        <f t="shared" si="20"/>
        <v>0</v>
      </c>
      <c r="I79" s="148">
        <v>0</v>
      </c>
      <c r="J79" s="148">
        <f t="shared" si="21"/>
        <v>0</v>
      </c>
      <c r="K79" s="130">
        <f t="shared" si="15"/>
        <v>0</v>
      </c>
    </row>
    <row r="80" spans="1:11" x14ac:dyDescent="0.2">
      <c r="A80" s="156"/>
      <c r="B80" s="167">
        <f t="shared" si="16"/>
        <v>42736</v>
      </c>
      <c r="C80" s="167">
        <f t="shared" si="17"/>
        <v>42825</v>
      </c>
      <c r="D80" s="142">
        <f t="shared" si="13"/>
        <v>90</v>
      </c>
      <c r="E80" s="160">
        <f>VLOOKUP(C80,'FERC Interest Rate'!$A:$B,2,FALSE)</f>
        <v>4.7066670000000005E-2</v>
      </c>
      <c r="F80" s="148">
        <f t="shared" si="18"/>
        <v>0</v>
      </c>
      <c r="G80" s="147">
        <f t="shared" si="19"/>
        <v>0</v>
      </c>
      <c r="H80" s="147">
        <f t="shared" si="20"/>
        <v>0</v>
      </c>
      <c r="I80" s="148">
        <v>0</v>
      </c>
      <c r="J80" s="148">
        <f t="shared" si="21"/>
        <v>0</v>
      </c>
      <c r="K80" s="130">
        <f t="shared" si="15"/>
        <v>0</v>
      </c>
    </row>
    <row r="81" spans="1:11" x14ac:dyDescent="0.2">
      <c r="A81" s="156"/>
      <c r="B81" s="167">
        <f t="shared" si="16"/>
        <v>42826</v>
      </c>
      <c r="C81" s="167">
        <f t="shared" si="17"/>
        <v>42916</v>
      </c>
      <c r="D81" s="142">
        <f t="shared" si="13"/>
        <v>91</v>
      </c>
      <c r="E81" s="160">
        <f>VLOOKUP(C81,'FERC Interest Rate'!$A:$B,2,FALSE)</f>
        <v>5.21E-2</v>
      </c>
      <c r="F81" s="148">
        <f t="shared" si="18"/>
        <v>0</v>
      </c>
      <c r="G81" s="147">
        <f t="shared" si="19"/>
        <v>0</v>
      </c>
      <c r="H81" s="147">
        <f t="shared" si="20"/>
        <v>0</v>
      </c>
      <c r="I81" s="148">
        <v>0</v>
      </c>
      <c r="J81" s="148">
        <f t="shared" si="21"/>
        <v>0</v>
      </c>
      <c r="K81" s="130">
        <f t="shared" si="15"/>
        <v>0</v>
      </c>
    </row>
    <row r="82" spans="1:11" x14ac:dyDescent="0.2">
      <c r="A82" s="156"/>
      <c r="B82" s="167">
        <f t="shared" si="16"/>
        <v>42917</v>
      </c>
      <c r="C82" s="167">
        <f t="shared" si="17"/>
        <v>43008</v>
      </c>
      <c r="D82" s="142">
        <f t="shared" si="13"/>
        <v>92</v>
      </c>
      <c r="E82" s="160">
        <f>VLOOKUP(C82,'FERC Interest Rate'!$A:$B,2,FALSE)</f>
        <v>5.7066670000000007E-2</v>
      </c>
      <c r="F82" s="148">
        <f t="shared" si="18"/>
        <v>0</v>
      </c>
      <c r="G82" s="147">
        <f t="shared" si="19"/>
        <v>0</v>
      </c>
      <c r="H82" s="147">
        <f t="shared" si="20"/>
        <v>0</v>
      </c>
      <c r="I82" s="148">
        <v>0</v>
      </c>
      <c r="J82" s="148">
        <f t="shared" si="21"/>
        <v>0</v>
      </c>
      <c r="K82" s="130">
        <f t="shared" si="15"/>
        <v>0</v>
      </c>
    </row>
    <row r="83" spans="1:11" x14ac:dyDescent="0.2">
      <c r="A83" s="169"/>
      <c r="B83" s="167">
        <f t="shared" si="16"/>
        <v>43009</v>
      </c>
      <c r="C83" s="167">
        <f t="shared" si="17"/>
        <v>43100</v>
      </c>
      <c r="D83" s="142">
        <f t="shared" si="13"/>
        <v>92</v>
      </c>
      <c r="E83" s="160">
        <f>VLOOKUP(C83,'FERC Interest Rate'!$A:$B,2,FALSE)</f>
        <v>6.2033329999999998E-2</v>
      </c>
      <c r="F83" s="148">
        <f t="shared" si="18"/>
        <v>0</v>
      </c>
      <c r="G83" s="147">
        <f t="shared" si="19"/>
        <v>0</v>
      </c>
      <c r="H83" s="147">
        <f t="shared" si="20"/>
        <v>0</v>
      </c>
      <c r="I83" s="148">
        <v>0</v>
      </c>
      <c r="J83" s="148">
        <f t="shared" si="21"/>
        <v>0</v>
      </c>
      <c r="K83" s="130">
        <f t="shared" si="15"/>
        <v>0</v>
      </c>
    </row>
    <row r="84" spans="1:11" x14ac:dyDescent="0.2">
      <c r="A84" s="169"/>
      <c r="B84" s="167">
        <f t="shared" si="16"/>
        <v>43101</v>
      </c>
      <c r="C84" s="167">
        <f t="shared" si="17"/>
        <v>43190</v>
      </c>
      <c r="D84" s="142">
        <f t="shared" si="13"/>
        <v>90</v>
      </c>
      <c r="E84" s="160">
        <f>VLOOKUP(C84,'FERC Interest Rate'!$A:$B,2,FALSE)</f>
        <v>6.6699999999999995E-2</v>
      </c>
      <c r="F84" s="148">
        <f t="shared" si="18"/>
        <v>0</v>
      </c>
      <c r="G84" s="147">
        <f t="shared" si="19"/>
        <v>0</v>
      </c>
      <c r="H84" s="147">
        <f t="shared" si="20"/>
        <v>0</v>
      </c>
      <c r="I84" s="148">
        <v>0</v>
      </c>
      <c r="J84" s="148">
        <f t="shared" si="21"/>
        <v>0</v>
      </c>
      <c r="K84" s="130">
        <f t="shared" si="15"/>
        <v>0</v>
      </c>
    </row>
    <row r="85" spans="1:11" x14ac:dyDescent="0.2">
      <c r="A85" s="169"/>
      <c r="B85" s="167">
        <f t="shared" si="16"/>
        <v>43191</v>
      </c>
      <c r="C85" s="167">
        <f t="shared" si="17"/>
        <v>43281</v>
      </c>
      <c r="D85" s="142">
        <f t="shared" si="13"/>
        <v>91</v>
      </c>
      <c r="E85" s="160">
        <f>VLOOKUP(C85,'FERC Interest Rate'!$A:$B,2,FALSE)</f>
        <v>6.7500000000000004E-2</v>
      </c>
      <c r="F85" s="148">
        <f t="shared" si="18"/>
        <v>0</v>
      </c>
      <c r="G85" s="147">
        <f t="shared" si="19"/>
        <v>0</v>
      </c>
      <c r="H85" s="147">
        <f t="shared" si="20"/>
        <v>0</v>
      </c>
      <c r="I85" s="148">
        <v>0</v>
      </c>
      <c r="J85" s="148">
        <f t="shared" si="21"/>
        <v>0</v>
      </c>
      <c r="K85" s="130">
        <f t="shared" si="15"/>
        <v>0</v>
      </c>
    </row>
    <row r="86" spans="1:11" x14ac:dyDescent="0.2">
      <c r="A86" s="169"/>
      <c r="B86" s="167">
        <f t="shared" si="16"/>
        <v>43282</v>
      </c>
      <c r="C86" s="167">
        <f t="shared" si="17"/>
        <v>43373</v>
      </c>
      <c r="D86" s="142">
        <f t="shared" si="13"/>
        <v>92</v>
      </c>
      <c r="E86" s="160">
        <f>VLOOKUP(C86,'FERC Interest Rate'!$A:$B,2,FALSE)</f>
        <v>6.7500000000000004E-2</v>
      </c>
      <c r="F86" s="148">
        <f t="shared" si="18"/>
        <v>0</v>
      </c>
      <c r="G86" s="147">
        <f t="shared" si="19"/>
        <v>0</v>
      </c>
      <c r="H86" s="147">
        <f t="shared" si="20"/>
        <v>0</v>
      </c>
      <c r="I86" s="148">
        <v>0</v>
      </c>
      <c r="J86" s="148">
        <f t="shared" si="21"/>
        <v>0</v>
      </c>
      <c r="K86" s="130">
        <f t="shared" si="15"/>
        <v>0</v>
      </c>
    </row>
    <row r="87" spans="1:11" x14ac:dyDescent="0.2">
      <c r="A87" s="169"/>
      <c r="B87" s="167">
        <f t="shared" si="16"/>
        <v>43374</v>
      </c>
      <c r="C87" s="167">
        <f t="shared" si="17"/>
        <v>43465</v>
      </c>
      <c r="D87" s="142">
        <f t="shared" si="13"/>
        <v>92</v>
      </c>
      <c r="E87" s="160">
        <f>VLOOKUP(C87,'FERC Interest Rate'!$A:$B,2,FALSE)</f>
        <v>6.7500000000000004E-2</v>
      </c>
      <c r="F87" s="148">
        <f t="shared" si="18"/>
        <v>0</v>
      </c>
      <c r="G87" s="147">
        <f t="shared" si="19"/>
        <v>0</v>
      </c>
      <c r="H87" s="147">
        <f t="shared" si="20"/>
        <v>0</v>
      </c>
      <c r="I87" s="148">
        <v>0</v>
      </c>
      <c r="J87" s="148">
        <f t="shared" si="21"/>
        <v>0</v>
      </c>
      <c r="K87" s="130">
        <f t="shared" si="15"/>
        <v>0</v>
      </c>
    </row>
    <row r="88" spans="1:11" x14ac:dyDescent="0.2">
      <c r="A88" s="169"/>
      <c r="B88" s="167">
        <f t="shared" si="16"/>
        <v>43466</v>
      </c>
      <c r="C88" s="167">
        <f t="shared" si="17"/>
        <v>43555</v>
      </c>
      <c r="D88" s="142">
        <f t="shared" si="13"/>
        <v>90</v>
      </c>
      <c r="E88" s="160">
        <f>VLOOKUP(C88,'FERC Interest Rate'!$A:$B,2,FALSE)</f>
        <v>6.7500000000000004E-2</v>
      </c>
      <c r="F88" s="148">
        <f t="shared" si="18"/>
        <v>0</v>
      </c>
      <c r="G88" s="147">
        <f t="shared" si="19"/>
        <v>0</v>
      </c>
      <c r="H88" s="147">
        <f t="shared" si="20"/>
        <v>0</v>
      </c>
      <c r="I88" s="148">
        <v>0</v>
      </c>
      <c r="J88" s="148">
        <f t="shared" si="21"/>
        <v>0</v>
      </c>
      <c r="K88" s="130">
        <f t="shared" si="15"/>
        <v>0</v>
      </c>
    </row>
    <row r="89" spans="1:11" x14ac:dyDescent="0.2">
      <c r="A89" s="169"/>
      <c r="B89" s="167">
        <f t="shared" si="16"/>
        <v>43556</v>
      </c>
      <c r="C89" s="167">
        <f t="shared" si="17"/>
        <v>43646</v>
      </c>
      <c r="D89" s="142">
        <f t="shared" si="13"/>
        <v>91</v>
      </c>
      <c r="E89" s="160">
        <f>VLOOKUP(C89,'FERC Interest Rate'!$A:$B,2,FALSE)</f>
        <v>6.7500000000000004E-2</v>
      </c>
      <c r="F89" s="148">
        <f t="shared" si="18"/>
        <v>0</v>
      </c>
      <c r="G89" s="147">
        <f>F89*E89*(D89/(DATE(YEAR(C89),12,31)-DATE(YEAR(C89),1,1)+1))</f>
        <v>0</v>
      </c>
      <c r="H89" s="147">
        <f t="shared" si="20"/>
        <v>0</v>
      </c>
      <c r="I89" s="148">
        <v>0</v>
      </c>
      <c r="J89" s="148">
        <f t="shared" si="21"/>
        <v>0</v>
      </c>
      <c r="K89" s="130">
        <f t="shared" si="15"/>
        <v>0</v>
      </c>
    </row>
    <row r="90" spans="1:11" x14ac:dyDescent="0.2">
      <c r="A90" s="169"/>
      <c r="B90" s="167">
        <f t="shared" si="16"/>
        <v>43647</v>
      </c>
      <c r="C90" s="167">
        <f t="shared" si="17"/>
        <v>43738</v>
      </c>
      <c r="D90" s="142">
        <f t="shared" si="13"/>
        <v>92</v>
      </c>
      <c r="E90" s="160">
        <f>VLOOKUP(C90,'FERC Interest Rate'!$A:$B,2,FALSE)</f>
        <v>6.7500000000000004E-2</v>
      </c>
      <c r="F90" s="148">
        <f t="shared" si="18"/>
        <v>0</v>
      </c>
      <c r="G90" s="147">
        <f>F90*E90*(D90/(DATE(YEAR(C90),12,31)-DATE(YEAR(C90),1,1)+1))</f>
        <v>0</v>
      </c>
      <c r="H90" s="147">
        <f t="shared" si="20"/>
        <v>0</v>
      </c>
      <c r="I90" s="148">
        <v>0</v>
      </c>
      <c r="J90" s="148">
        <f t="shared" si="21"/>
        <v>0</v>
      </c>
      <c r="K90" s="130">
        <f t="shared" si="15"/>
        <v>0</v>
      </c>
    </row>
    <row r="91" spans="1:11" ht="13.5" thickBot="1" x14ac:dyDescent="0.25">
      <c r="A91" s="129"/>
      <c r="B91" s="168"/>
      <c r="C91" s="168"/>
      <c r="D91" s="121"/>
      <c r="E91" s="122"/>
      <c r="F91" s="145"/>
      <c r="G91" s="145"/>
      <c r="H91" s="146"/>
      <c r="I91" s="123"/>
      <c r="J91" s="123"/>
      <c r="K91" s="128"/>
    </row>
  </sheetData>
  <mergeCells count="2">
    <mergeCell ref="A35:K35"/>
    <mergeCell ref="A61:K61"/>
  </mergeCells>
  <printOptions horizontalCentered="1"/>
  <pageMargins left="0.7" right="0.7" top="0.75" bottom="0.75" header="0.3" footer="0.3"/>
  <pageSetup scale="61" orientation="landscape" cellComments="asDisplayed" r:id="rId1"/>
  <headerFooter alignWithMargins="0">
    <oddHeader>&amp;RTO11 Draft Annual Update
Attachment 4
WP Schedule 22
Page &amp;P of &amp;N</oddHeader>
    <oddFooter>&amp;R&amp;A</oddFooter>
  </headerFooter>
  <rowBreaks count="1" manualBreakCount="1">
    <brk id="3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zoomScale="88" zoomScaleNormal="88"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8" ht="51" x14ac:dyDescent="0.2">
      <c r="A1" s="139" t="s">
        <v>18</v>
      </c>
      <c r="B1" s="3" t="s">
        <v>8</v>
      </c>
      <c r="C1" s="139" t="s">
        <v>7</v>
      </c>
      <c r="D1" s="139" t="s">
        <v>1</v>
      </c>
      <c r="E1" s="139" t="s">
        <v>24</v>
      </c>
      <c r="F1" s="3" t="s">
        <v>0</v>
      </c>
      <c r="H1"/>
    </row>
    <row r="2" spans="1:8" ht="12.75" customHeight="1" x14ac:dyDescent="0.2">
      <c r="A2" s="4">
        <v>1</v>
      </c>
      <c r="B2" s="9">
        <v>40940</v>
      </c>
      <c r="C2" s="10">
        <v>2283</v>
      </c>
      <c r="D2" s="10">
        <v>0</v>
      </c>
      <c r="E2" s="10">
        <v>0</v>
      </c>
      <c r="F2" s="29">
        <f>SUM(C2:E2)</f>
        <v>2283</v>
      </c>
      <c r="H2"/>
    </row>
    <row r="3" spans="1:8" ht="12.75" customHeight="1" x14ac:dyDescent="0.2">
      <c r="A3" s="4">
        <v>2</v>
      </c>
      <c r="B3" s="9">
        <v>40963</v>
      </c>
      <c r="C3" s="10">
        <v>2723</v>
      </c>
      <c r="D3" s="10">
        <v>0</v>
      </c>
      <c r="E3" s="10">
        <v>0</v>
      </c>
      <c r="F3" s="29">
        <f t="shared" ref="F3:F25" si="0">SUM(C3:E3)</f>
        <v>2723</v>
      </c>
      <c r="H3"/>
    </row>
    <row r="4" spans="1:8" x14ac:dyDescent="0.2">
      <c r="A4" s="4">
        <v>3</v>
      </c>
      <c r="B4" s="9">
        <v>40998</v>
      </c>
      <c r="C4" s="10">
        <v>5977</v>
      </c>
      <c r="D4" s="10">
        <v>0</v>
      </c>
      <c r="E4" s="10">
        <v>0</v>
      </c>
      <c r="F4" s="29">
        <f t="shared" si="0"/>
        <v>5977</v>
      </c>
      <c r="H4"/>
    </row>
    <row r="5" spans="1:8" x14ac:dyDescent="0.2">
      <c r="A5" s="4">
        <v>4</v>
      </c>
      <c r="B5" s="9">
        <v>41040</v>
      </c>
      <c r="C5" s="10">
        <v>7785</v>
      </c>
      <c r="D5" s="10">
        <v>0</v>
      </c>
      <c r="E5" s="10">
        <v>0</v>
      </c>
      <c r="F5" s="29">
        <f t="shared" si="0"/>
        <v>7785</v>
      </c>
      <c r="H5"/>
    </row>
    <row r="6" spans="1:8" ht="12.75" customHeight="1" x14ac:dyDescent="0.2">
      <c r="A6" s="4">
        <v>5</v>
      </c>
      <c r="B6" s="9">
        <v>41061</v>
      </c>
      <c r="C6" s="10">
        <v>10394</v>
      </c>
      <c r="D6" s="10">
        <v>0</v>
      </c>
      <c r="E6" s="10">
        <v>0</v>
      </c>
      <c r="F6" s="29">
        <f t="shared" si="0"/>
        <v>10394</v>
      </c>
    </row>
    <row r="7" spans="1:8" x14ac:dyDescent="0.2">
      <c r="A7" s="4">
        <v>6</v>
      </c>
      <c r="B7" s="9">
        <v>41082</v>
      </c>
      <c r="C7" s="10">
        <v>12733</v>
      </c>
      <c r="D7" s="10">
        <v>0</v>
      </c>
      <c r="E7" s="10">
        <v>0</v>
      </c>
      <c r="F7" s="29">
        <f t="shared" si="0"/>
        <v>12733</v>
      </c>
    </row>
    <row r="8" spans="1:8" x14ac:dyDescent="0.2">
      <c r="A8" s="4">
        <v>7</v>
      </c>
      <c r="B8" s="9">
        <v>41122</v>
      </c>
      <c r="C8" s="10">
        <v>14938</v>
      </c>
      <c r="D8" s="10">
        <v>0</v>
      </c>
      <c r="E8" s="10">
        <v>0</v>
      </c>
      <c r="F8" s="29">
        <f t="shared" si="0"/>
        <v>14938</v>
      </c>
    </row>
    <row r="9" spans="1:8" x14ac:dyDescent="0.2">
      <c r="A9" s="4">
        <v>8</v>
      </c>
      <c r="B9" s="9">
        <v>41149</v>
      </c>
      <c r="C9" s="10">
        <v>17278</v>
      </c>
      <c r="D9" s="10">
        <v>0</v>
      </c>
      <c r="E9" s="10">
        <v>0</v>
      </c>
      <c r="F9" s="29">
        <f t="shared" si="0"/>
        <v>17278</v>
      </c>
    </row>
    <row r="10" spans="1:8" x14ac:dyDescent="0.2">
      <c r="A10" s="4">
        <v>9</v>
      </c>
      <c r="B10" s="9">
        <v>41183</v>
      </c>
      <c r="C10" s="10">
        <v>20001</v>
      </c>
      <c r="D10" s="10">
        <v>0</v>
      </c>
      <c r="E10" s="10">
        <v>0</v>
      </c>
      <c r="F10" s="29">
        <f t="shared" si="0"/>
        <v>20001</v>
      </c>
    </row>
    <row r="11" spans="1:8" x14ac:dyDescent="0.2">
      <c r="A11" s="4">
        <v>10</v>
      </c>
      <c r="B11" s="9">
        <v>41204</v>
      </c>
      <c r="C11" s="10">
        <v>24303</v>
      </c>
      <c r="D11" s="10">
        <v>0</v>
      </c>
      <c r="E11" s="10">
        <v>0</v>
      </c>
      <c r="F11" s="29">
        <f t="shared" si="0"/>
        <v>24303</v>
      </c>
    </row>
    <row r="12" spans="1:8" x14ac:dyDescent="0.2">
      <c r="A12" s="4">
        <v>11</v>
      </c>
      <c r="B12" s="9">
        <v>41243</v>
      </c>
      <c r="C12" s="10">
        <v>33303</v>
      </c>
      <c r="D12" s="10">
        <v>0</v>
      </c>
      <c r="E12" s="10">
        <v>0</v>
      </c>
      <c r="F12" s="29">
        <f t="shared" si="0"/>
        <v>33303</v>
      </c>
      <c r="H12" s="64"/>
    </row>
    <row r="13" spans="1:8" x14ac:dyDescent="0.2">
      <c r="A13" s="4">
        <v>12</v>
      </c>
      <c r="B13" s="9">
        <v>41264</v>
      </c>
      <c r="C13" s="10">
        <v>66728</v>
      </c>
      <c r="D13" s="10">
        <v>0</v>
      </c>
      <c r="E13" s="10">
        <v>0</v>
      </c>
      <c r="F13" s="29">
        <f t="shared" si="0"/>
        <v>66728</v>
      </c>
      <c r="H13" s="64"/>
    </row>
    <row r="14" spans="1:8" x14ac:dyDescent="0.2">
      <c r="A14" s="4">
        <v>13</v>
      </c>
      <c r="B14" s="9">
        <v>41305</v>
      </c>
      <c r="C14" s="10">
        <v>99817</v>
      </c>
      <c r="D14" s="10">
        <v>0</v>
      </c>
      <c r="E14" s="10">
        <v>0</v>
      </c>
      <c r="F14" s="29">
        <f t="shared" si="0"/>
        <v>99817</v>
      </c>
      <c r="H14" s="64"/>
    </row>
    <row r="15" spans="1:8" x14ac:dyDescent="0.2">
      <c r="A15" s="4">
        <v>14</v>
      </c>
      <c r="B15" s="9">
        <v>41333</v>
      </c>
      <c r="C15" s="10">
        <v>100417</v>
      </c>
      <c r="D15" s="10">
        <v>0</v>
      </c>
      <c r="E15" s="10">
        <v>0</v>
      </c>
      <c r="F15" s="29">
        <f t="shared" si="0"/>
        <v>100417</v>
      </c>
      <c r="H15" s="64"/>
    </row>
    <row r="16" spans="1:8" x14ac:dyDescent="0.2">
      <c r="A16" s="4">
        <v>15</v>
      </c>
      <c r="B16" s="9">
        <v>41348</v>
      </c>
      <c r="C16" s="10">
        <v>86496</v>
      </c>
      <c r="D16" s="10">
        <v>0</v>
      </c>
      <c r="E16" s="10">
        <v>0</v>
      </c>
      <c r="F16" s="29">
        <f t="shared" si="0"/>
        <v>86496</v>
      </c>
      <c r="H16" s="64"/>
    </row>
    <row r="17" spans="1:11" x14ac:dyDescent="0.2">
      <c r="A17" s="4">
        <v>16</v>
      </c>
      <c r="B17" s="9">
        <v>41387</v>
      </c>
      <c r="C17" s="10">
        <v>46455</v>
      </c>
      <c r="D17" s="10">
        <v>0</v>
      </c>
      <c r="E17" s="10">
        <v>0</v>
      </c>
      <c r="F17" s="29">
        <f t="shared" si="0"/>
        <v>46455</v>
      </c>
      <c r="H17" s="64"/>
    </row>
    <row r="18" spans="1:11" x14ac:dyDescent="0.2">
      <c r="A18" s="4">
        <v>17</v>
      </c>
      <c r="B18" s="9">
        <v>41425</v>
      </c>
      <c r="C18" s="10">
        <v>48215</v>
      </c>
      <c r="D18" s="10">
        <v>0</v>
      </c>
      <c r="E18" s="10">
        <v>0</v>
      </c>
      <c r="F18" s="29">
        <f t="shared" si="0"/>
        <v>48215</v>
      </c>
      <c r="H18" s="64"/>
    </row>
    <row r="19" spans="1:11" x14ac:dyDescent="0.2">
      <c r="A19" s="4">
        <v>18</v>
      </c>
      <c r="B19" s="9">
        <v>41460</v>
      </c>
      <c r="C19" s="10">
        <v>58638</v>
      </c>
      <c r="D19" s="10">
        <v>0</v>
      </c>
      <c r="E19" s="10">
        <v>0</v>
      </c>
      <c r="F19" s="29">
        <f t="shared" si="0"/>
        <v>58638</v>
      </c>
    </row>
    <row r="20" spans="1:11" x14ac:dyDescent="0.2">
      <c r="A20" s="4">
        <v>19</v>
      </c>
      <c r="B20" s="9">
        <v>41481</v>
      </c>
      <c r="C20" s="10">
        <v>87901</v>
      </c>
      <c r="D20" s="10">
        <v>0</v>
      </c>
      <c r="E20" s="10">
        <v>0</v>
      </c>
      <c r="F20" s="29">
        <f t="shared" si="0"/>
        <v>87901</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39" t="s">
        <v>0</v>
      </c>
      <c r="C26" s="57">
        <f>SUM(C2:C25)</f>
        <v>746385</v>
      </c>
      <c r="D26" s="57">
        <f>SUM(D2:D25)</f>
        <v>0</v>
      </c>
      <c r="E26" s="57">
        <f>SUM(E2:E25)</f>
        <v>0</v>
      </c>
      <c r="F26" s="57">
        <f>SUM(F2:F25)</f>
        <v>746385</v>
      </c>
    </row>
    <row r="27" spans="1:11" x14ac:dyDescent="0.2">
      <c r="B27" s="139"/>
      <c r="C27" s="57"/>
      <c r="D27" s="57"/>
      <c r="E27" s="57"/>
      <c r="F27" s="57"/>
    </row>
    <row r="28" spans="1:11" x14ac:dyDescent="0.2">
      <c r="A28" s="139" t="s">
        <v>90</v>
      </c>
      <c r="B28" s="137" t="s">
        <v>93</v>
      </c>
      <c r="C28" s="30">
        <v>0</v>
      </c>
      <c r="D28" s="30">
        <v>0</v>
      </c>
      <c r="E28" s="30">
        <v>0</v>
      </c>
      <c r="F28" s="57">
        <f>SUM(C28:E28)</f>
        <v>0</v>
      </c>
    </row>
    <row r="29" spans="1:11" x14ac:dyDescent="0.2">
      <c r="A29" s="139" t="s">
        <v>91</v>
      </c>
      <c r="B29" s="137" t="s">
        <v>93</v>
      </c>
      <c r="C29" s="30">
        <v>0</v>
      </c>
      <c r="D29" s="30">
        <v>0</v>
      </c>
      <c r="E29" s="30">
        <v>0</v>
      </c>
      <c r="F29" s="57">
        <f>SUM(C29:E29)</f>
        <v>0</v>
      </c>
    </row>
    <row r="30" spans="1:11" x14ac:dyDescent="0.2">
      <c r="B30" s="139"/>
      <c r="C30" s="57"/>
      <c r="D30" s="57"/>
      <c r="E30" s="57"/>
      <c r="F30" s="57"/>
    </row>
    <row r="31" spans="1:11" x14ac:dyDescent="0.2">
      <c r="C31" s="139" t="s">
        <v>43</v>
      </c>
      <c r="D31" s="139" t="s">
        <v>42</v>
      </c>
      <c r="G31"/>
      <c r="H31"/>
      <c r="I31"/>
      <c r="J31"/>
      <c r="K31"/>
    </row>
    <row r="32" spans="1:11" x14ac:dyDescent="0.2">
      <c r="B32" s="138" t="s">
        <v>26</v>
      </c>
      <c r="C32" s="188">
        <v>41275</v>
      </c>
      <c r="D32" s="188">
        <v>41078</v>
      </c>
      <c r="G32"/>
      <c r="H32"/>
      <c r="I32"/>
      <c r="J32"/>
      <c r="K32"/>
    </row>
    <row r="33" spans="1:11" x14ac:dyDescent="0.2">
      <c r="B33" s="138" t="s">
        <v>84</v>
      </c>
      <c r="C33" s="188">
        <v>41395</v>
      </c>
      <c r="D33" s="188">
        <v>41605</v>
      </c>
      <c r="G33"/>
      <c r="H33"/>
      <c r="I33"/>
      <c r="J33"/>
      <c r="K33"/>
    </row>
    <row r="34" spans="1:11" ht="13.5" thickBot="1" x14ac:dyDescent="0.25">
      <c r="B34" s="138"/>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66"/>
      <c r="B37" s="267">
        <f>$D$32</f>
        <v>41078</v>
      </c>
      <c r="C37" s="267">
        <f>DATE(YEAR(B37),IF(MONTH(B37)&lt;=3,3,IF(MONTH(B37)&lt;=6,6,IF(MONTH(B37)&lt;=9,9,12))),IF(OR(MONTH(B37)&lt;=3,MONTH(B37)&gt;=10),31,30))</f>
        <v>41090</v>
      </c>
      <c r="D37" s="268">
        <f>C37-B37+1</f>
        <v>13</v>
      </c>
      <c r="E37" s="259">
        <f>VLOOKUP(C37,'FERC Interest Rate'!$A:$B,2,TRUE)</f>
        <v>3.2500000000000001E-2</v>
      </c>
      <c r="F37" s="254">
        <f>$C$26</f>
        <v>746385</v>
      </c>
      <c r="G37" s="272">
        <v>0</v>
      </c>
      <c r="H37" s="273">
        <v>0</v>
      </c>
      <c r="I37" s="254">
        <f>F37*E37*(D37/(DATE(YEAR(C37),12,31)-DATE(YEAR(C37),1,1)+1))</f>
        <v>861.60563524590157</v>
      </c>
      <c r="J37" s="254">
        <v>0</v>
      </c>
      <c r="K37" s="255">
        <f>F37+I37-H37-J37</f>
        <v>747246.60563524591</v>
      </c>
    </row>
    <row r="38" spans="1:11" x14ac:dyDescent="0.2">
      <c r="A38" s="256"/>
      <c r="B38" s="257">
        <f>C37+1</f>
        <v>41091</v>
      </c>
      <c r="C38" s="257">
        <f>EOMONTH(C37,3)</f>
        <v>41182</v>
      </c>
      <c r="D38" s="258">
        <f t="shared" ref="D38:D56" si="1">C38-B38+1</f>
        <v>92</v>
      </c>
      <c r="E38" s="259">
        <f>VLOOKUP(C38,'FERC Interest Rate'!$A:$B,2,TRUE)</f>
        <v>3.2500000000000001E-2</v>
      </c>
      <c r="F38" s="260">
        <f>K37</f>
        <v>747246.60563524591</v>
      </c>
      <c r="G38" s="272">
        <v>0</v>
      </c>
      <c r="H38" s="272">
        <v>0</v>
      </c>
      <c r="I38" s="254">
        <f t="shared" ref="I38:I43" si="2">F38*E38*(D38/(DATE(YEAR(C38),12,31)-DATE(YEAR(C38),1,1)+1))</f>
        <v>6104.5556034136207</v>
      </c>
      <c r="J38" s="260">
        <v>0</v>
      </c>
      <c r="K38" s="255">
        <f t="shared" ref="K38:K56" si="3">F38+I38-H38-J38</f>
        <v>753351.16123865952</v>
      </c>
    </row>
    <row r="39" spans="1:11" x14ac:dyDescent="0.2">
      <c r="A39" s="256"/>
      <c r="B39" s="257">
        <f t="shared" ref="B39:B61" si="4">C38+1</f>
        <v>41183</v>
      </c>
      <c r="C39" s="257">
        <f>EOMONTH(C38,3)</f>
        <v>41274</v>
      </c>
      <c r="D39" s="258">
        <f t="shared" si="1"/>
        <v>92</v>
      </c>
      <c r="E39" s="259">
        <f>VLOOKUP(C39,'FERC Interest Rate'!$A:$B,2,TRUE)</f>
        <v>3.2500000000000001E-2</v>
      </c>
      <c r="F39" s="260">
        <f t="shared" ref="F39:F56" si="5">K38</f>
        <v>753351.16123865952</v>
      </c>
      <c r="G39" s="272">
        <v>0</v>
      </c>
      <c r="H39" s="272">
        <v>0</v>
      </c>
      <c r="I39" s="254">
        <f t="shared" si="2"/>
        <v>6154.4261532885021</v>
      </c>
      <c r="J39" s="260">
        <v>0</v>
      </c>
      <c r="K39" s="255">
        <f t="shared" si="3"/>
        <v>759505.58739194798</v>
      </c>
    </row>
    <row r="40" spans="1:11" x14ac:dyDescent="0.2">
      <c r="A40" s="256"/>
      <c r="B40" s="257">
        <f t="shared" si="4"/>
        <v>41275</v>
      </c>
      <c r="C40" s="257">
        <f t="shared" ref="C40:C56" si="6">EOMONTH(C39,3)</f>
        <v>41364</v>
      </c>
      <c r="D40" s="258">
        <f t="shared" si="1"/>
        <v>90</v>
      </c>
      <c r="E40" s="259">
        <f>VLOOKUP(C40,'FERC Interest Rate'!$A:$B,2,TRUE)</f>
        <v>3.2500000000000001E-2</v>
      </c>
      <c r="F40" s="260">
        <f t="shared" si="5"/>
        <v>759505.58739194798</v>
      </c>
      <c r="G40" s="272">
        <v>0</v>
      </c>
      <c r="H40" s="272">
        <v>0</v>
      </c>
      <c r="I40" s="254">
        <f t="shared" si="2"/>
        <v>6086.4488852642407</v>
      </c>
      <c r="J40" s="260">
        <v>0</v>
      </c>
      <c r="K40" s="255">
        <f t="shared" si="3"/>
        <v>765592.0362772122</v>
      </c>
    </row>
    <row r="41" spans="1:11" x14ac:dyDescent="0.2">
      <c r="A41" s="256"/>
      <c r="B41" s="257">
        <f t="shared" si="4"/>
        <v>41365</v>
      </c>
      <c r="C41" s="257">
        <f t="shared" si="6"/>
        <v>41455</v>
      </c>
      <c r="D41" s="258">
        <f t="shared" si="1"/>
        <v>91</v>
      </c>
      <c r="E41" s="259">
        <f>VLOOKUP(C41,'FERC Interest Rate'!$A:$B,2,TRUE)</f>
        <v>3.2500000000000001E-2</v>
      </c>
      <c r="F41" s="260">
        <f t="shared" si="5"/>
        <v>765592.0362772122</v>
      </c>
      <c r="G41" s="272">
        <v>0</v>
      </c>
      <c r="H41" s="272">
        <v>0</v>
      </c>
      <c r="I41" s="254">
        <f t="shared" si="2"/>
        <v>6203.3930062735762</v>
      </c>
      <c r="J41" s="260">
        <v>0</v>
      </c>
      <c r="K41" s="255">
        <f t="shared" si="3"/>
        <v>771795.42928348575</v>
      </c>
    </row>
    <row r="42" spans="1:11" x14ac:dyDescent="0.2">
      <c r="A42" s="256"/>
      <c r="B42" s="257">
        <f t="shared" ref="B42" si="7">C41+1</f>
        <v>41456</v>
      </c>
      <c r="C42" s="257">
        <f>EOMONTH(C41,3)</f>
        <v>41547</v>
      </c>
      <c r="D42" s="258">
        <f t="shared" ref="D42" si="8">C42-B42+1</f>
        <v>92</v>
      </c>
      <c r="E42" s="259">
        <f>VLOOKUP(C42,'FERC Interest Rate'!$A:$B,2,TRUE)</f>
        <v>3.2500000000000001E-2</v>
      </c>
      <c r="F42" s="260">
        <f t="shared" ref="F42" si="9">K41</f>
        <v>771795.42928348575</v>
      </c>
      <c r="G42" s="272">
        <v>0</v>
      </c>
      <c r="H42" s="272">
        <v>0</v>
      </c>
      <c r="I42" s="254">
        <f t="shared" si="2"/>
        <v>6322.3789960482809</v>
      </c>
      <c r="J42" s="260">
        <v>0</v>
      </c>
      <c r="K42" s="255">
        <f t="shared" ref="K42" si="10">F42+I42-H42-J42</f>
        <v>778117.80827953399</v>
      </c>
    </row>
    <row r="43" spans="1:11" x14ac:dyDescent="0.2">
      <c r="A43" s="156"/>
      <c r="B43" s="167">
        <f t="shared" si="4"/>
        <v>41548</v>
      </c>
      <c r="C43" s="167">
        <f t="shared" si="6"/>
        <v>41639</v>
      </c>
      <c r="D43" s="142">
        <f t="shared" si="1"/>
        <v>92</v>
      </c>
      <c r="E43" s="160">
        <f>VLOOKUP(C43,'FERC Interest Rate'!$A:$B,2,TRUE)</f>
        <v>3.2500000000000001E-2</v>
      </c>
      <c r="F43" s="148">
        <f t="shared" si="5"/>
        <v>778117.80827953399</v>
      </c>
      <c r="G43" s="272">
        <v>0</v>
      </c>
      <c r="H43" s="147"/>
      <c r="I43" s="254">
        <f t="shared" si="2"/>
        <v>6374.170539057005</v>
      </c>
      <c r="J43" s="148"/>
      <c r="K43" s="130">
        <f t="shared" si="3"/>
        <v>784491.97881859099</v>
      </c>
    </row>
    <row r="44" spans="1:11" x14ac:dyDescent="0.2">
      <c r="A44" s="156"/>
      <c r="B44" s="167">
        <f t="shared" si="4"/>
        <v>41640</v>
      </c>
      <c r="C44" s="167">
        <f t="shared" si="6"/>
        <v>41729</v>
      </c>
      <c r="D44" s="142">
        <f t="shared" si="1"/>
        <v>90</v>
      </c>
      <c r="E44" s="160">
        <f>VLOOKUP(C44,'FERC Interest Rate'!$A:$B,2,TRUE)</f>
        <v>3.2500000000000001E-2</v>
      </c>
      <c r="F44" s="148">
        <f t="shared" si="5"/>
        <v>784491.97881859099</v>
      </c>
      <c r="G44" s="147">
        <f t="shared" ref="G44" si="11">F44*E44*(D44/(DATE(YEAR(C44),12,31)-DATE(YEAR(C44),1,1)+1))</f>
        <v>6286.6822960119962</v>
      </c>
      <c r="H44" s="147">
        <f t="shared" ref="H44:H63" si="12">$C$26/20</f>
        <v>37319.25</v>
      </c>
      <c r="I44" s="148">
        <v>0</v>
      </c>
      <c r="J44" s="148">
        <f t="shared" ref="J44:J63" si="13">SUM($I$37:$I$63)/20</f>
        <v>1905.3489409295566</v>
      </c>
      <c r="K44" s="130">
        <f t="shared" si="3"/>
        <v>745267.37987766147</v>
      </c>
    </row>
    <row r="45" spans="1:11" x14ac:dyDescent="0.2">
      <c r="A45" s="156"/>
      <c r="B45" s="167">
        <f t="shared" si="4"/>
        <v>41730</v>
      </c>
      <c r="C45" s="167">
        <v>41731</v>
      </c>
      <c r="D45" s="142">
        <f t="shared" si="1"/>
        <v>2</v>
      </c>
      <c r="E45" s="160">
        <f>VLOOKUP(C45,'FERC Interest Rate'!$A:$B,2,TRUE)</f>
        <v>3.2500000000000001E-2</v>
      </c>
      <c r="F45" s="148">
        <f t="shared" si="5"/>
        <v>745267.37987766147</v>
      </c>
      <c r="G45" s="147">
        <f>F45*E45*(D45/(DATE(YEAR(C45),12,31)-DATE(YEAR(C45),1,1)+1))</f>
        <v>132.71884847136437</v>
      </c>
      <c r="H45" s="147">
        <f t="shared" si="12"/>
        <v>37319.25</v>
      </c>
      <c r="I45" s="148">
        <v>0</v>
      </c>
      <c r="J45" s="148">
        <f t="shared" si="13"/>
        <v>1905.3489409295566</v>
      </c>
      <c r="K45" s="130">
        <f t="shared" si="3"/>
        <v>706042.78093673196</v>
      </c>
    </row>
    <row r="46" spans="1:11" x14ac:dyDescent="0.2">
      <c r="A46" s="156"/>
      <c r="B46" s="167">
        <f t="shared" ref="B46" si="14">C45+1</f>
        <v>41732</v>
      </c>
      <c r="C46" s="167">
        <v>41820</v>
      </c>
      <c r="D46" s="142">
        <f t="shared" ref="D46" si="15">C46-B46+1</f>
        <v>89</v>
      </c>
      <c r="E46" s="160">
        <f>VLOOKUP(C46,'FERC Interest Rate'!$A:$B,2,TRUE)</f>
        <v>3.2500000000000001E-2</v>
      </c>
      <c r="F46" s="148">
        <f t="shared" ref="F46" si="16">K45</f>
        <v>706042.78093673196</v>
      </c>
      <c r="G46" s="147">
        <f t="shared" ref="G46" si="17">F46*E46*(D46/(DATE(YEAR(C46),12,31)-DATE(YEAR(C46),1,1)+1))</f>
        <v>5595.1472434506777</v>
      </c>
      <c r="H46" s="147">
        <f t="shared" si="12"/>
        <v>37319.25</v>
      </c>
      <c r="I46" s="148"/>
      <c r="J46" s="148">
        <f t="shared" si="13"/>
        <v>1905.3489409295566</v>
      </c>
      <c r="K46" s="130">
        <f t="shared" ref="K46" si="18">F46+I46-H46-J46</f>
        <v>666818.18199580244</v>
      </c>
    </row>
    <row r="47" spans="1:11" x14ac:dyDescent="0.2">
      <c r="A47" s="156"/>
      <c r="B47" s="167">
        <f>C46+1</f>
        <v>41821</v>
      </c>
      <c r="C47" s="167">
        <f>EOMONTH(C46,3)</f>
        <v>41912</v>
      </c>
      <c r="D47" s="142">
        <f t="shared" si="1"/>
        <v>92</v>
      </c>
      <c r="E47" s="160">
        <f>VLOOKUP(C47,'FERC Interest Rate'!$A:$B,2,TRUE)</f>
        <v>3.2500000000000001E-2</v>
      </c>
      <c r="F47" s="148">
        <f>K45</f>
        <v>706042.78093673196</v>
      </c>
      <c r="G47" s="147">
        <f t="shared" ref="G47:G56" si="19">F47*E47*(D47/(DATE(YEAR(C47),12,31)-DATE(YEAR(C47),1,1)+1))</f>
        <v>5783.7477123310382</v>
      </c>
      <c r="H47" s="147">
        <f t="shared" si="12"/>
        <v>37319.25</v>
      </c>
      <c r="I47" s="148">
        <v>0</v>
      </c>
      <c r="J47" s="148">
        <f t="shared" si="13"/>
        <v>1905.3489409295566</v>
      </c>
      <c r="K47" s="130">
        <f t="shared" si="3"/>
        <v>666818.18199580244</v>
      </c>
    </row>
    <row r="48" spans="1:11" x14ac:dyDescent="0.2">
      <c r="A48" s="156"/>
      <c r="B48" s="167">
        <f t="shared" si="4"/>
        <v>41913</v>
      </c>
      <c r="C48" s="167">
        <f t="shared" si="6"/>
        <v>42004</v>
      </c>
      <c r="D48" s="142">
        <f t="shared" si="1"/>
        <v>92</v>
      </c>
      <c r="E48" s="160">
        <f>VLOOKUP(C48,'FERC Interest Rate'!$A:$B,2,TRUE)</f>
        <v>3.2500000000000001E-2</v>
      </c>
      <c r="F48" s="148">
        <f t="shared" si="5"/>
        <v>666818.18199580244</v>
      </c>
      <c r="G48" s="147">
        <f t="shared" si="19"/>
        <v>5462.4283949793135</v>
      </c>
      <c r="H48" s="147">
        <f t="shared" si="12"/>
        <v>37319.25</v>
      </c>
      <c r="I48" s="148">
        <v>0</v>
      </c>
      <c r="J48" s="148">
        <f t="shared" si="13"/>
        <v>1905.3489409295566</v>
      </c>
      <c r="K48" s="130">
        <f t="shared" si="3"/>
        <v>627593.58305487293</v>
      </c>
    </row>
    <row r="49" spans="1:11" x14ac:dyDescent="0.2">
      <c r="A49" s="156"/>
      <c r="B49" s="167">
        <f t="shared" si="4"/>
        <v>42005</v>
      </c>
      <c r="C49" s="167">
        <f t="shared" si="6"/>
        <v>42094</v>
      </c>
      <c r="D49" s="142">
        <f t="shared" si="1"/>
        <v>90</v>
      </c>
      <c r="E49" s="160">
        <f>VLOOKUP(C49,'FERC Interest Rate'!$A:$B,2,TRUE)</f>
        <v>3.2500000000000001E-2</v>
      </c>
      <c r="F49" s="148">
        <f t="shared" si="5"/>
        <v>627593.58305487293</v>
      </c>
      <c r="G49" s="147">
        <f t="shared" si="19"/>
        <v>5029.345836809598</v>
      </c>
      <c r="H49" s="147">
        <f t="shared" si="12"/>
        <v>37319.25</v>
      </c>
      <c r="I49" s="148">
        <v>0</v>
      </c>
      <c r="J49" s="148">
        <f t="shared" si="13"/>
        <v>1905.3489409295566</v>
      </c>
      <c r="K49" s="130">
        <f t="shared" si="3"/>
        <v>588368.98411394341</v>
      </c>
    </row>
    <row r="50" spans="1:11" x14ac:dyDescent="0.2">
      <c r="A50" s="156"/>
      <c r="B50" s="167">
        <f t="shared" si="4"/>
        <v>42095</v>
      </c>
      <c r="C50" s="167">
        <f t="shared" si="6"/>
        <v>42185</v>
      </c>
      <c r="D50" s="142">
        <f t="shared" si="1"/>
        <v>91</v>
      </c>
      <c r="E50" s="160">
        <f>VLOOKUP(C50,'FERC Interest Rate'!$A:$B,2,TRUE)</f>
        <v>3.2500000000000001E-2</v>
      </c>
      <c r="F50" s="148">
        <f t="shared" si="5"/>
        <v>588368.98411394341</v>
      </c>
      <c r="G50" s="147">
        <f t="shared" si="19"/>
        <v>4767.4007411424327</v>
      </c>
      <c r="H50" s="147">
        <f t="shared" si="12"/>
        <v>37319.25</v>
      </c>
      <c r="I50" s="148">
        <v>0</v>
      </c>
      <c r="J50" s="148">
        <f t="shared" si="13"/>
        <v>1905.3489409295566</v>
      </c>
      <c r="K50" s="130">
        <f t="shared" si="3"/>
        <v>549144.3851730139</v>
      </c>
    </row>
    <row r="51" spans="1:11" x14ac:dyDescent="0.2">
      <c r="A51" s="156"/>
      <c r="B51" s="167">
        <f t="shared" si="4"/>
        <v>42186</v>
      </c>
      <c r="C51" s="167">
        <f t="shared" si="6"/>
        <v>42277</v>
      </c>
      <c r="D51" s="142">
        <f t="shared" si="1"/>
        <v>92</v>
      </c>
      <c r="E51" s="160">
        <f>VLOOKUP(C51,'FERC Interest Rate'!$A:$B,2,TRUE)</f>
        <v>3.2500000000000001E-2</v>
      </c>
      <c r="F51" s="148">
        <f t="shared" si="5"/>
        <v>549144.3851730139</v>
      </c>
      <c r="G51" s="147">
        <f t="shared" si="19"/>
        <v>4498.4704429241419</v>
      </c>
      <c r="H51" s="147">
        <f t="shared" si="12"/>
        <v>37319.25</v>
      </c>
      <c r="I51" s="148">
        <v>0</v>
      </c>
      <c r="J51" s="148">
        <f t="shared" si="13"/>
        <v>1905.3489409295566</v>
      </c>
      <c r="K51" s="130">
        <f t="shared" si="3"/>
        <v>509919.78623208433</v>
      </c>
    </row>
    <row r="52" spans="1:11" x14ac:dyDescent="0.2">
      <c r="A52" s="156"/>
      <c r="B52" s="167">
        <f t="shared" si="4"/>
        <v>42278</v>
      </c>
      <c r="C52" s="167">
        <f t="shared" si="6"/>
        <v>42369</v>
      </c>
      <c r="D52" s="142">
        <f t="shared" si="1"/>
        <v>92</v>
      </c>
      <c r="E52" s="160">
        <f>VLOOKUP(C52,'FERC Interest Rate'!$A:$B,2,TRUE)</f>
        <v>3.2500000000000001E-2</v>
      </c>
      <c r="F52" s="148">
        <f t="shared" si="5"/>
        <v>509919.78623208433</v>
      </c>
      <c r="G52" s="147">
        <f t="shared" si="19"/>
        <v>4177.1511255724172</v>
      </c>
      <c r="H52" s="147">
        <f t="shared" si="12"/>
        <v>37319.25</v>
      </c>
      <c r="I52" s="148">
        <v>0</v>
      </c>
      <c r="J52" s="148">
        <f t="shared" si="13"/>
        <v>1905.3489409295566</v>
      </c>
      <c r="K52" s="130">
        <f t="shared" si="3"/>
        <v>470695.18729115475</v>
      </c>
    </row>
    <row r="53" spans="1:11" x14ac:dyDescent="0.2">
      <c r="A53" s="156"/>
      <c r="B53" s="167">
        <f t="shared" si="4"/>
        <v>42370</v>
      </c>
      <c r="C53" s="167">
        <f t="shared" si="6"/>
        <v>42460</v>
      </c>
      <c r="D53" s="142">
        <f t="shared" si="1"/>
        <v>91</v>
      </c>
      <c r="E53" s="160">
        <f>VLOOKUP(C53,'FERC Interest Rate'!$A:$B,2,TRUE)</f>
        <v>3.2500000000000001E-2</v>
      </c>
      <c r="F53" s="148">
        <f t="shared" si="5"/>
        <v>470695.18729115475</v>
      </c>
      <c r="G53" s="147">
        <f t="shared" si="19"/>
        <v>3803.500044845875</v>
      </c>
      <c r="H53" s="147">
        <f t="shared" si="12"/>
        <v>37319.25</v>
      </c>
      <c r="I53" s="148">
        <v>0</v>
      </c>
      <c r="J53" s="148">
        <f t="shared" si="13"/>
        <v>1905.3489409295566</v>
      </c>
      <c r="K53" s="130">
        <f t="shared" si="3"/>
        <v>431470.58835022518</v>
      </c>
    </row>
    <row r="54" spans="1:11" x14ac:dyDescent="0.2">
      <c r="A54" s="156"/>
      <c r="B54" s="167">
        <f t="shared" si="4"/>
        <v>42461</v>
      </c>
      <c r="C54" s="167">
        <f t="shared" si="6"/>
        <v>42551</v>
      </c>
      <c r="D54" s="142">
        <f t="shared" si="1"/>
        <v>91</v>
      </c>
      <c r="E54" s="160">
        <f>VLOOKUP(C54,'FERC Interest Rate'!$A:$B,2,TRUE)</f>
        <v>3.2500000000000001E-2</v>
      </c>
      <c r="F54" s="148">
        <f t="shared" si="5"/>
        <v>431470.58835022518</v>
      </c>
      <c r="G54" s="147">
        <f t="shared" si="19"/>
        <v>3486.5417077753855</v>
      </c>
      <c r="H54" s="147">
        <f t="shared" si="12"/>
        <v>37319.25</v>
      </c>
      <c r="I54" s="148">
        <v>0</v>
      </c>
      <c r="J54" s="148">
        <f t="shared" si="13"/>
        <v>1905.3489409295566</v>
      </c>
      <c r="K54" s="130">
        <f t="shared" si="3"/>
        <v>392245.98940929561</v>
      </c>
    </row>
    <row r="55" spans="1:11" x14ac:dyDescent="0.2">
      <c r="A55" s="156"/>
      <c r="B55" s="167">
        <f t="shared" si="4"/>
        <v>42552</v>
      </c>
      <c r="C55" s="167">
        <f t="shared" si="6"/>
        <v>42643</v>
      </c>
      <c r="D55" s="142">
        <f t="shared" si="1"/>
        <v>92</v>
      </c>
      <c r="E55" s="160">
        <f>VLOOKUP(C55,'FERC Interest Rate'!$A:$B,2,TRUE)</f>
        <v>4.0333330000000001E-2</v>
      </c>
      <c r="F55" s="148">
        <f t="shared" si="5"/>
        <v>392245.98940929561</v>
      </c>
      <c r="G55" s="147">
        <f t="shared" si="19"/>
        <v>3976.7595566830314</v>
      </c>
      <c r="H55" s="147">
        <f t="shared" si="12"/>
        <v>37319.25</v>
      </c>
      <c r="I55" s="148">
        <v>0</v>
      </c>
      <c r="J55" s="148">
        <f t="shared" si="13"/>
        <v>1905.3489409295566</v>
      </c>
      <c r="K55" s="130">
        <f t="shared" si="3"/>
        <v>353021.39046836604</v>
      </c>
    </row>
    <row r="56" spans="1:11" x14ac:dyDescent="0.2">
      <c r="A56" s="156"/>
      <c r="B56" s="167">
        <f t="shared" si="4"/>
        <v>42644</v>
      </c>
      <c r="C56" s="167">
        <f t="shared" si="6"/>
        <v>42735</v>
      </c>
      <c r="D56" s="142">
        <f t="shared" si="1"/>
        <v>92</v>
      </c>
      <c r="E56" s="160">
        <f>VLOOKUP(C56,'FERC Interest Rate'!$A:$B,2,TRUE)</f>
        <v>4.2833329999999996E-2</v>
      </c>
      <c r="F56" s="148">
        <f t="shared" si="5"/>
        <v>353021.39046836604</v>
      </c>
      <c r="G56" s="147">
        <f t="shared" si="19"/>
        <v>3800.927644205231</v>
      </c>
      <c r="H56" s="147">
        <f t="shared" si="12"/>
        <v>37319.25</v>
      </c>
      <c r="I56" s="148">
        <v>0</v>
      </c>
      <c r="J56" s="148">
        <f t="shared" si="13"/>
        <v>1905.3489409295566</v>
      </c>
      <c r="K56" s="130">
        <f t="shared" si="3"/>
        <v>313796.79152743646</v>
      </c>
    </row>
    <row r="57" spans="1:11" x14ac:dyDescent="0.2">
      <c r="A57" s="156"/>
      <c r="B57" s="167">
        <f t="shared" si="4"/>
        <v>42736</v>
      </c>
      <c r="C57" s="167">
        <f t="shared" ref="C57:C59" si="20">EOMONTH(C56,3)</f>
        <v>42825</v>
      </c>
      <c r="D57" s="142">
        <f t="shared" ref="D57:D59" si="21">C57-B57+1</f>
        <v>90</v>
      </c>
      <c r="E57" s="160">
        <f>VLOOKUP(C57,'FERC Interest Rate'!$A:$B,2,TRUE)</f>
        <v>4.7066670000000005E-2</v>
      </c>
      <c r="F57" s="148">
        <f t="shared" ref="F57:F59" si="22">K56</f>
        <v>313796.79152743646</v>
      </c>
      <c r="G57" s="147">
        <f t="shared" ref="G57:G59" si="23">F57*E57*(D57/(DATE(YEAR(C57),12,31)-DATE(YEAR(C57),1,1)+1))</f>
        <v>3641.7624741075574</v>
      </c>
      <c r="H57" s="147">
        <f t="shared" si="12"/>
        <v>37319.25</v>
      </c>
      <c r="I57" s="148">
        <v>0</v>
      </c>
      <c r="J57" s="148">
        <f t="shared" si="13"/>
        <v>1905.3489409295566</v>
      </c>
      <c r="K57" s="130">
        <f t="shared" ref="K57:K59" si="24">F57+I57-H57-J57</f>
        <v>274572.19258650689</v>
      </c>
    </row>
    <row r="58" spans="1:11" x14ac:dyDescent="0.2">
      <c r="A58" s="169"/>
      <c r="B58" s="167">
        <f t="shared" si="4"/>
        <v>42826</v>
      </c>
      <c r="C58" s="167">
        <f t="shared" si="20"/>
        <v>42916</v>
      </c>
      <c r="D58" s="142">
        <f t="shared" si="21"/>
        <v>91</v>
      </c>
      <c r="E58" s="160">
        <f>VLOOKUP(C58,'FERC Interest Rate'!$A:$B,2,TRUE)</f>
        <v>5.21E-2</v>
      </c>
      <c r="F58" s="148">
        <f t="shared" si="22"/>
        <v>274572.19258650689</v>
      </c>
      <c r="G58" s="147">
        <f t="shared" si="23"/>
        <v>3566.5047185531175</v>
      </c>
      <c r="H58" s="147">
        <f t="shared" si="12"/>
        <v>37319.25</v>
      </c>
      <c r="I58" s="148">
        <v>0</v>
      </c>
      <c r="J58" s="148">
        <f t="shared" si="13"/>
        <v>1905.3489409295566</v>
      </c>
      <c r="K58" s="130">
        <f t="shared" si="24"/>
        <v>235347.59364557735</v>
      </c>
    </row>
    <row r="59" spans="1:11" x14ac:dyDescent="0.2">
      <c r="A59" s="169"/>
      <c r="B59" s="167">
        <f t="shared" si="4"/>
        <v>42917</v>
      </c>
      <c r="C59" s="167">
        <f t="shared" si="20"/>
        <v>43008</v>
      </c>
      <c r="D59" s="142">
        <f t="shared" si="21"/>
        <v>92</v>
      </c>
      <c r="E59" s="160">
        <f>VLOOKUP(C59,'FERC Interest Rate'!$A:$B,2,TRUE)</f>
        <v>5.7066670000000007E-2</v>
      </c>
      <c r="F59" s="148">
        <f t="shared" si="22"/>
        <v>235347.59364557735</v>
      </c>
      <c r="G59" s="147">
        <f t="shared" si="23"/>
        <v>3385.2227903882085</v>
      </c>
      <c r="H59" s="147">
        <f t="shared" si="12"/>
        <v>37319.25</v>
      </c>
      <c r="I59" s="148">
        <v>0</v>
      </c>
      <c r="J59" s="148">
        <f t="shared" si="13"/>
        <v>1905.3489409295566</v>
      </c>
      <c r="K59" s="130">
        <f t="shared" si="24"/>
        <v>196122.9947046478</v>
      </c>
    </row>
    <row r="60" spans="1:11" x14ac:dyDescent="0.2">
      <c r="A60" s="169"/>
      <c r="B60" s="167">
        <f t="shared" si="4"/>
        <v>43009</v>
      </c>
      <c r="C60" s="167">
        <f t="shared" ref="C60:C63" si="25">EOMONTH(C59,3)</f>
        <v>43100</v>
      </c>
      <c r="D60" s="142">
        <f t="shared" ref="D60:D62" si="26">C60-B60+1</f>
        <v>92</v>
      </c>
      <c r="E60" s="160">
        <f>VLOOKUP(C60,'FERC Interest Rate'!$A:$B,2,TRUE)</f>
        <v>6.2033329999999998E-2</v>
      </c>
      <c r="F60" s="148">
        <f t="shared" ref="F60:F62" si="27">K59</f>
        <v>196122.9947046478</v>
      </c>
      <c r="G60" s="147">
        <f t="shared" ref="G60:G62" si="28">F60*E60*(D60/(DATE(YEAR(C60),12,31)-DATE(YEAR(C60),1,1)+1))</f>
        <v>3066.5395767160371</v>
      </c>
      <c r="H60" s="147">
        <f t="shared" si="12"/>
        <v>37319.25</v>
      </c>
      <c r="I60" s="148">
        <v>0</v>
      </c>
      <c r="J60" s="148">
        <f t="shared" si="13"/>
        <v>1905.3489409295566</v>
      </c>
      <c r="K60" s="130">
        <f t="shared" ref="K60:K62" si="29">F60+I60-H60-J60</f>
        <v>156898.39576371826</v>
      </c>
    </row>
    <row r="61" spans="1:11" x14ac:dyDescent="0.2">
      <c r="A61" s="169"/>
      <c r="B61" s="167">
        <f t="shared" si="4"/>
        <v>43101</v>
      </c>
      <c r="C61" s="167">
        <f t="shared" si="25"/>
        <v>43190</v>
      </c>
      <c r="D61" s="142">
        <f t="shared" si="26"/>
        <v>90</v>
      </c>
      <c r="E61" s="160">
        <f>VLOOKUP(C61,'FERC Interest Rate'!$A:$B,2,TRUE)</f>
        <v>6.6699999999999995E-2</v>
      </c>
      <c r="F61" s="148">
        <f t="shared" si="27"/>
        <v>156898.39576371826</v>
      </c>
      <c r="G61" s="147">
        <f t="shared" si="28"/>
        <v>2580.4412870400015</v>
      </c>
      <c r="H61" s="147">
        <f t="shared" si="12"/>
        <v>37319.25</v>
      </c>
      <c r="I61" s="148">
        <v>0</v>
      </c>
      <c r="J61" s="148">
        <f t="shared" si="13"/>
        <v>1905.3489409295566</v>
      </c>
      <c r="K61" s="130">
        <f t="shared" si="29"/>
        <v>117673.7968227887</v>
      </c>
    </row>
    <row r="62" spans="1:11" x14ac:dyDescent="0.2">
      <c r="A62" s="169"/>
      <c r="B62" s="167">
        <f t="shared" ref="B62:B63" si="30">C61+1</f>
        <v>43191</v>
      </c>
      <c r="C62" s="167">
        <f t="shared" si="25"/>
        <v>43281</v>
      </c>
      <c r="D62" s="142">
        <f t="shared" si="26"/>
        <v>91</v>
      </c>
      <c r="E62" s="160">
        <f>VLOOKUP(C62,'FERC Interest Rate'!$A:$B,2,TRUE)</f>
        <v>6.7500000000000004E-2</v>
      </c>
      <c r="F62" s="148">
        <f t="shared" si="27"/>
        <v>117673.7968227887</v>
      </c>
      <c r="G62" s="147">
        <f t="shared" si="28"/>
        <v>1980.30492324378</v>
      </c>
      <c r="H62" s="147">
        <f t="shared" si="12"/>
        <v>37319.25</v>
      </c>
      <c r="I62" s="148">
        <v>0</v>
      </c>
      <c r="J62" s="148">
        <f t="shared" si="13"/>
        <v>1905.3489409295566</v>
      </c>
      <c r="K62" s="130">
        <f t="shared" si="29"/>
        <v>78449.197881859145</v>
      </c>
    </row>
    <row r="63" spans="1:11" x14ac:dyDescent="0.2">
      <c r="A63" s="169"/>
      <c r="B63" s="167">
        <f t="shared" si="30"/>
        <v>43282</v>
      </c>
      <c r="C63" s="167">
        <f t="shared" si="25"/>
        <v>43373</v>
      </c>
      <c r="D63" s="142">
        <f t="shared" ref="D63" si="31">C63-B63+1</f>
        <v>92</v>
      </c>
      <c r="E63" s="160">
        <f>VLOOKUP(C63,'FERC Interest Rate'!$A:$B,2,TRUE)</f>
        <v>6.7500000000000004E-2</v>
      </c>
      <c r="F63" s="148">
        <f t="shared" ref="F63" si="32">K62</f>
        <v>78449.197881859145</v>
      </c>
      <c r="G63" s="147">
        <f t="shared" ref="G63" si="33">F63*E63*(D63/(DATE(YEAR(C63),12,31)-DATE(YEAR(C63),1,1)+1))</f>
        <v>1334.7110105379325</v>
      </c>
      <c r="H63" s="147">
        <f t="shared" si="12"/>
        <v>37319.25</v>
      </c>
      <c r="I63" s="148">
        <v>0</v>
      </c>
      <c r="J63" s="148">
        <f t="shared" si="13"/>
        <v>1905.3489409295566</v>
      </c>
      <c r="K63" s="130">
        <f t="shared" ref="K63" si="34">F63+I63-H63-J63</f>
        <v>39224.598940929587</v>
      </c>
    </row>
    <row r="64" spans="1:11" x14ac:dyDescent="0.2">
      <c r="A64" s="5"/>
      <c r="B64" s="41"/>
      <c r="C64" s="41"/>
      <c r="D64" s="42"/>
      <c r="E64" s="43"/>
      <c r="F64" s="126"/>
      <c r="G64" s="126"/>
      <c r="H64" s="58">
        <f>SUM(H44:H63)</f>
        <v>746385</v>
      </c>
      <c r="I64" s="58">
        <f>SUM(I37:I63)</f>
        <v>38106.978818591131</v>
      </c>
      <c r="J64" s="44">
        <f>SUM(J44:J63)</f>
        <v>38106.978818591146</v>
      </c>
    </row>
    <row r="65" spans="1:11" ht="13.5" thickBot="1" x14ac:dyDescent="0.25"/>
    <row r="66" spans="1:11" ht="13.5" thickBot="1" x14ac:dyDescent="0.25">
      <c r="A66" s="304" t="s">
        <v>71</v>
      </c>
      <c r="B66" s="305"/>
      <c r="C66" s="305"/>
      <c r="D66" s="305"/>
      <c r="E66" s="305"/>
      <c r="F66" s="305"/>
      <c r="G66" s="305"/>
      <c r="H66" s="305"/>
      <c r="I66" s="305"/>
      <c r="J66" s="305"/>
      <c r="K66" s="306"/>
    </row>
    <row r="67" spans="1:11" ht="51.75" thickBot="1" x14ac:dyDescent="0.25">
      <c r="A67" s="163" t="s">
        <v>9</v>
      </c>
      <c r="B67" s="164" t="s">
        <v>10</v>
      </c>
      <c r="C67" s="164" t="s">
        <v>11</v>
      </c>
      <c r="D67" s="164" t="s">
        <v>12</v>
      </c>
      <c r="E67" s="164" t="s">
        <v>13</v>
      </c>
      <c r="F67" s="164" t="s">
        <v>14</v>
      </c>
      <c r="G67" s="164" t="s">
        <v>32</v>
      </c>
      <c r="H67" s="164" t="s">
        <v>16</v>
      </c>
      <c r="I67" s="164" t="s">
        <v>85</v>
      </c>
      <c r="J67" s="164" t="s">
        <v>33</v>
      </c>
      <c r="K67" s="165" t="s">
        <v>15</v>
      </c>
    </row>
    <row r="68" spans="1:11" x14ac:dyDescent="0.2">
      <c r="A68" s="157"/>
      <c r="B68" s="166">
        <f>$B$2</f>
        <v>40940</v>
      </c>
      <c r="C68" s="166">
        <f>DATE(YEAR(B68),IF(MONTH(B68)&lt;=3,3,IF(MONTH(B68)&lt;=6,6,IF(MONTH(B68)&lt;=9,9,12))),IF(OR(MONTH(B68)&lt;=3,MONTH(B68)&gt;=10),31,30))</f>
        <v>40999</v>
      </c>
      <c r="D68" s="159">
        <f>C68-B68+1</f>
        <v>60</v>
      </c>
      <c r="E68" s="160">
        <f>VLOOKUP(C68,'FERC Interest Rate'!$A:$B,2,TRUE)</f>
        <v>3.2500000000000001E-2</v>
      </c>
      <c r="F68" s="161">
        <f>$E$2</f>
        <v>0</v>
      </c>
      <c r="G68" s="147">
        <v>0</v>
      </c>
      <c r="H68" s="162">
        <v>0</v>
      </c>
      <c r="I68" s="161">
        <f>F68*E68*(D68/(DATE(YEAR(C68),12,31)-DATE(YEAR(C68),1,1)+1))</f>
        <v>0</v>
      </c>
      <c r="J68" s="161">
        <v>0</v>
      </c>
      <c r="K68" s="130">
        <f>F68+I68-H68-J68</f>
        <v>0</v>
      </c>
    </row>
    <row r="69" spans="1:11" x14ac:dyDescent="0.2">
      <c r="A69" s="156"/>
      <c r="B69" s="167">
        <f>C68+1</f>
        <v>41000</v>
      </c>
      <c r="C69" s="167">
        <f>EOMONTH(C68,3)</f>
        <v>41090</v>
      </c>
      <c r="D69" s="142">
        <f t="shared" ref="D69:D95" si="35">C69-B69+1</f>
        <v>91</v>
      </c>
      <c r="E69" s="160">
        <f>VLOOKUP(C69,'FERC Interest Rate'!$A:$B,2,TRUE)</f>
        <v>3.2500000000000001E-2</v>
      </c>
      <c r="F69" s="148">
        <f>K68</f>
        <v>0</v>
      </c>
      <c r="G69" s="147">
        <v>0</v>
      </c>
      <c r="H69" s="147">
        <v>0</v>
      </c>
      <c r="I69" s="161">
        <f t="shared" ref="I69:I75" si="36">F69*E69*(D69/(DATE(YEAR(C69),12,31)-DATE(YEAR(C69),1,1)+1))</f>
        <v>0</v>
      </c>
      <c r="J69" s="148">
        <v>0</v>
      </c>
      <c r="K69" s="130">
        <f t="shared" ref="K69:K95" si="37">F69+I69-H69-J69</f>
        <v>0</v>
      </c>
    </row>
    <row r="70" spans="1:11" x14ac:dyDescent="0.2">
      <c r="A70" s="156"/>
      <c r="B70" s="167">
        <f t="shared" ref="B70:B95" si="38">C69+1</f>
        <v>41091</v>
      </c>
      <c r="C70" s="167">
        <f t="shared" ref="C70:C95" si="39">EOMONTH(C69,3)</f>
        <v>41182</v>
      </c>
      <c r="D70" s="142">
        <f t="shared" si="35"/>
        <v>92</v>
      </c>
      <c r="E70" s="160">
        <f>VLOOKUP(C70,'FERC Interest Rate'!$A:$B,2,TRUE)</f>
        <v>3.2500000000000001E-2</v>
      </c>
      <c r="F70" s="148">
        <f t="shared" ref="F70:F95" si="40">K69</f>
        <v>0</v>
      </c>
      <c r="G70" s="147">
        <v>0</v>
      </c>
      <c r="H70" s="147">
        <v>0</v>
      </c>
      <c r="I70" s="161">
        <f t="shared" si="36"/>
        <v>0</v>
      </c>
      <c r="J70" s="148">
        <v>0</v>
      </c>
      <c r="K70" s="130">
        <f t="shared" si="37"/>
        <v>0</v>
      </c>
    </row>
    <row r="71" spans="1:11" x14ac:dyDescent="0.2">
      <c r="A71" s="156"/>
      <c r="B71" s="167">
        <f t="shared" si="38"/>
        <v>41183</v>
      </c>
      <c r="C71" s="167">
        <f t="shared" si="39"/>
        <v>41274</v>
      </c>
      <c r="D71" s="142">
        <f t="shared" si="35"/>
        <v>92</v>
      </c>
      <c r="E71" s="160">
        <f>VLOOKUP(C71,'FERC Interest Rate'!$A:$B,2,TRUE)</f>
        <v>3.2500000000000001E-2</v>
      </c>
      <c r="F71" s="148">
        <f t="shared" si="40"/>
        <v>0</v>
      </c>
      <c r="G71" s="147">
        <v>0</v>
      </c>
      <c r="H71" s="147">
        <v>0</v>
      </c>
      <c r="I71" s="161">
        <f t="shared" si="36"/>
        <v>0</v>
      </c>
      <c r="J71" s="148">
        <v>0</v>
      </c>
      <c r="K71" s="130">
        <f t="shared" si="37"/>
        <v>0</v>
      </c>
    </row>
    <row r="72" spans="1:11" x14ac:dyDescent="0.2">
      <c r="A72" s="156"/>
      <c r="B72" s="167">
        <f t="shared" si="38"/>
        <v>41275</v>
      </c>
      <c r="C72" s="167">
        <f t="shared" si="39"/>
        <v>41364</v>
      </c>
      <c r="D72" s="142">
        <f t="shared" si="35"/>
        <v>90</v>
      </c>
      <c r="E72" s="160">
        <f>VLOOKUP(C72,'FERC Interest Rate'!$A:$B,2,TRUE)</f>
        <v>3.2500000000000001E-2</v>
      </c>
      <c r="F72" s="148">
        <f t="shared" si="40"/>
        <v>0</v>
      </c>
      <c r="G72" s="147">
        <v>0</v>
      </c>
      <c r="H72" s="147">
        <v>0</v>
      </c>
      <c r="I72" s="161">
        <f t="shared" si="36"/>
        <v>0</v>
      </c>
      <c r="J72" s="148">
        <v>0</v>
      </c>
      <c r="K72" s="130">
        <f t="shared" si="37"/>
        <v>0</v>
      </c>
    </row>
    <row r="73" spans="1:11" x14ac:dyDescent="0.2">
      <c r="A73" s="156"/>
      <c r="B73" s="167">
        <f t="shared" si="38"/>
        <v>41365</v>
      </c>
      <c r="C73" s="167">
        <f t="shared" si="39"/>
        <v>41455</v>
      </c>
      <c r="D73" s="142">
        <f t="shared" si="35"/>
        <v>91</v>
      </c>
      <c r="E73" s="160">
        <f>VLOOKUP(C73,'FERC Interest Rate'!$A:$B,2,TRUE)</f>
        <v>3.2500000000000001E-2</v>
      </c>
      <c r="F73" s="148">
        <f t="shared" si="40"/>
        <v>0</v>
      </c>
      <c r="G73" s="147">
        <v>0</v>
      </c>
      <c r="H73" s="147">
        <v>0</v>
      </c>
      <c r="I73" s="161">
        <f t="shared" si="36"/>
        <v>0</v>
      </c>
      <c r="J73" s="148">
        <v>0</v>
      </c>
      <c r="K73" s="130">
        <f t="shared" si="37"/>
        <v>0</v>
      </c>
    </row>
    <row r="74" spans="1:11" x14ac:dyDescent="0.2">
      <c r="A74" s="156"/>
      <c r="B74" s="167">
        <f t="shared" si="38"/>
        <v>41456</v>
      </c>
      <c r="C74" s="167">
        <f t="shared" si="39"/>
        <v>41547</v>
      </c>
      <c r="D74" s="142">
        <f t="shared" si="35"/>
        <v>92</v>
      </c>
      <c r="E74" s="160">
        <f>VLOOKUP(C74,'FERC Interest Rate'!$A:$B,2,TRUE)</f>
        <v>3.2500000000000001E-2</v>
      </c>
      <c r="F74" s="148">
        <f t="shared" si="40"/>
        <v>0</v>
      </c>
      <c r="G74" s="147">
        <v>0</v>
      </c>
      <c r="H74" s="147">
        <v>0</v>
      </c>
      <c r="I74" s="161">
        <f t="shared" si="36"/>
        <v>0</v>
      </c>
      <c r="J74" s="148">
        <v>0</v>
      </c>
      <c r="K74" s="130">
        <f t="shared" si="37"/>
        <v>0</v>
      </c>
    </row>
    <row r="75" spans="1:11" x14ac:dyDescent="0.2">
      <c r="A75" s="156"/>
      <c r="B75" s="167">
        <f t="shared" si="38"/>
        <v>41548</v>
      </c>
      <c r="C75" s="167">
        <f t="shared" si="39"/>
        <v>41639</v>
      </c>
      <c r="D75" s="142">
        <f t="shared" si="35"/>
        <v>92</v>
      </c>
      <c r="E75" s="160">
        <f>VLOOKUP(C75,'FERC Interest Rate'!$A:$B,2,TRUE)</f>
        <v>3.2500000000000001E-2</v>
      </c>
      <c r="F75" s="148">
        <f t="shared" si="40"/>
        <v>0</v>
      </c>
      <c r="G75" s="147">
        <v>0</v>
      </c>
      <c r="H75" s="147">
        <v>0</v>
      </c>
      <c r="I75" s="161">
        <f t="shared" si="36"/>
        <v>0</v>
      </c>
      <c r="J75" s="148">
        <v>0</v>
      </c>
      <c r="K75" s="130">
        <f t="shared" si="37"/>
        <v>0</v>
      </c>
    </row>
    <row r="76" spans="1:11" x14ac:dyDescent="0.2">
      <c r="A76" s="156"/>
      <c r="B76" s="167">
        <f t="shared" si="38"/>
        <v>41640</v>
      </c>
      <c r="C76" s="167">
        <f t="shared" si="39"/>
        <v>41729</v>
      </c>
      <c r="D76" s="142">
        <f t="shared" si="35"/>
        <v>90</v>
      </c>
      <c r="E76" s="160">
        <f>VLOOKUP(C76,'FERC Interest Rate'!$A:$B,2,TRUE)</f>
        <v>3.2500000000000001E-2</v>
      </c>
      <c r="F76" s="148">
        <f>K75</f>
        <v>0</v>
      </c>
      <c r="G76" s="147">
        <f t="shared" ref="G76:G80" si="41">F76*E76*(D76/(DATE(YEAR(C76),12,31)-DATE(YEAR(C76),1,1)+1))</f>
        <v>0</v>
      </c>
      <c r="H76" s="147">
        <f>$F$68/20</f>
        <v>0</v>
      </c>
      <c r="I76" s="148">
        <v>0</v>
      </c>
      <c r="J76" s="148">
        <f>SUM($I$68:$I$96)/20</f>
        <v>0</v>
      </c>
      <c r="K76" s="130">
        <f t="shared" si="37"/>
        <v>0</v>
      </c>
    </row>
    <row r="77" spans="1:11" x14ac:dyDescent="0.2">
      <c r="A77" s="156"/>
      <c r="B77" s="167">
        <f t="shared" si="38"/>
        <v>41730</v>
      </c>
      <c r="C77" s="167">
        <f t="shared" si="39"/>
        <v>41820</v>
      </c>
      <c r="D77" s="142">
        <f t="shared" si="35"/>
        <v>91</v>
      </c>
      <c r="E77" s="160">
        <f>VLOOKUP(C77,'FERC Interest Rate'!$A:$B,2,TRUE)</f>
        <v>3.2500000000000001E-2</v>
      </c>
      <c r="F77" s="148">
        <f>K76</f>
        <v>0</v>
      </c>
      <c r="G77" s="147">
        <f t="shared" si="41"/>
        <v>0</v>
      </c>
      <c r="H77" s="147">
        <f t="shared" ref="H77:H95" si="42">$F$68/20</f>
        <v>0</v>
      </c>
      <c r="I77" s="148">
        <v>0</v>
      </c>
      <c r="J77" s="148">
        <f t="shared" ref="J77:J95" si="43">SUM($I$68:$I$96)/20</f>
        <v>0</v>
      </c>
      <c r="K77" s="130">
        <f t="shared" si="37"/>
        <v>0</v>
      </c>
    </row>
    <row r="78" spans="1:11" x14ac:dyDescent="0.2">
      <c r="A78" s="156"/>
      <c r="B78" s="167">
        <f t="shared" si="38"/>
        <v>41821</v>
      </c>
      <c r="C78" s="167">
        <f t="shared" si="39"/>
        <v>41912</v>
      </c>
      <c r="D78" s="142">
        <f t="shared" si="35"/>
        <v>92</v>
      </c>
      <c r="E78" s="160">
        <f>VLOOKUP(C78,'FERC Interest Rate'!$A:$B,2,TRUE)</f>
        <v>3.2500000000000001E-2</v>
      </c>
      <c r="F78" s="148">
        <f t="shared" si="40"/>
        <v>0</v>
      </c>
      <c r="G78" s="147">
        <f t="shared" si="41"/>
        <v>0</v>
      </c>
      <c r="H78" s="147">
        <f t="shared" si="42"/>
        <v>0</v>
      </c>
      <c r="I78" s="148">
        <v>0</v>
      </c>
      <c r="J78" s="148">
        <f t="shared" si="43"/>
        <v>0</v>
      </c>
      <c r="K78" s="130">
        <f t="shared" si="37"/>
        <v>0</v>
      </c>
    </row>
    <row r="79" spans="1:11" x14ac:dyDescent="0.2">
      <c r="A79" s="156"/>
      <c r="B79" s="167">
        <f t="shared" si="38"/>
        <v>41913</v>
      </c>
      <c r="C79" s="167">
        <f t="shared" si="39"/>
        <v>42004</v>
      </c>
      <c r="D79" s="142">
        <f t="shared" si="35"/>
        <v>92</v>
      </c>
      <c r="E79" s="160">
        <f>VLOOKUP(C79,'FERC Interest Rate'!$A:$B,2,TRUE)</f>
        <v>3.2500000000000001E-2</v>
      </c>
      <c r="F79" s="148">
        <f t="shared" si="40"/>
        <v>0</v>
      </c>
      <c r="G79" s="147">
        <f t="shared" si="41"/>
        <v>0</v>
      </c>
      <c r="H79" s="147">
        <f t="shared" si="42"/>
        <v>0</v>
      </c>
      <c r="I79" s="148">
        <v>0</v>
      </c>
      <c r="J79" s="148">
        <f t="shared" si="43"/>
        <v>0</v>
      </c>
      <c r="K79" s="130">
        <f t="shared" si="37"/>
        <v>0</v>
      </c>
    </row>
    <row r="80" spans="1:11" x14ac:dyDescent="0.2">
      <c r="A80" s="156"/>
      <c r="B80" s="167">
        <f t="shared" si="38"/>
        <v>42005</v>
      </c>
      <c r="C80" s="167">
        <f t="shared" si="39"/>
        <v>42094</v>
      </c>
      <c r="D80" s="142">
        <f t="shared" si="35"/>
        <v>90</v>
      </c>
      <c r="E80" s="160">
        <f>VLOOKUP(C80,'FERC Interest Rate'!$A:$B,2,TRUE)</f>
        <v>3.2500000000000001E-2</v>
      </c>
      <c r="F80" s="148">
        <f t="shared" si="40"/>
        <v>0</v>
      </c>
      <c r="G80" s="147">
        <f t="shared" si="41"/>
        <v>0</v>
      </c>
      <c r="H80" s="147">
        <f t="shared" si="42"/>
        <v>0</v>
      </c>
      <c r="I80" s="148">
        <v>0</v>
      </c>
      <c r="J80" s="148">
        <f t="shared" si="43"/>
        <v>0</v>
      </c>
      <c r="K80" s="130">
        <f t="shared" si="37"/>
        <v>0</v>
      </c>
    </row>
    <row r="81" spans="1:11" x14ac:dyDescent="0.2">
      <c r="A81" s="156"/>
      <c r="B81" s="167">
        <f t="shared" si="38"/>
        <v>42095</v>
      </c>
      <c r="C81" s="167">
        <f t="shared" si="39"/>
        <v>42185</v>
      </c>
      <c r="D81" s="142">
        <f t="shared" si="35"/>
        <v>91</v>
      </c>
      <c r="E81" s="160">
        <f>VLOOKUP(C81,'FERC Interest Rate'!$A:$B,2,TRUE)</f>
        <v>3.2500000000000001E-2</v>
      </c>
      <c r="F81" s="148">
        <f t="shared" si="40"/>
        <v>0</v>
      </c>
      <c r="G81" s="147">
        <f t="shared" ref="G81:G87" si="44">F81*E81*(D81/(DATE(YEAR(C81),12,31)-DATE(YEAR(C81),1,1)+1))</f>
        <v>0</v>
      </c>
      <c r="H81" s="147">
        <f t="shared" si="42"/>
        <v>0</v>
      </c>
      <c r="I81" s="148">
        <v>0</v>
      </c>
      <c r="J81" s="148">
        <f t="shared" si="43"/>
        <v>0</v>
      </c>
      <c r="K81" s="130">
        <f t="shared" si="37"/>
        <v>0</v>
      </c>
    </row>
    <row r="82" spans="1:11" x14ac:dyDescent="0.2">
      <c r="A82" s="156"/>
      <c r="B82" s="167">
        <f t="shared" si="38"/>
        <v>42186</v>
      </c>
      <c r="C82" s="167">
        <f t="shared" si="39"/>
        <v>42277</v>
      </c>
      <c r="D82" s="142">
        <f t="shared" si="35"/>
        <v>92</v>
      </c>
      <c r="E82" s="160">
        <f>VLOOKUP(C82,'FERC Interest Rate'!$A:$B,2,TRUE)</f>
        <v>3.2500000000000001E-2</v>
      </c>
      <c r="F82" s="148">
        <f t="shared" si="40"/>
        <v>0</v>
      </c>
      <c r="G82" s="147">
        <f t="shared" si="44"/>
        <v>0</v>
      </c>
      <c r="H82" s="147">
        <f t="shared" si="42"/>
        <v>0</v>
      </c>
      <c r="I82" s="148">
        <v>0</v>
      </c>
      <c r="J82" s="148">
        <f t="shared" si="43"/>
        <v>0</v>
      </c>
      <c r="K82" s="130">
        <f t="shared" si="37"/>
        <v>0</v>
      </c>
    </row>
    <row r="83" spans="1:11" x14ac:dyDescent="0.2">
      <c r="A83" s="156"/>
      <c r="B83" s="167">
        <f t="shared" si="38"/>
        <v>42278</v>
      </c>
      <c r="C83" s="167">
        <f t="shared" si="39"/>
        <v>42369</v>
      </c>
      <c r="D83" s="142">
        <f t="shared" si="35"/>
        <v>92</v>
      </c>
      <c r="E83" s="160">
        <f>VLOOKUP(C83,'FERC Interest Rate'!$A:$B,2,TRUE)</f>
        <v>3.2500000000000001E-2</v>
      </c>
      <c r="F83" s="148">
        <f t="shared" si="40"/>
        <v>0</v>
      </c>
      <c r="G83" s="147">
        <f t="shared" si="44"/>
        <v>0</v>
      </c>
      <c r="H83" s="147">
        <f t="shared" si="42"/>
        <v>0</v>
      </c>
      <c r="I83" s="148">
        <v>0</v>
      </c>
      <c r="J83" s="148">
        <f t="shared" si="43"/>
        <v>0</v>
      </c>
      <c r="K83" s="130">
        <f t="shared" si="37"/>
        <v>0</v>
      </c>
    </row>
    <row r="84" spans="1:11" x14ac:dyDescent="0.2">
      <c r="A84" s="156"/>
      <c r="B84" s="167">
        <f t="shared" si="38"/>
        <v>42370</v>
      </c>
      <c r="C84" s="167">
        <f t="shared" si="39"/>
        <v>42460</v>
      </c>
      <c r="D84" s="142">
        <f t="shared" si="35"/>
        <v>91</v>
      </c>
      <c r="E84" s="160">
        <f>VLOOKUP(C84,'FERC Interest Rate'!$A:$B,2,TRUE)</f>
        <v>3.2500000000000001E-2</v>
      </c>
      <c r="F84" s="148">
        <f t="shared" si="40"/>
        <v>0</v>
      </c>
      <c r="G84" s="147">
        <f t="shared" si="44"/>
        <v>0</v>
      </c>
      <c r="H84" s="147">
        <f t="shared" si="42"/>
        <v>0</v>
      </c>
      <c r="I84" s="148">
        <v>0</v>
      </c>
      <c r="J84" s="148">
        <f t="shared" si="43"/>
        <v>0</v>
      </c>
      <c r="K84" s="130">
        <f t="shared" si="37"/>
        <v>0</v>
      </c>
    </row>
    <row r="85" spans="1:11" x14ac:dyDescent="0.2">
      <c r="A85" s="156"/>
      <c r="B85" s="167">
        <f t="shared" si="38"/>
        <v>42461</v>
      </c>
      <c r="C85" s="167">
        <f t="shared" si="39"/>
        <v>42551</v>
      </c>
      <c r="D85" s="142">
        <f t="shared" si="35"/>
        <v>91</v>
      </c>
      <c r="E85" s="160">
        <f>VLOOKUP(C85,'FERC Interest Rate'!$A:$B,2,TRUE)</f>
        <v>3.2500000000000001E-2</v>
      </c>
      <c r="F85" s="148">
        <f t="shared" si="40"/>
        <v>0</v>
      </c>
      <c r="G85" s="147">
        <f t="shared" si="44"/>
        <v>0</v>
      </c>
      <c r="H85" s="147">
        <f t="shared" si="42"/>
        <v>0</v>
      </c>
      <c r="I85" s="148">
        <v>0</v>
      </c>
      <c r="J85" s="148">
        <f t="shared" si="43"/>
        <v>0</v>
      </c>
      <c r="K85" s="130">
        <f t="shared" si="37"/>
        <v>0</v>
      </c>
    </row>
    <row r="86" spans="1:11" x14ac:dyDescent="0.2">
      <c r="A86" s="156"/>
      <c r="B86" s="167">
        <f t="shared" si="38"/>
        <v>42552</v>
      </c>
      <c r="C86" s="167">
        <f t="shared" si="39"/>
        <v>42643</v>
      </c>
      <c r="D86" s="142">
        <f t="shared" si="35"/>
        <v>92</v>
      </c>
      <c r="E86" s="160">
        <f>VLOOKUP(C86,'FERC Interest Rate'!$A:$B,2,TRUE)</f>
        <v>4.0333330000000001E-2</v>
      </c>
      <c r="F86" s="148">
        <f t="shared" si="40"/>
        <v>0</v>
      </c>
      <c r="G86" s="147">
        <f t="shared" si="44"/>
        <v>0</v>
      </c>
      <c r="H86" s="147">
        <f t="shared" si="42"/>
        <v>0</v>
      </c>
      <c r="I86" s="148">
        <v>0</v>
      </c>
      <c r="J86" s="148">
        <f t="shared" si="43"/>
        <v>0</v>
      </c>
      <c r="K86" s="130">
        <f t="shared" si="37"/>
        <v>0</v>
      </c>
    </row>
    <row r="87" spans="1:11" x14ac:dyDescent="0.2">
      <c r="A87" s="156"/>
      <c r="B87" s="167">
        <f t="shared" si="38"/>
        <v>42644</v>
      </c>
      <c r="C87" s="167">
        <f t="shared" si="39"/>
        <v>42735</v>
      </c>
      <c r="D87" s="142">
        <f t="shared" si="35"/>
        <v>92</v>
      </c>
      <c r="E87" s="160">
        <f>VLOOKUP(C87,'FERC Interest Rate'!$A:$B,2,TRUE)</f>
        <v>4.2833329999999996E-2</v>
      </c>
      <c r="F87" s="148">
        <f t="shared" si="40"/>
        <v>0</v>
      </c>
      <c r="G87" s="147">
        <f t="shared" si="44"/>
        <v>0</v>
      </c>
      <c r="H87" s="147">
        <f t="shared" si="42"/>
        <v>0</v>
      </c>
      <c r="I87" s="148">
        <v>0</v>
      </c>
      <c r="J87" s="148">
        <f t="shared" si="43"/>
        <v>0</v>
      </c>
      <c r="K87" s="130">
        <f t="shared" si="37"/>
        <v>0</v>
      </c>
    </row>
    <row r="88" spans="1:11" x14ac:dyDescent="0.2">
      <c r="A88" s="169"/>
      <c r="B88" s="167">
        <f t="shared" si="38"/>
        <v>42736</v>
      </c>
      <c r="C88" s="167">
        <f t="shared" si="39"/>
        <v>42825</v>
      </c>
      <c r="D88" s="142">
        <f t="shared" si="35"/>
        <v>90</v>
      </c>
      <c r="E88" s="160">
        <f>VLOOKUP(C88,'FERC Interest Rate'!$A:$B,2,TRUE)</f>
        <v>4.7066670000000005E-2</v>
      </c>
      <c r="F88" s="148">
        <f t="shared" si="40"/>
        <v>0</v>
      </c>
      <c r="G88" s="147">
        <f t="shared" ref="G88:G93" si="45">F88*E88*(D88/(DATE(YEAR(C88),12,31)-DATE(YEAR(C88),1,1)+1))</f>
        <v>0</v>
      </c>
      <c r="H88" s="147">
        <f t="shared" si="42"/>
        <v>0</v>
      </c>
      <c r="I88" s="148">
        <v>0</v>
      </c>
      <c r="J88" s="148">
        <f t="shared" si="43"/>
        <v>0</v>
      </c>
      <c r="K88" s="130">
        <f t="shared" si="37"/>
        <v>0</v>
      </c>
    </row>
    <row r="89" spans="1:11" x14ac:dyDescent="0.2">
      <c r="A89" s="169"/>
      <c r="B89" s="167">
        <f t="shared" si="38"/>
        <v>42826</v>
      </c>
      <c r="C89" s="167">
        <f t="shared" si="39"/>
        <v>42916</v>
      </c>
      <c r="D89" s="142">
        <f t="shared" si="35"/>
        <v>91</v>
      </c>
      <c r="E89" s="160">
        <f>VLOOKUP(C89,'FERC Interest Rate'!$A:$B,2,TRUE)</f>
        <v>5.21E-2</v>
      </c>
      <c r="F89" s="148">
        <f t="shared" si="40"/>
        <v>0</v>
      </c>
      <c r="G89" s="147">
        <f t="shared" si="45"/>
        <v>0</v>
      </c>
      <c r="H89" s="147">
        <f t="shared" si="42"/>
        <v>0</v>
      </c>
      <c r="I89" s="148">
        <v>0</v>
      </c>
      <c r="J89" s="148">
        <f t="shared" si="43"/>
        <v>0</v>
      </c>
      <c r="K89" s="130">
        <f t="shared" si="37"/>
        <v>0</v>
      </c>
    </row>
    <row r="90" spans="1:11" x14ac:dyDescent="0.2">
      <c r="A90" s="169"/>
      <c r="B90" s="167">
        <f t="shared" si="38"/>
        <v>42917</v>
      </c>
      <c r="C90" s="167">
        <f t="shared" si="39"/>
        <v>43008</v>
      </c>
      <c r="D90" s="142">
        <f t="shared" si="35"/>
        <v>92</v>
      </c>
      <c r="E90" s="160">
        <f>VLOOKUP(C90,'FERC Interest Rate'!$A:$B,2,TRUE)</f>
        <v>5.7066670000000007E-2</v>
      </c>
      <c r="F90" s="148">
        <f t="shared" si="40"/>
        <v>0</v>
      </c>
      <c r="G90" s="147">
        <f t="shared" si="45"/>
        <v>0</v>
      </c>
      <c r="H90" s="147">
        <f t="shared" si="42"/>
        <v>0</v>
      </c>
      <c r="I90" s="148">
        <v>0</v>
      </c>
      <c r="J90" s="148">
        <f t="shared" si="43"/>
        <v>0</v>
      </c>
      <c r="K90" s="130">
        <f t="shared" si="37"/>
        <v>0</v>
      </c>
    </row>
    <row r="91" spans="1:11" x14ac:dyDescent="0.2">
      <c r="A91" s="169"/>
      <c r="B91" s="167">
        <f t="shared" si="38"/>
        <v>43009</v>
      </c>
      <c r="C91" s="167">
        <f t="shared" si="39"/>
        <v>43100</v>
      </c>
      <c r="D91" s="142">
        <f t="shared" si="35"/>
        <v>92</v>
      </c>
      <c r="E91" s="160">
        <f>VLOOKUP(C91,'FERC Interest Rate'!$A:$B,2,TRUE)</f>
        <v>6.2033329999999998E-2</v>
      </c>
      <c r="F91" s="148">
        <f t="shared" si="40"/>
        <v>0</v>
      </c>
      <c r="G91" s="147">
        <f t="shared" si="45"/>
        <v>0</v>
      </c>
      <c r="H91" s="147">
        <f t="shared" si="42"/>
        <v>0</v>
      </c>
      <c r="I91" s="148">
        <v>0</v>
      </c>
      <c r="J91" s="148">
        <f t="shared" si="43"/>
        <v>0</v>
      </c>
      <c r="K91" s="130">
        <f t="shared" si="37"/>
        <v>0</v>
      </c>
    </row>
    <row r="92" spans="1:11" x14ac:dyDescent="0.2">
      <c r="A92" s="169"/>
      <c r="B92" s="167">
        <f t="shared" si="38"/>
        <v>43101</v>
      </c>
      <c r="C92" s="167">
        <f t="shared" si="39"/>
        <v>43190</v>
      </c>
      <c r="D92" s="142">
        <f t="shared" si="35"/>
        <v>90</v>
      </c>
      <c r="E92" s="160">
        <f>VLOOKUP(C92,'FERC Interest Rate'!$A:$B,2,TRUE)</f>
        <v>6.6699999999999995E-2</v>
      </c>
      <c r="F92" s="148">
        <f t="shared" si="40"/>
        <v>0</v>
      </c>
      <c r="G92" s="147">
        <f t="shared" si="45"/>
        <v>0</v>
      </c>
      <c r="H92" s="147">
        <f t="shared" si="42"/>
        <v>0</v>
      </c>
      <c r="I92" s="148">
        <v>0</v>
      </c>
      <c r="J92" s="148">
        <f t="shared" si="43"/>
        <v>0</v>
      </c>
      <c r="K92" s="130">
        <f t="shared" si="37"/>
        <v>0</v>
      </c>
    </row>
    <row r="93" spans="1:11" x14ac:dyDescent="0.2">
      <c r="A93" s="169"/>
      <c r="B93" s="167">
        <f t="shared" si="38"/>
        <v>43191</v>
      </c>
      <c r="C93" s="167">
        <f t="shared" si="39"/>
        <v>43281</v>
      </c>
      <c r="D93" s="142">
        <f t="shared" si="35"/>
        <v>91</v>
      </c>
      <c r="E93" s="160">
        <f>VLOOKUP(C93,'FERC Interest Rate'!$A:$B,2,TRUE)</f>
        <v>6.7500000000000004E-2</v>
      </c>
      <c r="F93" s="148">
        <f t="shared" si="40"/>
        <v>0</v>
      </c>
      <c r="G93" s="147">
        <f t="shared" si="45"/>
        <v>0</v>
      </c>
      <c r="H93" s="147">
        <f t="shared" si="42"/>
        <v>0</v>
      </c>
      <c r="I93" s="148">
        <v>0</v>
      </c>
      <c r="J93" s="148">
        <f t="shared" si="43"/>
        <v>0</v>
      </c>
      <c r="K93" s="130">
        <f t="shared" si="37"/>
        <v>0</v>
      </c>
    </row>
    <row r="94" spans="1:11" x14ac:dyDescent="0.2">
      <c r="A94" s="169"/>
      <c r="B94" s="167">
        <f t="shared" si="38"/>
        <v>43282</v>
      </c>
      <c r="C94" s="167">
        <f t="shared" si="39"/>
        <v>43373</v>
      </c>
      <c r="D94" s="142">
        <f t="shared" si="35"/>
        <v>92</v>
      </c>
      <c r="E94" s="160">
        <f>VLOOKUP(C94,'FERC Interest Rate'!$A:$B,2,TRUE)</f>
        <v>6.7500000000000004E-2</v>
      </c>
      <c r="F94" s="148">
        <f t="shared" si="40"/>
        <v>0</v>
      </c>
      <c r="G94" s="147">
        <f>F94*E94*(D94/(DATE(YEAR(C94),12,31)-DATE(YEAR(C94),1,1)+1))</f>
        <v>0</v>
      </c>
      <c r="H94" s="147">
        <f t="shared" si="42"/>
        <v>0</v>
      </c>
      <c r="I94" s="148">
        <v>0</v>
      </c>
      <c r="J94" s="148">
        <f t="shared" si="43"/>
        <v>0</v>
      </c>
      <c r="K94" s="130">
        <f t="shared" si="37"/>
        <v>0</v>
      </c>
    </row>
    <row r="95" spans="1:11" x14ac:dyDescent="0.2">
      <c r="A95" s="169"/>
      <c r="B95" s="167">
        <f t="shared" si="38"/>
        <v>43374</v>
      </c>
      <c r="C95" s="167">
        <f t="shared" si="39"/>
        <v>43465</v>
      </c>
      <c r="D95" s="142">
        <f t="shared" si="35"/>
        <v>92</v>
      </c>
      <c r="E95" s="160">
        <f>VLOOKUP(C95,'FERC Interest Rate'!$A:$B,2,TRUE)</f>
        <v>6.7500000000000004E-2</v>
      </c>
      <c r="F95" s="148">
        <f t="shared" si="40"/>
        <v>0</v>
      </c>
      <c r="G95" s="147">
        <f>F95*E95*(D95/(DATE(YEAR(C95),12,31)-DATE(YEAR(C95),1,1)+1))</f>
        <v>0</v>
      </c>
      <c r="H95" s="147">
        <f t="shared" si="42"/>
        <v>0</v>
      </c>
      <c r="I95" s="148">
        <v>0</v>
      </c>
      <c r="J95" s="148">
        <f t="shared" si="43"/>
        <v>0</v>
      </c>
      <c r="K95" s="130">
        <f t="shared" si="37"/>
        <v>0</v>
      </c>
    </row>
    <row r="96" spans="1:11" ht="13.5" thickBot="1" x14ac:dyDescent="0.25">
      <c r="A96" s="129"/>
      <c r="B96" s="168"/>
      <c r="C96" s="168"/>
      <c r="D96" s="121"/>
      <c r="E96" s="122"/>
      <c r="F96" s="145"/>
      <c r="G96" s="145"/>
      <c r="H96" s="146"/>
      <c r="I96" s="123"/>
      <c r="J96" s="123"/>
      <c r="K96" s="128"/>
    </row>
  </sheetData>
  <mergeCells count="2">
    <mergeCell ref="A35:K35"/>
    <mergeCell ref="A66:K66"/>
  </mergeCells>
  <printOptions horizontalCentered="1"/>
  <pageMargins left="0.7" right="0.7" top="0.75" bottom="0.75" header="0.3" footer="0.3"/>
  <pageSetup scale="58" orientation="landscape" cellComments="asDisplayed" r:id="rId1"/>
  <headerFooter alignWithMargins="0">
    <oddHeader>&amp;RTO11 Draft Annual Update
Attachment 4
WP Schedule 22
Page &amp;P of &amp;N</oddHeader>
    <oddFooter>&amp;R&amp;A</oddFooter>
  </headerFooter>
  <rowBreaks count="1" manualBreakCount="1">
    <brk id="3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87" t="s">
        <v>18</v>
      </c>
      <c r="B1" s="3" t="s">
        <v>8</v>
      </c>
      <c r="C1" s="187" t="s">
        <v>7</v>
      </c>
      <c r="D1" s="187" t="s">
        <v>1</v>
      </c>
      <c r="E1" s="187" t="s">
        <v>24</v>
      </c>
      <c r="F1" s="3" t="s">
        <v>0</v>
      </c>
      <c r="H1" s="187"/>
    </row>
    <row r="2" spans="1:11" ht="12.75" customHeight="1" x14ac:dyDescent="0.2">
      <c r="A2" s="4">
        <v>1</v>
      </c>
      <c r="B2" s="9">
        <v>41913</v>
      </c>
      <c r="C2" s="10">
        <v>1135000</v>
      </c>
      <c r="D2" s="10">
        <v>0</v>
      </c>
      <c r="E2" s="10">
        <v>0</v>
      </c>
      <c r="F2" s="29">
        <f>SUM(C2:E2)</f>
        <v>1135000</v>
      </c>
    </row>
    <row r="3" spans="1:11" ht="12.75" customHeight="1" x14ac:dyDescent="0.2">
      <c r="A3" s="4">
        <v>2</v>
      </c>
      <c r="B3" s="137" t="s">
        <v>93</v>
      </c>
      <c r="C3" s="10">
        <v>0</v>
      </c>
      <c r="D3" s="10">
        <v>0</v>
      </c>
      <c r="E3" s="10">
        <v>0</v>
      </c>
      <c r="F3" s="29">
        <f t="shared" ref="F3:F25" si="0">SUM(C3:E3)</f>
        <v>0</v>
      </c>
      <c r="H3" s="307"/>
      <c r="I3" s="307"/>
      <c r="J3" s="307"/>
      <c r="K3" s="307"/>
    </row>
    <row r="4" spans="1:11" x14ac:dyDescent="0.2">
      <c r="A4" s="4">
        <v>3</v>
      </c>
      <c r="B4" s="137" t="s">
        <v>93</v>
      </c>
      <c r="C4" s="10">
        <v>0</v>
      </c>
      <c r="D4" s="10">
        <v>0</v>
      </c>
      <c r="E4" s="10">
        <v>0</v>
      </c>
      <c r="F4" s="29">
        <f t="shared" si="0"/>
        <v>0</v>
      </c>
      <c r="H4" s="308"/>
      <c r="I4" s="308"/>
      <c r="J4" s="308"/>
      <c r="K4" s="308"/>
    </row>
    <row r="5" spans="1:11" ht="12.75" customHeight="1" x14ac:dyDescent="0.2">
      <c r="A5" s="4">
        <v>4</v>
      </c>
      <c r="B5" s="137" t="s">
        <v>93</v>
      </c>
      <c r="C5" s="10">
        <v>0</v>
      </c>
      <c r="D5" s="10">
        <v>0</v>
      </c>
      <c r="E5" s="10">
        <v>0</v>
      </c>
      <c r="F5" s="29">
        <f t="shared" si="0"/>
        <v>0</v>
      </c>
      <c r="H5" s="197"/>
      <c r="I5" s="197"/>
      <c r="J5" s="197"/>
      <c r="K5" s="197"/>
    </row>
    <row r="6" spans="1:11" ht="12.75" customHeight="1" x14ac:dyDescent="0.2">
      <c r="A6" s="4">
        <v>5</v>
      </c>
      <c r="B6" s="137" t="s">
        <v>93</v>
      </c>
      <c r="C6" s="10">
        <v>0</v>
      </c>
      <c r="D6" s="10">
        <v>0</v>
      </c>
      <c r="E6" s="10">
        <v>0</v>
      </c>
      <c r="F6" s="29">
        <f t="shared" si="0"/>
        <v>0</v>
      </c>
      <c r="H6" s="196"/>
      <c r="I6" s="196"/>
      <c r="J6" s="196"/>
      <c r="K6" s="196"/>
    </row>
    <row r="7" spans="1:11" x14ac:dyDescent="0.2">
      <c r="A7" s="4">
        <v>6</v>
      </c>
      <c r="B7" s="137" t="s">
        <v>93</v>
      </c>
      <c r="C7" s="10">
        <v>0</v>
      </c>
      <c r="D7" s="10">
        <v>0</v>
      </c>
      <c r="E7" s="10">
        <v>0</v>
      </c>
      <c r="F7" s="29">
        <f t="shared" si="0"/>
        <v>0</v>
      </c>
      <c r="H7" s="196"/>
      <c r="I7" s="196"/>
      <c r="J7" s="196"/>
      <c r="K7" s="196"/>
    </row>
    <row r="8" spans="1:11" x14ac:dyDescent="0.2">
      <c r="A8" s="4">
        <v>7</v>
      </c>
      <c r="B8" s="137" t="s">
        <v>93</v>
      </c>
      <c r="C8" s="10">
        <v>0</v>
      </c>
      <c r="D8" s="10">
        <v>0</v>
      </c>
      <c r="E8" s="10">
        <v>0</v>
      </c>
      <c r="F8" s="29">
        <f t="shared" si="0"/>
        <v>0</v>
      </c>
      <c r="H8" s="2"/>
    </row>
    <row r="9" spans="1:11" x14ac:dyDescent="0.2">
      <c r="A9" s="4">
        <v>8</v>
      </c>
      <c r="B9" s="137" t="s">
        <v>93</v>
      </c>
      <c r="C9" s="10">
        <v>0</v>
      </c>
      <c r="D9" s="10">
        <v>0</v>
      </c>
      <c r="E9" s="10">
        <v>0</v>
      </c>
      <c r="F9" s="29">
        <f t="shared" si="0"/>
        <v>0</v>
      </c>
      <c r="H9" s="196"/>
    </row>
    <row r="10" spans="1:11" x14ac:dyDescent="0.2">
      <c r="A10" s="4">
        <v>9</v>
      </c>
      <c r="B10" s="137" t="s">
        <v>93</v>
      </c>
      <c r="C10" s="10">
        <v>0</v>
      </c>
      <c r="D10" s="10">
        <v>0</v>
      </c>
      <c r="E10" s="10">
        <v>0</v>
      </c>
      <c r="F10" s="29">
        <f t="shared" si="0"/>
        <v>0</v>
      </c>
      <c r="H10" s="196"/>
    </row>
    <row r="11" spans="1:11" x14ac:dyDescent="0.2">
      <c r="A11" s="4">
        <v>10</v>
      </c>
      <c r="B11" s="137" t="s">
        <v>93</v>
      </c>
      <c r="C11" s="10">
        <v>0</v>
      </c>
      <c r="D11" s="10">
        <v>0</v>
      </c>
      <c r="E11" s="10">
        <v>0</v>
      </c>
      <c r="F11" s="29">
        <f t="shared" si="0"/>
        <v>0</v>
      </c>
      <c r="H11" s="196"/>
    </row>
    <row r="12" spans="1:11" x14ac:dyDescent="0.2">
      <c r="A12" s="4">
        <v>11</v>
      </c>
      <c r="B12" s="137" t="s">
        <v>93</v>
      </c>
      <c r="C12" s="10">
        <v>0</v>
      </c>
      <c r="D12" s="10">
        <v>0</v>
      </c>
      <c r="E12" s="10">
        <v>0</v>
      </c>
      <c r="F12" s="29">
        <f t="shared" si="0"/>
        <v>0</v>
      </c>
      <c r="H12" s="196"/>
    </row>
    <row r="13" spans="1:11" x14ac:dyDescent="0.2">
      <c r="A13" s="4">
        <v>12</v>
      </c>
      <c r="B13" s="137" t="s">
        <v>93</v>
      </c>
      <c r="C13" s="10">
        <v>0</v>
      </c>
      <c r="D13" s="10">
        <v>0</v>
      </c>
      <c r="E13" s="10">
        <v>0</v>
      </c>
      <c r="F13" s="29">
        <f t="shared" si="0"/>
        <v>0</v>
      </c>
      <c r="H13" s="196"/>
    </row>
    <row r="14" spans="1:11" x14ac:dyDescent="0.2">
      <c r="A14" s="4">
        <v>13</v>
      </c>
      <c r="B14" s="137" t="s">
        <v>93</v>
      </c>
      <c r="C14" s="10">
        <v>0</v>
      </c>
      <c r="D14" s="10">
        <v>0</v>
      </c>
      <c r="E14" s="10">
        <v>0</v>
      </c>
      <c r="F14" s="29">
        <f t="shared" si="0"/>
        <v>0</v>
      </c>
      <c r="H14" s="196"/>
    </row>
    <row r="15" spans="1:11" x14ac:dyDescent="0.2">
      <c r="A15" s="4">
        <v>14</v>
      </c>
      <c r="B15" s="137" t="s">
        <v>93</v>
      </c>
      <c r="C15" s="10">
        <v>0</v>
      </c>
      <c r="D15" s="10">
        <v>0</v>
      </c>
      <c r="E15" s="10">
        <v>0</v>
      </c>
      <c r="F15" s="29">
        <f t="shared" si="0"/>
        <v>0</v>
      </c>
      <c r="H15" s="64"/>
    </row>
    <row r="16" spans="1:11"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87" t="s">
        <v>0</v>
      </c>
      <c r="C26" s="57">
        <f>SUM(C2:C25)</f>
        <v>1135000</v>
      </c>
      <c r="D26" s="57">
        <f>SUM(D2:D25)</f>
        <v>0</v>
      </c>
      <c r="E26" s="57">
        <f>SUM(E2:E25)</f>
        <v>0</v>
      </c>
      <c r="F26" s="57">
        <f>SUM(F2:F25)</f>
        <v>1135000</v>
      </c>
    </row>
    <row r="27" spans="1:11" x14ac:dyDescent="0.2">
      <c r="B27" s="187"/>
      <c r="C27" s="57"/>
      <c r="D27" s="57"/>
      <c r="E27" s="57"/>
      <c r="F27" s="57"/>
    </row>
    <row r="28" spans="1:11" x14ac:dyDescent="0.2">
      <c r="A28" s="187" t="s">
        <v>90</v>
      </c>
      <c r="B28" s="137" t="s">
        <v>93</v>
      </c>
      <c r="C28" s="30">
        <v>0</v>
      </c>
      <c r="D28" s="30">
        <v>0</v>
      </c>
      <c r="E28" s="30">
        <v>0</v>
      </c>
      <c r="F28" s="57">
        <f>SUM(C28:E28)</f>
        <v>0</v>
      </c>
    </row>
    <row r="29" spans="1:11" x14ac:dyDescent="0.2">
      <c r="A29" s="187" t="s">
        <v>91</v>
      </c>
      <c r="B29" s="137" t="s">
        <v>93</v>
      </c>
      <c r="C29" s="30">
        <v>0</v>
      </c>
      <c r="D29" s="30">
        <v>0</v>
      </c>
      <c r="E29" s="30">
        <v>0</v>
      </c>
      <c r="F29" s="57">
        <f>SUM(C29:E29)</f>
        <v>0</v>
      </c>
    </row>
    <row r="30" spans="1:11" x14ac:dyDescent="0.2">
      <c r="B30" s="187"/>
      <c r="C30" s="57"/>
      <c r="D30" s="57"/>
      <c r="E30" s="57"/>
      <c r="F30" s="57"/>
    </row>
    <row r="31" spans="1:11" x14ac:dyDescent="0.2">
      <c r="C31" s="187" t="s">
        <v>43</v>
      </c>
      <c r="D31" s="187" t="s">
        <v>42</v>
      </c>
      <c r="G31"/>
      <c r="H31"/>
      <c r="I31"/>
      <c r="J31"/>
      <c r="K31"/>
    </row>
    <row r="32" spans="1:11" x14ac:dyDescent="0.2">
      <c r="B32" s="186" t="s">
        <v>26</v>
      </c>
      <c r="C32" s="188">
        <v>41950</v>
      </c>
      <c r="D32" s="188">
        <v>41950</v>
      </c>
      <c r="G32"/>
      <c r="H32"/>
      <c r="I32"/>
      <c r="J32"/>
      <c r="K32"/>
    </row>
    <row r="33" spans="1:11" x14ac:dyDescent="0.2">
      <c r="B33" s="186" t="s">
        <v>84</v>
      </c>
      <c r="C33" s="188">
        <v>41968</v>
      </c>
      <c r="D33" s="188">
        <v>41956</v>
      </c>
      <c r="G33"/>
      <c r="H33"/>
      <c r="I33"/>
      <c r="J33"/>
      <c r="K33"/>
    </row>
    <row r="34" spans="1:11" ht="13.5" thickBot="1" x14ac:dyDescent="0.25">
      <c r="B34" s="186"/>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266"/>
      <c r="B37" s="267">
        <f>$D$32</f>
        <v>41950</v>
      </c>
      <c r="C37" s="267">
        <f>DATE(YEAR(B37),IF(MONTH(B37)&lt;=3,3,IF(MONTH(B37)&lt;=6,6,IF(MONTH(B37)&lt;=9,9,12))),IF(OR(MONTH(B37)&lt;=3,MONTH(B37)&gt;=10),31,30))</f>
        <v>42004</v>
      </c>
      <c r="D37" s="268">
        <f>C37-B37+1</f>
        <v>55</v>
      </c>
      <c r="E37" s="259">
        <f>VLOOKUP(C37,'FERC Interest Rate'!$A:$B,2,TRUE)</f>
        <v>3.2500000000000001E-2</v>
      </c>
      <c r="F37" s="254">
        <f>$C$26</f>
        <v>1135000</v>
      </c>
      <c r="G37" s="273">
        <v>0</v>
      </c>
      <c r="H37" s="147"/>
      <c r="I37" s="254">
        <f>F37*E37*(D37/(DATE(YEAR(C37),12,31)-DATE(YEAR(C37),1,1)+1))</f>
        <v>5558.3904109589039</v>
      </c>
      <c r="J37" s="148"/>
      <c r="K37" s="255">
        <f>F37+I37-H37-J37</f>
        <v>1140558.3904109588</v>
      </c>
    </row>
    <row r="38" spans="1:11" x14ac:dyDescent="0.2">
      <c r="A38" s="156"/>
      <c r="B38" s="167">
        <f t="shared" ref="B38:B39" si="1">C37+1</f>
        <v>42005</v>
      </c>
      <c r="C38" s="167">
        <f t="shared" ref="C38:C56" si="2">EOMONTH(C37,3)</f>
        <v>42094</v>
      </c>
      <c r="D38" s="142">
        <f t="shared" ref="D38:D39" si="3">C38-B38+1</f>
        <v>90</v>
      </c>
      <c r="E38" s="160">
        <f>VLOOKUP(C38,'FERC Interest Rate'!$A:$B,2,TRUE)</f>
        <v>3.2500000000000001E-2</v>
      </c>
      <c r="F38" s="148">
        <f t="shared" ref="F38:F39" si="4">K37</f>
        <v>1140558.3904109588</v>
      </c>
      <c r="G38" s="147">
        <f t="shared" ref="G38" si="5">F38*E38*(D38/(DATE(YEAR(C38),12,31)-DATE(YEAR(C38),1,1)+1))</f>
        <v>9140.0912108275461</v>
      </c>
      <c r="H38" s="147"/>
      <c r="I38" s="148">
        <v>0</v>
      </c>
      <c r="J38" s="148"/>
      <c r="K38" s="130">
        <f>F38+I38-H38-J38</f>
        <v>1140558.3904109588</v>
      </c>
    </row>
    <row r="39" spans="1:11" x14ac:dyDescent="0.2">
      <c r="A39" s="156"/>
      <c r="B39" s="167">
        <f t="shared" si="1"/>
        <v>42095</v>
      </c>
      <c r="C39" s="167">
        <f t="shared" si="2"/>
        <v>42185</v>
      </c>
      <c r="D39" s="142">
        <f t="shared" si="3"/>
        <v>91</v>
      </c>
      <c r="E39" s="160">
        <f>VLOOKUP(C39,'FERC Interest Rate'!$A:$B,2,TRUE)</f>
        <v>3.2500000000000001E-2</v>
      </c>
      <c r="F39" s="148">
        <f t="shared" si="4"/>
        <v>1140558.3904109588</v>
      </c>
      <c r="G39" s="147">
        <f>F39*E39*(D39/(DATE(YEAR(C39),12,31)-DATE(YEAR(C39),1,1)+1))</f>
        <v>9241.6477798367414</v>
      </c>
      <c r="H39" s="147">
        <f>($C$26/20)*3</f>
        <v>170250</v>
      </c>
      <c r="I39" s="148">
        <v>0</v>
      </c>
      <c r="J39" s="148">
        <f>(SUM($I$37:$I$56)/20)*3</f>
        <v>833.75856164383549</v>
      </c>
      <c r="K39" s="130">
        <f t="shared" ref="K39" si="6">F39+I39-H39-J39</f>
        <v>969474.6318493149</v>
      </c>
    </row>
    <row r="40" spans="1:11" x14ac:dyDescent="0.2">
      <c r="A40" s="156"/>
      <c r="B40" s="167">
        <f t="shared" ref="B40:B41" si="7">C39+1</f>
        <v>42186</v>
      </c>
      <c r="C40" s="167">
        <f t="shared" si="2"/>
        <v>42277</v>
      </c>
      <c r="D40" s="142">
        <f t="shared" ref="D40:D41" si="8">C40-B40+1</f>
        <v>92</v>
      </c>
      <c r="E40" s="160">
        <f>VLOOKUP(C40,'FERC Interest Rate'!$A:$B,2,TRUE)</f>
        <v>3.2500000000000001E-2</v>
      </c>
      <c r="F40" s="148">
        <f t="shared" ref="F40:F41" si="9">K39</f>
        <v>969474.6318493149</v>
      </c>
      <c r="G40" s="147">
        <f t="shared" ref="G40:G41" si="10">F40*E40*(D40/(DATE(YEAR(C40),12,31)-DATE(YEAR(C40),1,1)+1))</f>
        <v>7941.7236965190459</v>
      </c>
      <c r="H40" s="147">
        <f t="shared" ref="H40:H41" si="11">$C$26/20</f>
        <v>56750</v>
      </c>
      <c r="I40" s="148">
        <v>0</v>
      </c>
      <c r="J40" s="148">
        <f>SUM($I$37:$I$56)/20</f>
        <v>277.91952054794518</v>
      </c>
      <c r="K40" s="130">
        <f t="shared" ref="K40:K41" si="12">F40+I40-H40-J40</f>
        <v>912446.71232876694</v>
      </c>
    </row>
    <row r="41" spans="1:11" x14ac:dyDescent="0.2">
      <c r="A41" s="156"/>
      <c r="B41" s="167">
        <f t="shared" si="7"/>
        <v>42278</v>
      </c>
      <c r="C41" s="167">
        <f t="shared" si="2"/>
        <v>42369</v>
      </c>
      <c r="D41" s="142">
        <f t="shared" si="8"/>
        <v>92</v>
      </c>
      <c r="E41" s="160">
        <f>VLOOKUP(C41,'FERC Interest Rate'!$A:$B,2,TRUE)</f>
        <v>3.2500000000000001E-2</v>
      </c>
      <c r="F41" s="148">
        <f t="shared" si="9"/>
        <v>912446.71232876694</v>
      </c>
      <c r="G41" s="147">
        <f t="shared" si="10"/>
        <v>7474.563479076749</v>
      </c>
      <c r="H41" s="147">
        <f t="shared" si="11"/>
        <v>56750</v>
      </c>
      <c r="I41" s="148">
        <v>0</v>
      </c>
      <c r="J41" s="148">
        <f t="shared" ref="J41:J56" si="13">SUM($I$37:$I$56)/20</f>
        <v>277.91952054794518</v>
      </c>
      <c r="K41" s="130">
        <f t="shared" si="12"/>
        <v>855418.79280821898</v>
      </c>
    </row>
    <row r="42" spans="1:11" x14ac:dyDescent="0.2">
      <c r="A42" s="156"/>
      <c r="B42" s="167">
        <f t="shared" ref="B42:B56" si="14">C41+1</f>
        <v>42370</v>
      </c>
      <c r="C42" s="167">
        <f t="shared" si="2"/>
        <v>42460</v>
      </c>
      <c r="D42" s="142">
        <f t="shared" ref="D42:D56" si="15">C42-B42+1</f>
        <v>91</v>
      </c>
      <c r="E42" s="160">
        <f>VLOOKUP(C42,'FERC Interest Rate'!$A:$B,2,TRUE)</f>
        <v>3.2500000000000001E-2</v>
      </c>
      <c r="F42" s="148">
        <f t="shared" ref="F42:F56" si="16">K41</f>
        <v>855418.79280821898</v>
      </c>
      <c r="G42" s="147">
        <f t="shared" ref="G42:G56" si="17">F42*E42*(D42/(DATE(YEAR(C42),12,31)-DATE(YEAR(C42),1,1)+1))</f>
        <v>6912.298032050021</v>
      </c>
      <c r="H42" s="147">
        <f t="shared" ref="H42:H56" si="18">$C$26/20</f>
        <v>56750</v>
      </c>
      <c r="I42" s="148">
        <v>0</v>
      </c>
      <c r="J42" s="148">
        <f t="shared" si="13"/>
        <v>277.91952054794518</v>
      </c>
      <c r="K42" s="130">
        <f t="shared" ref="K42:K56" si="19">F42+I42-H42-J42</f>
        <v>798390.87328767101</v>
      </c>
    </row>
    <row r="43" spans="1:11" x14ac:dyDescent="0.2">
      <c r="A43" s="156"/>
      <c r="B43" s="167">
        <f t="shared" si="14"/>
        <v>42461</v>
      </c>
      <c r="C43" s="167">
        <f t="shared" si="2"/>
        <v>42551</v>
      </c>
      <c r="D43" s="142">
        <f t="shared" si="15"/>
        <v>91</v>
      </c>
      <c r="E43" s="160">
        <f>VLOOKUP(C43,'FERC Interest Rate'!$A:$B,2,TRUE)</f>
        <v>3.2500000000000001E-2</v>
      </c>
      <c r="F43" s="148">
        <f t="shared" si="16"/>
        <v>798390.87328767101</v>
      </c>
      <c r="G43" s="147">
        <f t="shared" si="17"/>
        <v>6451.4781632466857</v>
      </c>
      <c r="H43" s="147">
        <f t="shared" si="18"/>
        <v>56750</v>
      </c>
      <c r="I43" s="148">
        <v>0</v>
      </c>
      <c r="J43" s="148">
        <f t="shared" si="13"/>
        <v>277.91952054794518</v>
      </c>
      <c r="K43" s="130">
        <f t="shared" si="19"/>
        <v>741362.95376712305</v>
      </c>
    </row>
    <row r="44" spans="1:11" x14ac:dyDescent="0.2">
      <c r="A44" s="156"/>
      <c r="B44" s="167">
        <f t="shared" si="14"/>
        <v>42552</v>
      </c>
      <c r="C44" s="167">
        <f t="shared" si="2"/>
        <v>42643</v>
      </c>
      <c r="D44" s="142">
        <f t="shared" si="15"/>
        <v>92</v>
      </c>
      <c r="E44" s="160">
        <f>VLOOKUP(C44,'FERC Interest Rate'!$A:$B,2,TRUE)</f>
        <v>4.0333330000000001E-2</v>
      </c>
      <c r="F44" s="148">
        <f t="shared" si="16"/>
        <v>741362.95376712305</v>
      </c>
      <c r="G44" s="147">
        <f t="shared" si="17"/>
        <v>7516.2583964314172</v>
      </c>
      <c r="H44" s="147">
        <f t="shared" si="18"/>
        <v>56750</v>
      </c>
      <c r="I44" s="148">
        <v>0</v>
      </c>
      <c r="J44" s="148">
        <f t="shared" si="13"/>
        <v>277.91952054794518</v>
      </c>
      <c r="K44" s="130">
        <f t="shared" si="19"/>
        <v>684335.03424657509</v>
      </c>
    </row>
    <row r="45" spans="1:11" x14ac:dyDescent="0.2">
      <c r="A45" s="156"/>
      <c r="B45" s="167">
        <f t="shared" si="14"/>
        <v>42644</v>
      </c>
      <c r="C45" s="167">
        <f t="shared" si="2"/>
        <v>42735</v>
      </c>
      <c r="D45" s="142">
        <f t="shared" si="15"/>
        <v>92</v>
      </c>
      <c r="E45" s="160">
        <f>VLOOKUP(C45,'FERC Interest Rate'!$A:$B,2,TRUE)</f>
        <v>4.2833329999999996E-2</v>
      </c>
      <c r="F45" s="148">
        <f t="shared" si="16"/>
        <v>684335.03424657509</v>
      </c>
      <c r="G45" s="147">
        <f t="shared" si="17"/>
        <v>7368.1312798495246</v>
      </c>
      <c r="H45" s="147">
        <f t="shared" si="18"/>
        <v>56750</v>
      </c>
      <c r="I45" s="148">
        <v>0</v>
      </c>
      <c r="J45" s="148">
        <f t="shared" si="13"/>
        <v>277.91952054794518</v>
      </c>
      <c r="K45" s="130">
        <f t="shared" si="19"/>
        <v>627307.11472602712</v>
      </c>
    </row>
    <row r="46" spans="1:11" x14ac:dyDescent="0.2">
      <c r="A46" s="156"/>
      <c r="B46" s="167">
        <f t="shared" si="14"/>
        <v>42736</v>
      </c>
      <c r="C46" s="167">
        <f t="shared" si="2"/>
        <v>42825</v>
      </c>
      <c r="D46" s="142">
        <f t="shared" si="15"/>
        <v>90</v>
      </c>
      <c r="E46" s="160">
        <f>VLOOKUP(C46,'FERC Interest Rate'!$A:$B,2,TRUE)</f>
        <v>4.7066670000000005E-2</v>
      </c>
      <c r="F46" s="148">
        <f t="shared" si="16"/>
        <v>627307.11472602712</v>
      </c>
      <c r="G46" s="147">
        <f t="shared" si="17"/>
        <v>7280.2003456755765</v>
      </c>
      <c r="H46" s="147">
        <f t="shared" si="18"/>
        <v>56750</v>
      </c>
      <c r="I46" s="148">
        <v>0</v>
      </c>
      <c r="J46" s="148">
        <f t="shared" si="13"/>
        <v>277.91952054794518</v>
      </c>
      <c r="K46" s="130">
        <f t="shared" si="19"/>
        <v>570279.19520547916</v>
      </c>
    </row>
    <row r="47" spans="1:11" x14ac:dyDescent="0.2">
      <c r="A47" s="156"/>
      <c r="B47" s="167">
        <f t="shared" si="14"/>
        <v>42826</v>
      </c>
      <c r="C47" s="167">
        <f t="shared" si="2"/>
        <v>42916</v>
      </c>
      <c r="D47" s="142">
        <f t="shared" si="15"/>
        <v>91</v>
      </c>
      <c r="E47" s="160">
        <f>VLOOKUP(C47,'FERC Interest Rate'!$A:$B,2,TRUE)</f>
        <v>5.21E-2</v>
      </c>
      <c r="F47" s="148">
        <f t="shared" si="16"/>
        <v>570279.19520547916</v>
      </c>
      <c r="G47" s="147">
        <f t="shared" si="17"/>
        <v>7407.5361435306777</v>
      </c>
      <c r="H47" s="147">
        <f t="shared" si="18"/>
        <v>56750</v>
      </c>
      <c r="I47" s="148">
        <v>0</v>
      </c>
      <c r="J47" s="148">
        <f t="shared" si="13"/>
        <v>277.91952054794518</v>
      </c>
      <c r="K47" s="130">
        <f t="shared" si="19"/>
        <v>513251.2756849312</v>
      </c>
    </row>
    <row r="48" spans="1:11" x14ac:dyDescent="0.2">
      <c r="A48" s="156"/>
      <c r="B48" s="167">
        <f t="shared" si="14"/>
        <v>42917</v>
      </c>
      <c r="C48" s="167">
        <f t="shared" si="2"/>
        <v>43008</v>
      </c>
      <c r="D48" s="142">
        <f t="shared" si="15"/>
        <v>92</v>
      </c>
      <c r="E48" s="160">
        <f>VLOOKUP(C48,'FERC Interest Rate'!$A:$B,2,TRUE)</f>
        <v>5.7066670000000007E-2</v>
      </c>
      <c r="F48" s="148">
        <f t="shared" si="16"/>
        <v>513251.2756849312</v>
      </c>
      <c r="G48" s="147">
        <f t="shared" si="17"/>
        <v>7382.5692828667725</v>
      </c>
      <c r="H48" s="147">
        <f t="shared" si="18"/>
        <v>56750</v>
      </c>
      <c r="I48" s="148">
        <v>0</v>
      </c>
      <c r="J48" s="148">
        <f t="shared" si="13"/>
        <v>277.91952054794518</v>
      </c>
      <c r="K48" s="130">
        <f t="shared" si="19"/>
        <v>456223.35616438324</v>
      </c>
    </row>
    <row r="49" spans="1:11" x14ac:dyDescent="0.2">
      <c r="A49" s="156"/>
      <c r="B49" s="167">
        <f t="shared" si="14"/>
        <v>43009</v>
      </c>
      <c r="C49" s="167">
        <f t="shared" si="2"/>
        <v>43100</v>
      </c>
      <c r="D49" s="142">
        <f t="shared" si="15"/>
        <v>92</v>
      </c>
      <c r="E49" s="160">
        <f>VLOOKUP(C49,'FERC Interest Rate'!$A:$B,2,TRUE)</f>
        <v>6.2033329999999998E-2</v>
      </c>
      <c r="F49" s="148">
        <f t="shared" si="16"/>
        <v>456223.35616438324</v>
      </c>
      <c r="G49" s="147">
        <f t="shared" si="17"/>
        <v>7133.4163523617817</v>
      </c>
      <c r="H49" s="147">
        <f t="shared" si="18"/>
        <v>56750</v>
      </c>
      <c r="I49" s="148">
        <v>0</v>
      </c>
      <c r="J49" s="148">
        <f t="shared" si="13"/>
        <v>277.91952054794518</v>
      </c>
      <c r="K49" s="130">
        <f t="shared" si="19"/>
        <v>399195.43664383527</v>
      </c>
    </row>
    <row r="50" spans="1:11" x14ac:dyDescent="0.2">
      <c r="A50" s="156"/>
      <c r="B50" s="167">
        <f t="shared" si="14"/>
        <v>43101</v>
      </c>
      <c r="C50" s="167">
        <f t="shared" si="2"/>
        <v>43190</v>
      </c>
      <c r="D50" s="142">
        <f t="shared" si="15"/>
        <v>90</v>
      </c>
      <c r="E50" s="160">
        <f>VLOOKUP(C50,'FERC Interest Rate'!$A:$B,2,TRUE)</f>
        <v>6.6699999999999995E-2</v>
      </c>
      <c r="F50" s="148">
        <f t="shared" si="16"/>
        <v>399195.43664383527</v>
      </c>
      <c r="G50" s="147">
        <f t="shared" si="17"/>
        <v>6565.3978251313511</v>
      </c>
      <c r="H50" s="147">
        <f t="shared" si="18"/>
        <v>56750</v>
      </c>
      <c r="I50" s="148">
        <v>0</v>
      </c>
      <c r="J50" s="148">
        <f t="shared" si="13"/>
        <v>277.91952054794518</v>
      </c>
      <c r="K50" s="130">
        <f t="shared" si="19"/>
        <v>342167.51712328731</v>
      </c>
    </row>
    <row r="51" spans="1:11" x14ac:dyDescent="0.2">
      <c r="A51" s="156"/>
      <c r="B51" s="167">
        <f t="shared" si="14"/>
        <v>43191</v>
      </c>
      <c r="C51" s="167">
        <f t="shared" si="2"/>
        <v>43281</v>
      </c>
      <c r="D51" s="142">
        <f t="shared" si="15"/>
        <v>91</v>
      </c>
      <c r="E51" s="160">
        <f>VLOOKUP(C51,'FERC Interest Rate'!$A:$B,2,TRUE)</f>
        <v>6.7500000000000004E-2</v>
      </c>
      <c r="F51" s="148">
        <f t="shared" si="16"/>
        <v>342167.51712328731</v>
      </c>
      <c r="G51" s="147">
        <f t="shared" si="17"/>
        <v>5758.2574628213497</v>
      </c>
      <c r="H51" s="147">
        <f t="shared" si="18"/>
        <v>56750</v>
      </c>
      <c r="I51" s="148">
        <v>0</v>
      </c>
      <c r="J51" s="148">
        <f t="shared" si="13"/>
        <v>277.91952054794518</v>
      </c>
      <c r="K51" s="130">
        <f t="shared" si="19"/>
        <v>285139.59760273935</v>
      </c>
    </row>
    <row r="52" spans="1:11" x14ac:dyDescent="0.2">
      <c r="A52" s="156"/>
      <c r="B52" s="167">
        <f t="shared" si="14"/>
        <v>43282</v>
      </c>
      <c r="C52" s="167">
        <f t="shared" si="2"/>
        <v>43373</v>
      </c>
      <c r="D52" s="142">
        <f t="shared" si="15"/>
        <v>92</v>
      </c>
      <c r="E52" s="160">
        <f>VLOOKUP(C52,'FERC Interest Rate'!$A:$B,2,TRUE)</f>
        <v>6.7500000000000004E-2</v>
      </c>
      <c r="F52" s="148">
        <f t="shared" si="16"/>
        <v>285139.59760273935</v>
      </c>
      <c r="G52" s="147">
        <f t="shared" si="17"/>
        <v>4851.2791811315383</v>
      </c>
      <c r="H52" s="147">
        <f t="shared" si="18"/>
        <v>56750</v>
      </c>
      <c r="I52" s="148">
        <v>0</v>
      </c>
      <c r="J52" s="148">
        <f t="shared" si="13"/>
        <v>277.91952054794518</v>
      </c>
      <c r="K52" s="130">
        <f t="shared" si="19"/>
        <v>228111.67808219141</v>
      </c>
    </row>
    <row r="53" spans="1:11" x14ac:dyDescent="0.2">
      <c r="A53" s="156"/>
      <c r="B53" s="167">
        <f t="shared" si="14"/>
        <v>43374</v>
      </c>
      <c r="C53" s="167">
        <f t="shared" si="2"/>
        <v>43465</v>
      </c>
      <c r="D53" s="142">
        <f t="shared" si="15"/>
        <v>92</v>
      </c>
      <c r="E53" s="160">
        <f>VLOOKUP(C53,'FERC Interest Rate'!$A:$B,2,TRUE)</f>
        <v>6.7500000000000004E-2</v>
      </c>
      <c r="F53" s="148">
        <f t="shared" si="16"/>
        <v>228111.67808219141</v>
      </c>
      <c r="G53" s="147">
        <f t="shared" si="17"/>
        <v>3881.0233449052303</v>
      </c>
      <c r="H53" s="147">
        <f t="shared" si="18"/>
        <v>56750</v>
      </c>
      <c r="I53" s="148">
        <v>0</v>
      </c>
      <c r="J53" s="148">
        <f t="shared" si="13"/>
        <v>277.91952054794518</v>
      </c>
      <c r="K53" s="130">
        <f t="shared" si="19"/>
        <v>171083.75856164348</v>
      </c>
    </row>
    <row r="54" spans="1:11" x14ac:dyDescent="0.2">
      <c r="A54" s="156"/>
      <c r="B54" s="167">
        <f t="shared" si="14"/>
        <v>43466</v>
      </c>
      <c r="C54" s="167">
        <f t="shared" si="2"/>
        <v>43555</v>
      </c>
      <c r="D54" s="142">
        <f t="shared" si="15"/>
        <v>90</v>
      </c>
      <c r="E54" s="160">
        <f>VLOOKUP(C54,'FERC Interest Rate'!$A:$B,2,TRUE)</f>
        <v>6.7500000000000004E-2</v>
      </c>
      <c r="F54" s="148">
        <f t="shared" si="16"/>
        <v>171083.75856164348</v>
      </c>
      <c r="G54" s="147">
        <f t="shared" si="17"/>
        <v>2847.489954142422</v>
      </c>
      <c r="H54" s="147">
        <f t="shared" si="18"/>
        <v>56750</v>
      </c>
      <c r="I54" s="148">
        <v>0</v>
      </c>
      <c r="J54" s="148">
        <f t="shared" si="13"/>
        <v>277.91952054794518</v>
      </c>
      <c r="K54" s="130">
        <f t="shared" si="19"/>
        <v>114055.83904109553</v>
      </c>
    </row>
    <row r="55" spans="1:11" x14ac:dyDescent="0.2">
      <c r="A55" s="156"/>
      <c r="B55" s="167">
        <f t="shared" si="14"/>
        <v>43556</v>
      </c>
      <c r="C55" s="167">
        <f t="shared" si="2"/>
        <v>43646</v>
      </c>
      <c r="D55" s="142">
        <f t="shared" si="15"/>
        <v>91</v>
      </c>
      <c r="E55" s="160">
        <f>VLOOKUP(C55,'FERC Interest Rate'!$A:$B,2,TRUE)</f>
        <v>6.7500000000000004E-2</v>
      </c>
      <c r="F55" s="148">
        <f t="shared" si="16"/>
        <v>114055.83904109553</v>
      </c>
      <c r="G55" s="147">
        <f t="shared" si="17"/>
        <v>1919.4191542737792</v>
      </c>
      <c r="H55" s="147">
        <f t="shared" si="18"/>
        <v>56750</v>
      </c>
      <c r="I55" s="148">
        <v>0</v>
      </c>
      <c r="J55" s="148">
        <f t="shared" si="13"/>
        <v>277.91952054794518</v>
      </c>
      <c r="K55" s="130">
        <f t="shared" si="19"/>
        <v>57027.919520547584</v>
      </c>
    </row>
    <row r="56" spans="1:11" x14ac:dyDescent="0.2">
      <c r="A56" s="156"/>
      <c r="B56" s="167">
        <f t="shared" si="14"/>
        <v>43647</v>
      </c>
      <c r="C56" s="167">
        <f t="shared" si="2"/>
        <v>43738</v>
      </c>
      <c r="D56" s="142">
        <f t="shared" si="15"/>
        <v>92</v>
      </c>
      <c r="E56" s="160">
        <f>VLOOKUP(C56,'FERC Interest Rate'!$A:$B,2,TRUE)</f>
        <v>6.7500000000000004E-2</v>
      </c>
      <c r="F56" s="148">
        <f t="shared" si="16"/>
        <v>57027.919520547584</v>
      </c>
      <c r="G56" s="147">
        <f t="shared" si="17"/>
        <v>970.2558362263029</v>
      </c>
      <c r="H56" s="147">
        <f t="shared" si="18"/>
        <v>56750</v>
      </c>
      <c r="I56" s="148">
        <v>0</v>
      </c>
      <c r="J56" s="148">
        <f t="shared" si="13"/>
        <v>277.91952054794518</v>
      </c>
      <c r="K56" s="130">
        <f t="shared" si="19"/>
        <v>-3.6078517950954847E-10</v>
      </c>
    </row>
    <row r="57" spans="1:11" ht="13.5" thickBot="1" x14ac:dyDescent="0.25">
      <c r="A57" s="129"/>
      <c r="B57" s="144"/>
      <c r="C57" s="144"/>
      <c r="D57" s="121"/>
      <c r="E57" s="122"/>
      <c r="F57" s="145"/>
      <c r="G57" s="145"/>
      <c r="H57" s="146">
        <f>SUM(H39:H56)</f>
        <v>1135000</v>
      </c>
      <c r="I57" s="123">
        <f>SUM(I37:I56)</f>
        <v>5558.3904109589039</v>
      </c>
      <c r="J57" s="123">
        <f>SUM(J39:J56)</f>
        <v>5558.3904109589039</v>
      </c>
      <c r="K57" s="128"/>
    </row>
    <row r="58" spans="1:11" x14ac:dyDescent="0.2">
      <c r="A58" s="5"/>
      <c r="B58" s="41"/>
      <c r="C58" s="41"/>
      <c r="D58" s="42"/>
      <c r="E58" s="43"/>
      <c r="F58" s="126"/>
      <c r="G58" s="126"/>
      <c r="H58" s="58"/>
      <c r="I58" s="58"/>
      <c r="J58" s="44"/>
    </row>
    <row r="59" spans="1:11" ht="13.5" thickBot="1" x14ac:dyDescent="0.25"/>
    <row r="60" spans="1:11" ht="13.5" thickBot="1" x14ac:dyDescent="0.25">
      <c r="A60" s="304" t="s">
        <v>71</v>
      </c>
      <c r="B60" s="305"/>
      <c r="C60" s="305"/>
      <c r="D60" s="305"/>
      <c r="E60" s="305"/>
      <c r="F60" s="305"/>
      <c r="G60" s="305"/>
      <c r="H60" s="305"/>
      <c r="I60" s="305"/>
      <c r="J60" s="305"/>
      <c r="K60" s="306"/>
    </row>
    <row r="61" spans="1:11" ht="51.75" thickBot="1" x14ac:dyDescent="0.25">
      <c r="A61" s="163" t="s">
        <v>9</v>
      </c>
      <c r="B61" s="164" t="s">
        <v>10</v>
      </c>
      <c r="C61" s="164" t="s">
        <v>11</v>
      </c>
      <c r="D61" s="164" t="s">
        <v>12</v>
      </c>
      <c r="E61" s="164" t="s">
        <v>13</v>
      </c>
      <c r="F61" s="164" t="s">
        <v>14</v>
      </c>
      <c r="G61" s="164" t="s">
        <v>32</v>
      </c>
      <c r="H61" s="164" t="s">
        <v>16</v>
      </c>
      <c r="I61" s="164" t="s">
        <v>85</v>
      </c>
      <c r="J61" s="164" t="s">
        <v>33</v>
      </c>
      <c r="K61" s="165" t="s">
        <v>15</v>
      </c>
    </row>
    <row r="62" spans="1:11" x14ac:dyDescent="0.2">
      <c r="A62" s="157"/>
      <c r="B62" s="166">
        <f>$B$2</f>
        <v>41913</v>
      </c>
      <c r="C62" s="166">
        <f>DATE(YEAR(B62),IF(MONTH(B62)&lt;=3,3,IF(MONTH(B62)&lt;=6,6,IF(MONTH(B62)&lt;=9,9,12))),IF(OR(MONTH(B62)&lt;=3,MONTH(B62)&gt;=10),31,30))</f>
        <v>42004</v>
      </c>
      <c r="D62" s="159">
        <f>C62-B62+1</f>
        <v>92</v>
      </c>
      <c r="E62" s="160">
        <f>VLOOKUP(C62,'FERC Interest Rate'!$A:$B,2,TRUE)</f>
        <v>3.2500000000000001E-2</v>
      </c>
      <c r="F62" s="161">
        <f>$E$2</f>
        <v>0</v>
      </c>
      <c r="G62" s="147">
        <v>0</v>
      </c>
      <c r="H62" s="162">
        <v>0</v>
      </c>
      <c r="I62" s="161">
        <f>F62*E62*(D62/(DATE(YEAR(C62),12,31)-DATE(YEAR(C62),1,1)+1))</f>
        <v>0</v>
      </c>
      <c r="J62" s="161">
        <v>0</v>
      </c>
      <c r="K62" s="130">
        <f>F62+I62-H62-J62</f>
        <v>0</v>
      </c>
    </row>
    <row r="63" spans="1:11" x14ac:dyDescent="0.2">
      <c r="A63" s="156"/>
      <c r="B63" s="167">
        <f>C62+1</f>
        <v>42005</v>
      </c>
      <c r="C63" s="167">
        <f>EOMONTH(C62,3)</f>
        <v>42094</v>
      </c>
      <c r="D63" s="142">
        <f t="shared" ref="D63:D89" si="20">C63-B63+1</f>
        <v>90</v>
      </c>
      <c r="E63" s="160">
        <f>VLOOKUP(C63,'FERC Interest Rate'!$A:$B,2,TRUE)</f>
        <v>3.2500000000000001E-2</v>
      </c>
      <c r="F63" s="148">
        <f>K62</f>
        <v>0</v>
      </c>
      <c r="G63" s="147">
        <v>0</v>
      </c>
      <c r="H63" s="147">
        <v>0</v>
      </c>
      <c r="I63" s="161">
        <f t="shared" ref="I63:I69" si="21">F63*E63*(D63/(DATE(YEAR(C63),12,31)-DATE(YEAR(C63),1,1)+1))</f>
        <v>0</v>
      </c>
      <c r="J63" s="148">
        <v>0</v>
      </c>
      <c r="K63" s="130">
        <f t="shared" ref="K63:K89" si="22">F63+I63-H63-J63</f>
        <v>0</v>
      </c>
    </row>
    <row r="64" spans="1:11" x14ac:dyDescent="0.2">
      <c r="A64" s="156"/>
      <c r="B64" s="167">
        <f t="shared" ref="B64:B89" si="23">C63+1</f>
        <v>42095</v>
      </c>
      <c r="C64" s="167">
        <f t="shared" ref="C64:C89" si="24">EOMONTH(C63,3)</f>
        <v>42185</v>
      </c>
      <c r="D64" s="142">
        <f t="shared" si="20"/>
        <v>91</v>
      </c>
      <c r="E64" s="160">
        <f>VLOOKUP(C64,'FERC Interest Rate'!$A:$B,2,TRUE)</f>
        <v>3.2500000000000001E-2</v>
      </c>
      <c r="F64" s="148">
        <f t="shared" ref="F64:F89" si="25">K63</f>
        <v>0</v>
      </c>
      <c r="G64" s="147">
        <v>0</v>
      </c>
      <c r="H64" s="147">
        <v>0</v>
      </c>
      <c r="I64" s="161">
        <f t="shared" si="21"/>
        <v>0</v>
      </c>
      <c r="J64" s="148">
        <v>0</v>
      </c>
      <c r="K64" s="130">
        <f t="shared" si="22"/>
        <v>0</v>
      </c>
    </row>
    <row r="65" spans="1:11" x14ac:dyDescent="0.2">
      <c r="A65" s="156"/>
      <c r="B65" s="167">
        <f t="shared" si="23"/>
        <v>42186</v>
      </c>
      <c r="C65" s="167">
        <f t="shared" si="24"/>
        <v>42277</v>
      </c>
      <c r="D65" s="142">
        <f t="shared" si="20"/>
        <v>92</v>
      </c>
      <c r="E65" s="160">
        <f>VLOOKUP(C65,'FERC Interest Rate'!$A:$B,2,TRUE)</f>
        <v>3.2500000000000001E-2</v>
      </c>
      <c r="F65" s="148">
        <f t="shared" si="25"/>
        <v>0</v>
      </c>
      <c r="G65" s="147">
        <v>0</v>
      </c>
      <c r="H65" s="147">
        <v>0</v>
      </c>
      <c r="I65" s="161">
        <f t="shared" si="21"/>
        <v>0</v>
      </c>
      <c r="J65" s="148">
        <v>0</v>
      </c>
      <c r="K65" s="130">
        <f t="shared" si="22"/>
        <v>0</v>
      </c>
    </row>
    <row r="66" spans="1:11" x14ac:dyDescent="0.2">
      <c r="A66" s="156"/>
      <c r="B66" s="167">
        <f t="shared" si="23"/>
        <v>42278</v>
      </c>
      <c r="C66" s="167">
        <f t="shared" si="24"/>
        <v>42369</v>
      </c>
      <c r="D66" s="142">
        <f t="shared" si="20"/>
        <v>92</v>
      </c>
      <c r="E66" s="160">
        <f>VLOOKUP(C66,'FERC Interest Rate'!$A:$B,2,TRUE)</f>
        <v>3.2500000000000001E-2</v>
      </c>
      <c r="F66" s="148">
        <f t="shared" si="25"/>
        <v>0</v>
      </c>
      <c r="G66" s="147">
        <v>0</v>
      </c>
      <c r="H66" s="147">
        <v>0</v>
      </c>
      <c r="I66" s="161">
        <f t="shared" si="21"/>
        <v>0</v>
      </c>
      <c r="J66" s="148">
        <v>0</v>
      </c>
      <c r="K66" s="130">
        <f t="shared" si="22"/>
        <v>0</v>
      </c>
    </row>
    <row r="67" spans="1:11" x14ac:dyDescent="0.2">
      <c r="A67" s="156"/>
      <c r="B67" s="167">
        <f t="shared" si="23"/>
        <v>42370</v>
      </c>
      <c r="C67" s="167">
        <f t="shared" si="24"/>
        <v>42460</v>
      </c>
      <c r="D67" s="142">
        <f t="shared" si="20"/>
        <v>91</v>
      </c>
      <c r="E67" s="160">
        <f>VLOOKUP(C67,'FERC Interest Rate'!$A:$B,2,TRUE)</f>
        <v>3.2500000000000001E-2</v>
      </c>
      <c r="F67" s="148">
        <f t="shared" si="25"/>
        <v>0</v>
      </c>
      <c r="G67" s="147">
        <v>0</v>
      </c>
      <c r="H67" s="147">
        <v>0</v>
      </c>
      <c r="I67" s="161">
        <f t="shared" si="21"/>
        <v>0</v>
      </c>
      <c r="J67" s="148">
        <v>0</v>
      </c>
      <c r="K67" s="130">
        <f t="shared" si="22"/>
        <v>0</v>
      </c>
    </row>
    <row r="68" spans="1:11" x14ac:dyDescent="0.2">
      <c r="A68" s="156"/>
      <c r="B68" s="167">
        <f t="shared" si="23"/>
        <v>42461</v>
      </c>
      <c r="C68" s="167">
        <f t="shared" si="24"/>
        <v>42551</v>
      </c>
      <c r="D68" s="142">
        <f t="shared" si="20"/>
        <v>91</v>
      </c>
      <c r="E68" s="160">
        <f>VLOOKUP(C68,'FERC Interest Rate'!$A:$B,2,TRUE)</f>
        <v>3.2500000000000001E-2</v>
      </c>
      <c r="F68" s="148">
        <f t="shared" si="25"/>
        <v>0</v>
      </c>
      <c r="G68" s="147">
        <v>0</v>
      </c>
      <c r="H68" s="147">
        <v>0</v>
      </c>
      <c r="I68" s="161">
        <f t="shared" si="21"/>
        <v>0</v>
      </c>
      <c r="J68" s="148">
        <v>0</v>
      </c>
      <c r="K68" s="130">
        <f t="shared" si="22"/>
        <v>0</v>
      </c>
    </row>
    <row r="69" spans="1:11" x14ac:dyDescent="0.2">
      <c r="A69" s="156"/>
      <c r="B69" s="167">
        <f t="shared" si="23"/>
        <v>42552</v>
      </c>
      <c r="C69" s="167">
        <f t="shared" si="24"/>
        <v>42643</v>
      </c>
      <c r="D69" s="142">
        <f t="shared" si="20"/>
        <v>92</v>
      </c>
      <c r="E69" s="160">
        <f>VLOOKUP(C69,'FERC Interest Rate'!$A:$B,2,TRUE)</f>
        <v>4.0333330000000001E-2</v>
      </c>
      <c r="F69" s="148">
        <f t="shared" si="25"/>
        <v>0</v>
      </c>
      <c r="G69" s="147">
        <v>0</v>
      </c>
      <c r="H69" s="147">
        <v>0</v>
      </c>
      <c r="I69" s="161">
        <f t="shared" si="21"/>
        <v>0</v>
      </c>
      <c r="J69" s="148">
        <v>0</v>
      </c>
      <c r="K69" s="130">
        <f t="shared" si="22"/>
        <v>0</v>
      </c>
    </row>
    <row r="70" spans="1:11" x14ac:dyDescent="0.2">
      <c r="A70" s="156"/>
      <c r="B70" s="167">
        <f t="shared" si="23"/>
        <v>42644</v>
      </c>
      <c r="C70" s="167">
        <f t="shared" si="24"/>
        <v>42735</v>
      </c>
      <c r="D70" s="142">
        <f t="shared" si="20"/>
        <v>92</v>
      </c>
      <c r="E70" s="160">
        <f>VLOOKUP(C70,'FERC Interest Rate'!$A:$B,2,TRUE)</f>
        <v>4.2833329999999996E-2</v>
      </c>
      <c r="F70" s="148">
        <f>K69</f>
        <v>0</v>
      </c>
      <c r="G70" s="147">
        <f t="shared" ref="G70:G87" si="26">F70*E70*(D70/(DATE(YEAR(C70),12,31)-DATE(YEAR(C70),1,1)+1))</f>
        <v>0</v>
      </c>
      <c r="H70" s="147">
        <f>$F$62/20</f>
        <v>0</v>
      </c>
      <c r="I70" s="148">
        <v>0</v>
      </c>
      <c r="J70" s="148">
        <f>SUM($I$62:$I$90)/20</f>
        <v>0</v>
      </c>
      <c r="K70" s="130">
        <f t="shared" si="22"/>
        <v>0</v>
      </c>
    </row>
    <row r="71" spans="1:11" x14ac:dyDescent="0.2">
      <c r="A71" s="156"/>
      <c r="B71" s="167">
        <f t="shared" si="23"/>
        <v>42736</v>
      </c>
      <c r="C71" s="167">
        <f t="shared" si="24"/>
        <v>42825</v>
      </c>
      <c r="D71" s="142">
        <f t="shared" si="20"/>
        <v>90</v>
      </c>
      <c r="E71" s="160">
        <f>VLOOKUP(C71,'FERC Interest Rate'!$A:$B,2,TRUE)</f>
        <v>4.7066670000000005E-2</v>
      </c>
      <c r="F71" s="148">
        <f>K70</f>
        <v>0</v>
      </c>
      <c r="G71" s="147">
        <f t="shared" si="26"/>
        <v>0</v>
      </c>
      <c r="H71" s="147">
        <f t="shared" ref="H71:H89" si="27">$F$62/20</f>
        <v>0</v>
      </c>
      <c r="I71" s="148">
        <v>0</v>
      </c>
      <c r="J71" s="148">
        <f t="shared" ref="J71:J89" si="28">SUM($I$62:$I$90)/20</f>
        <v>0</v>
      </c>
      <c r="K71" s="130">
        <f t="shared" si="22"/>
        <v>0</v>
      </c>
    </row>
    <row r="72" spans="1:11" x14ac:dyDescent="0.2">
      <c r="A72" s="156"/>
      <c r="B72" s="167">
        <f t="shared" si="23"/>
        <v>42826</v>
      </c>
      <c r="C72" s="167">
        <f t="shared" si="24"/>
        <v>42916</v>
      </c>
      <c r="D72" s="142">
        <f t="shared" si="20"/>
        <v>91</v>
      </c>
      <c r="E72" s="160">
        <f>VLOOKUP(C72,'FERC Interest Rate'!$A:$B,2,TRUE)</f>
        <v>5.21E-2</v>
      </c>
      <c r="F72" s="148">
        <f t="shared" si="25"/>
        <v>0</v>
      </c>
      <c r="G72" s="147">
        <f t="shared" si="26"/>
        <v>0</v>
      </c>
      <c r="H72" s="147">
        <f t="shared" si="27"/>
        <v>0</v>
      </c>
      <c r="I72" s="148">
        <v>0</v>
      </c>
      <c r="J72" s="148">
        <f t="shared" si="28"/>
        <v>0</v>
      </c>
      <c r="K72" s="130">
        <f t="shared" si="22"/>
        <v>0</v>
      </c>
    </row>
    <row r="73" spans="1:11" x14ac:dyDescent="0.2">
      <c r="A73" s="156"/>
      <c r="B73" s="167">
        <f t="shared" si="23"/>
        <v>42917</v>
      </c>
      <c r="C73" s="167">
        <f t="shared" si="24"/>
        <v>43008</v>
      </c>
      <c r="D73" s="142">
        <f t="shared" si="20"/>
        <v>92</v>
      </c>
      <c r="E73" s="160">
        <f>VLOOKUP(C73,'FERC Interest Rate'!$A:$B,2,TRUE)</f>
        <v>5.7066670000000007E-2</v>
      </c>
      <c r="F73" s="148">
        <f t="shared" si="25"/>
        <v>0</v>
      </c>
      <c r="G73" s="147">
        <f t="shared" si="26"/>
        <v>0</v>
      </c>
      <c r="H73" s="147">
        <f t="shared" si="27"/>
        <v>0</v>
      </c>
      <c r="I73" s="148">
        <v>0</v>
      </c>
      <c r="J73" s="148">
        <f t="shared" si="28"/>
        <v>0</v>
      </c>
      <c r="K73" s="130">
        <f t="shared" si="22"/>
        <v>0</v>
      </c>
    </row>
    <row r="74" spans="1:11" x14ac:dyDescent="0.2">
      <c r="A74" s="156"/>
      <c r="B74" s="167">
        <f t="shared" si="23"/>
        <v>43009</v>
      </c>
      <c r="C74" s="167">
        <f t="shared" si="24"/>
        <v>43100</v>
      </c>
      <c r="D74" s="142">
        <f t="shared" si="20"/>
        <v>92</v>
      </c>
      <c r="E74" s="160">
        <f>VLOOKUP(C74,'FERC Interest Rate'!$A:$B,2,TRUE)</f>
        <v>6.2033329999999998E-2</v>
      </c>
      <c r="F74" s="148">
        <f t="shared" si="25"/>
        <v>0</v>
      </c>
      <c r="G74" s="147">
        <f t="shared" si="26"/>
        <v>0</v>
      </c>
      <c r="H74" s="147">
        <f t="shared" si="27"/>
        <v>0</v>
      </c>
      <c r="I74" s="148">
        <v>0</v>
      </c>
      <c r="J74" s="148">
        <f t="shared" si="28"/>
        <v>0</v>
      </c>
      <c r="K74" s="130">
        <f t="shared" si="22"/>
        <v>0</v>
      </c>
    </row>
    <row r="75" spans="1:11" x14ac:dyDescent="0.2">
      <c r="A75" s="156"/>
      <c r="B75" s="167">
        <f t="shared" si="23"/>
        <v>43101</v>
      </c>
      <c r="C75" s="167">
        <f t="shared" si="24"/>
        <v>43190</v>
      </c>
      <c r="D75" s="142">
        <f t="shared" si="20"/>
        <v>90</v>
      </c>
      <c r="E75" s="160">
        <f>VLOOKUP(C75,'FERC Interest Rate'!$A:$B,2,TRUE)</f>
        <v>6.6699999999999995E-2</v>
      </c>
      <c r="F75" s="148">
        <f t="shared" si="25"/>
        <v>0</v>
      </c>
      <c r="G75" s="147">
        <f t="shared" si="26"/>
        <v>0</v>
      </c>
      <c r="H75" s="147">
        <f t="shared" si="27"/>
        <v>0</v>
      </c>
      <c r="I75" s="148">
        <v>0</v>
      </c>
      <c r="J75" s="148">
        <f t="shared" si="28"/>
        <v>0</v>
      </c>
      <c r="K75" s="130">
        <f t="shared" si="22"/>
        <v>0</v>
      </c>
    </row>
    <row r="76" spans="1:11" x14ac:dyDescent="0.2">
      <c r="A76" s="156"/>
      <c r="B76" s="167">
        <f t="shared" si="23"/>
        <v>43191</v>
      </c>
      <c r="C76" s="167">
        <f t="shared" si="24"/>
        <v>43281</v>
      </c>
      <c r="D76" s="142">
        <f t="shared" si="20"/>
        <v>91</v>
      </c>
      <c r="E76" s="160">
        <f>VLOOKUP(C76,'FERC Interest Rate'!$A:$B,2,TRUE)</f>
        <v>6.7500000000000004E-2</v>
      </c>
      <c r="F76" s="148">
        <f t="shared" si="25"/>
        <v>0</v>
      </c>
      <c r="G76" s="147">
        <f t="shared" si="26"/>
        <v>0</v>
      </c>
      <c r="H76" s="147">
        <f t="shared" si="27"/>
        <v>0</v>
      </c>
      <c r="I76" s="148">
        <v>0</v>
      </c>
      <c r="J76" s="148">
        <f t="shared" si="28"/>
        <v>0</v>
      </c>
      <c r="K76" s="130">
        <f t="shared" si="22"/>
        <v>0</v>
      </c>
    </row>
    <row r="77" spans="1:11" x14ac:dyDescent="0.2">
      <c r="A77" s="156"/>
      <c r="B77" s="167">
        <f t="shared" si="23"/>
        <v>43282</v>
      </c>
      <c r="C77" s="167">
        <f t="shared" si="24"/>
        <v>43373</v>
      </c>
      <c r="D77" s="142">
        <f t="shared" si="20"/>
        <v>92</v>
      </c>
      <c r="E77" s="160">
        <f>VLOOKUP(C77,'FERC Interest Rate'!$A:$B,2,TRUE)</f>
        <v>6.7500000000000004E-2</v>
      </c>
      <c r="F77" s="148">
        <f t="shared" si="25"/>
        <v>0</v>
      </c>
      <c r="G77" s="147">
        <f t="shared" si="26"/>
        <v>0</v>
      </c>
      <c r="H77" s="147">
        <f t="shared" si="27"/>
        <v>0</v>
      </c>
      <c r="I77" s="148">
        <v>0</v>
      </c>
      <c r="J77" s="148">
        <f t="shared" si="28"/>
        <v>0</v>
      </c>
      <c r="K77" s="130">
        <f t="shared" si="22"/>
        <v>0</v>
      </c>
    </row>
    <row r="78" spans="1:11" x14ac:dyDescent="0.2">
      <c r="A78" s="156"/>
      <c r="B78" s="167">
        <f t="shared" si="23"/>
        <v>43374</v>
      </c>
      <c r="C78" s="167">
        <f t="shared" si="24"/>
        <v>43465</v>
      </c>
      <c r="D78" s="142">
        <f t="shared" si="20"/>
        <v>92</v>
      </c>
      <c r="E78" s="160">
        <f>VLOOKUP(C78,'FERC Interest Rate'!$A:$B,2,TRUE)</f>
        <v>6.7500000000000004E-2</v>
      </c>
      <c r="F78" s="148">
        <f t="shared" si="25"/>
        <v>0</v>
      </c>
      <c r="G78" s="147">
        <f t="shared" si="26"/>
        <v>0</v>
      </c>
      <c r="H78" s="147">
        <f t="shared" si="27"/>
        <v>0</v>
      </c>
      <c r="I78" s="148">
        <v>0</v>
      </c>
      <c r="J78" s="148">
        <f t="shared" si="28"/>
        <v>0</v>
      </c>
      <c r="K78" s="130">
        <f t="shared" si="22"/>
        <v>0</v>
      </c>
    </row>
    <row r="79" spans="1:11" x14ac:dyDescent="0.2">
      <c r="A79" s="156"/>
      <c r="B79" s="167">
        <f t="shared" si="23"/>
        <v>43466</v>
      </c>
      <c r="C79" s="167">
        <f t="shared" si="24"/>
        <v>43555</v>
      </c>
      <c r="D79" s="142">
        <f t="shared" si="20"/>
        <v>90</v>
      </c>
      <c r="E79" s="160">
        <f>VLOOKUP(C79,'FERC Interest Rate'!$A:$B,2,TRUE)</f>
        <v>6.7500000000000004E-2</v>
      </c>
      <c r="F79" s="148">
        <f t="shared" si="25"/>
        <v>0</v>
      </c>
      <c r="G79" s="147">
        <f t="shared" si="26"/>
        <v>0</v>
      </c>
      <c r="H79" s="147">
        <f t="shared" si="27"/>
        <v>0</v>
      </c>
      <c r="I79" s="148">
        <v>0</v>
      </c>
      <c r="J79" s="148">
        <f t="shared" si="28"/>
        <v>0</v>
      </c>
      <c r="K79" s="130">
        <f t="shared" si="22"/>
        <v>0</v>
      </c>
    </row>
    <row r="80" spans="1:11" x14ac:dyDescent="0.2">
      <c r="A80" s="156"/>
      <c r="B80" s="167">
        <f t="shared" si="23"/>
        <v>43556</v>
      </c>
      <c r="C80" s="167">
        <f t="shared" si="24"/>
        <v>43646</v>
      </c>
      <c r="D80" s="142">
        <f t="shared" si="20"/>
        <v>91</v>
      </c>
      <c r="E80" s="160">
        <f>VLOOKUP(C80,'FERC Interest Rate'!$A:$B,2,TRUE)</f>
        <v>6.7500000000000004E-2</v>
      </c>
      <c r="F80" s="148">
        <f t="shared" si="25"/>
        <v>0</v>
      </c>
      <c r="G80" s="147">
        <f t="shared" si="26"/>
        <v>0</v>
      </c>
      <c r="H80" s="147">
        <f t="shared" si="27"/>
        <v>0</v>
      </c>
      <c r="I80" s="148">
        <v>0</v>
      </c>
      <c r="J80" s="148">
        <f t="shared" si="28"/>
        <v>0</v>
      </c>
      <c r="K80" s="130">
        <f t="shared" si="22"/>
        <v>0</v>
      </c>
    </row>
    <row r="81" spans="1:11" x14ac:dyDescent="0.2">
      <c r="A81" s="156"/>
      <c r="B81" s="167">
        <f t="shared" si="23"/>
        <v>43647</v>
      </c>
      <c r="C81" s="167">
        <f t="shared" si="24"/>
        <v>43738</v>
      </c>
      <c r="D81" s="142">
        <f t="shared" si="20"/>
        <v>92</v>
      </c>
      <c r="E81" s="160">
        <f>VLOOKUP(C81,'FERC Interest Rate'!$A:$B,2,TRUE)</f>
        <v>6.7500000000000004E-2</v>
      </c>
      <c r="F81" s="148">
        <f t="shared" si="25"/>
        <v>0</v>
      </c>
      <c r="G81" s="147">
        <f t="shared" si="26"/>
        <v>0</v>
      </c>
      <c r="H81" s="147">
        <f t="shared" si="27"/>
        <v>0</v>
      </c>
      <c r="I81" s="148">
        <v>0</v>
      </c>
      <c r="J81" s="148">
        <f t="shared" si="28"/>
        <v>0</v>
      </c>
      <c r="K81" s="130">
        <f t="shared" si="22"/>
        <v>0</v>
      </c>
    </row>
    <row r="82" spans="1:11" x14ac:dyDescent="0.2">
      <c r="A82" s="169"/>
      <c r="B82" s="167">
        <f t="shared" si="23"/>
        <v>43739</v>
      </c>
      <c r="C82" s="167">
        <f t="shared" si="24"/>
        <v>43830</v>
      </c>
      <c r="D82" s="142">
        <f t="shared" si="20"/>
        <v>92</v>
      </c>
      <c r="E82" s="160">
        <f>VLOOKUP(C82,'FERC Interest Rate'!$A:$B,2,TRUE)</f>
        <v>6.7500000000000004E-2</v>
      </c>
      <c r="F82" s="148">
        <f t="shared" si="25"/>
        <v>0</v>
      </c>
      <c r="G82" s="147">
        <f t="shared" si="26"/>
        <v>0</v>
      </c>
      <c r="H82" s="147">
        <f t="shared" si="27"/>
        <v>0</v>
      </c>
      <c r="I82" s="148">
        <v>0</v>
      </c>
      <c r="J82" s="148">
        <f t="shared" si="28"/>
        <v>0</v>
      </c>
      <c r="K82" s="130">
        <f t="shared" si="22"/>
        <v>0</v>
      </c>
    </row>
    <row r="83" spans="1:11" x14ac:dyDescent="0.2">
      <c r="A83" s="169"/>
      <c r="B83" s="167">
        <f t="shared" si="23"/>
        <v>43831</v>
      </c>
      <c r="C83" s="167">
        <f t="shared" si="24"/>
        <v>43921</v>
      </c>
      <c r="D83" s="142">
        <f t="shared" si="20"/>
        <v>91</v>
      </c>
      <c r="E83" s="160">
        <f>VLOOKUP(C83,'FERC Interest Rate'!$A:$B,2,TRUE)</f>
        <v>6.7500000000000004E-2</v>
      </c>
      <c r="F83" s="148">
        <f t="shared" si="25"/>
        <v>0</v>
      </c>
      <c r="G83" s="147">
        <f t="shared" si="26"/>
        <v>0</v>
      </c>
      <c r="H83" s="147">
        <f t="shared" si="27"/>
        <v>0</v>
      </c>
      <c r="I83" s="148">
        <v>0</v>
      </c>
      <c r="J83" s="148">
        <f t="shared" si="28"/>
        <v>0</v>
      </c>
      <c r="K83" s="130">
        <f t="shared" si="22"/>
        <v>0</v>
      </c>
    </row>
    <row r="84" spans="1:11" x14ac:dyDescent="0.2">
      <c r="A84" s="169"/>
      <c r="B84" s="167">
        <f t="shared" si="23"/>
        <v>43922</v>
      </c>
      <c r="C84" s="167">
        <f t="shared" si="24"/>
        <v>44012</v>
      </c>
      <c r="D84" s="142">
        <f t="shared" si="20"/>
        <v>91</v>
      </c>
      <c r="E84" s="160">
        <f>VLOOKUP(C84,'FERC Interest Rate'!$A:$B,2,TRUE)</f>
        <v>6.7500000000000004E-2</v>
      </c>
      <c r="F84" s="148">
        <f t="shared" si="25"/>
        <v>0</v>
      </c>
      <c r="G84" s="147">
        <f t="shared" si="26"/>
        <v>0</v>
      </c>
      <c r="H84" s="147">
        <f t="shared" si="27"/>
        <v>0</v>
      </c>
      <c r="I84" s="148">
        <v>0</v>
      </c>
      <c r="J84" s="148">
        <f t="shared" si="28"/>
        <v>0</v>
      </c>
      <c r="K84" s="130">
        <f t="shared" si="22"/>
        <v>0</v>
      </c>
    </row>
    <row r="85" spans="1:11" x14ac:dyDescent="0.2">
      <c r="A85" s="169"/>
      <c r="B85" s="167">
        <f t="shared" si="23"/>
        <v>44013</v>
      </c>
      <c r="C85" s="167">
        <f t="shared" si="24"/>
        <v>44104</v>
      </c>
      <c r="D85" s="142">
        <f t="shared" si="20"/>
        <v>92</v>
      </c>
      <c r="E85" s="160">
        <f>VLOOKUP(C85,'FERC Interest Rate'!$A:$B,2,TRUE)</f>
        <v>6.7500000000000004E-2</v>
      </c>
      <c r="F85" s="148">
        <f t="shared" si="25"/>
        <v>0</v>
      </c>
      <c r="G85" s="147">
        <f t="shared" si="26"/>
        <v>0</v>
      </c>
      <c r="H85" s="147">
        <f t="shared" si="27"/>
        <v>0</v>
      </c>
      <c r="I85" s="148">
        <v>0</v>
      </c>
      <c r="J85" s="148">
        <f t="shared" si="28"/>
        <v>0</v>
      </c>
      <c r="K85" s="130">
        <f t="shared" si="22"/>
        <v>0</v>
      </c>
    </row>
    <row r="86" spans="1:11" x14ac:dyDescent="0.2">
      <c r="A86" s="169"/>
      <c r="B86" s="167">
        <f t="shared" si="23"/>
        <v>44105</v>
      </c>
      <c r="C86" s="167">
        <f t="shared" si="24"/>
        <v>44196</v>
      </c>
      <c r="D86" s="142">
        <f t="shared" si="20"/>
        <v>92</v>
      </c>
      <c r="E86" s="160">
        <f>VLOOKUP(C86,'FERC Interest Rate'!$A:$B,2,TRUE)</f>
        <v>6.7500000000000004E-2</v>
      </c>
      <c r="F86" s="148">
        <f t="shared" si="25"/>
        <v>0</v>
      </c>
      <c r="G86" s="147">
        <f t="shared" si="26"/>
        <v>0</v>
      </c>
      <c r="H86" s="147">
        <f t="shared" si="27"/>
        <v>0</v>
      </c>
      <c r="I86" s="148">
        <v>0</v>
      </c>
      <c r="J86" s="148">
        <f t="shared" si="28"/>
        <v>0</v>
      </c>
      <c r="K86" s="130">
        <f t="shared" si="22"/>
        <v>0</v>
      </c>
    </row>
    <row r="87" spans="1:11" x14ac:dyDescent="0.2">
      <c r="A87" s="169"/>
      <c r="B87" s="167">
        <f t="shared" si="23"/>
        <v>44197</v>
      </c>
      <c r="C87" s="167">
        <f t="shared" si="24"/>
        <v>44286</v>
      </c>
      <c r="D87" s="142">
        <f t="shared" si="20"/>
        <v>90</v>
      </c>
      <c r="E87" s="160">
        <f>VLOOKUP(C87,'FERC Interest Rate'!$A:$B,2,TRUE)</f>
        <v>6.7500000000000004E-2</v>
      </c>
      <c r="F87" s="148">
        <f t="shared" si="25"/>
        <v>0</v>
      </c>
      <c r="G87" s="147">
        <f t="shared" si="26"/>
        <v>0</v>
      </c>
      <c r="H87" s="147">
        <f t="shared" si="27"/>
        <v>0</v>
      </c>
      <c r="I87" s="148">
        <v>0</v>
      </c>
      <c r="J87" s="148">
        <f t="shared" si="28"/>
        <v>0</v>
      </c>
      <c r="K87" s="130">
        <f t="shared" si="22"/>
        <v>0</v>
      </c>
    </row>
    <row r="88" spans="1:11" x14ac:dyDescent="0.2">
      <c r="A88" s="169"/>
      <c r="B88" s="167">
        <f t="shared" si="23"/>
        <v>44287</v>
      </c>
      <c r="C88" s="167">
        <f t="shared" si="24"/>
        <v>44377</v>
      </c>
      <c r="D88" s="142">
        <f t="shared" si="20"/>
        <v>91</v>
      </c>
      <c r="E88" s="160">
        <f>VLOOKUP(C88,'FERC Interest Rate'!$A:$B,2,TRUE)</f>
        <v>6.7500000000000004E-2</v>
      </c>
      <c r="F88" s="148">
        <f t="shared" si="25"/>
        <v>0</v>
      </c>
      <c r="G88" s="147">
        <f>F88*E88*(D88/(DATE(YEAR(C88),12,31)-DATE(YEAR(C88),1,1)+1))</f>
        <v>0</v>
      </c>
      <c r="H88" s="147">
        <f t="shared" si="27"/>
        <v>0</v>
      </c>
      <c r="I88" s="148">
        <v>0</v>
      </c>
      <c r="J88" s="148">
        <f t="shared" si="28"/>
        <v>0</v>
      </c>
      <c r="K88" s="130">
        <f t="shared" si="22"/>
        <v>0</v>
      </c>
    </row>
    <row r="89" spans="1:11" x14ac:dyDescent="0.2">
      <c r="A89" s="169"/>
      <c r="B89" s="167">
        <f t="shared" si="23"/>
        <v>44378</v>
      </c>
      <c r="C89" s="167">
        <f t="shared" si="24"/>
        <v>44469</v>
      </c>
      <c r="D89" s="142">
        <f t="shared" si="20"/>
        <v>92</v>
      </c>
      <c r="E89" s="160">
        <f>VLOOKUP(C89,'FERC Interest Rate'!$A:$B,2,TRUE)</f>
        <v>6.7500000000000004E-2</v>
      </c>
      <c r="F89" s="148">
        <f t="shared" si="25"/>
        <v>0</v>
      </c>
      <c r="G89" s="147">
        <f>F89*E89*(D89/(DATE(YEAR(C89),12,31)-DATE(YEAR(C89),1,1)+1))</f>
        <v>0</v>
      </c>
      <c r="H89" s="147">
        <f t="shared" si="27"/>
        <v>0</v>
      </c>
      <c r="I89" s="148">
        <v>0</v>
      </c>
      <c r="J89" s="148">
        <f t="shared" si="28"/>
        <v>0</v>
      </c>
      <c r="K89" s="130">
        <f t="shared" si="22"/>
        <v>0</v>
      </c>
    </row>
    <row r="90" spans="1:11" ht="13.5" thickBot="1" x14ac:dyDescent="0.25">
      <c r="A90" s="129"/>
      <c r="B90" s="168"/>
      <c r="C90" s="168"/>
      <c r="D90" s="121"/>
      <c r="E90" s="122"/>
      <c r="F90" s="145"/>
      <c r="G90" s="145"/>
      <c r="H90" s="146"/>
      <c r="I90" s="123"/>
      <c r="J90" s="123"/>
      <c r="K90" s="128"/>
    </row>
  </sheetData>
  <mergeCells count="4">
    <mergeCell ref="H3:K3"/>
    <mergeCell ref="H4:K4"/>
    <mergeCell ref="A35:K35"/>
    <mergeCell ref="A60:K60"/>
  </mergeCells>
  <printOptions horizontalCentered="1"/>
  <pageMargins left="0.7" right="0.7" top="0.75" bottom="0.75" header="0.3" footer="0.3"/>
  <pageSetup scale="61" orientation="landscape" cellComments="asDisplayed" r:id="rId1"/>
  <headerFooter alignWithMargins="0">
    <oddHeader>&amp;RTO11 Draft Annual Update
Attachment 4
WP Schedule 22
Page &amp;P of &amp;N</oddHeader>
    <oddFooter>&amp;R&amp;A</oddFooter>
  </headerFooter>
  <rowBreaks count="1" manualBreakCount="1">
    <brk id="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85" zoomScaleNormal="85" workbookViewId="0"/>
  </sheetViews>
  <sheetFormatPr defaultColWidth="9.140625" defaultRowHeight="12.75" x14ac:dyDescent="0.2"/>
  <cols>
    <col min="1" max="1" width="12.28515625" style="19" customWidth="1"/>
    <col min="2" max="2" width="11" style="19" customWidth="1"/>
    <col min="3" max="3" width="14.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39" t="s">
        <v>18</v>
      </c>
      <c r="B1" s="3" t="s">
        <v>8</v>
      </c>
      <c r="C1" s="139" t="s">
        <v>7</v>
      </c>
      <c r="D1" s="139" t="s">
        <v>1</v>
      </c>
      <c r="E1" s="139" t="s">
        <v>24</v>
      </c>
      <c r="F1" s="3" t="s">
        <v>0</v>
      </c>
    </row>
    <row r="2" spans="1:11" x14ac:dyDescent="0.2">
      <c r="A2" s="4">
        <v>1</v>
      </c>
      <c r="B2" s="9">
        <v>41958</v>
      </c>
      <c r="C2" s="10">
        <v>581000</v>
      </c>
      <c r="D2" s="10">
        <v>0</v>
      </c>
      <c r="E2" s="10">
        <v>0</v>
      </c>
      <c r="F2" s="29">
        <f>SUM(C2:E2)</f>
        <v>581000</v>
      </c>
    </row>
    <row r="3" spans="1:11" x14ac:dyDescent="0.2">
      <c r="B3" s="139" t="s">
        <v>0</v>
      </c>
      <c r="C3" s="57">
        <f>SUM(C2:C2)</f>
        <v>581000</v>
      </c>
      <c r="D3" s="57">
        <f>SUM(D2:D2)</f>
        <v>0</v>
      </c>
      <c r="E3" s="57">
        <f>SUM(E2:E2)</f>
        <v>0</v>
      </c>
      <c r="F3" s="57">
        <f>SUM(C3:E3)</f>
        <v>581000</v>
      </c>
    </row>
    <row r="5" spans="1:11" x14ac:dyDescent="0.2">
      <c r="C5" s="139" t="s">
        <v>43</v>
      </c>
      <c r="D5" s="139" t="s">
        <v>42</v>
      </c>
      <c r="G5"/>
      <c r="H5"/>
      <c r="I5"/>
      <c r="J5"/>
      <c r="K5"/>
    </row>
    <row r="6" spans="1:11" x14ac:dyDescent="0.2">
      <c r="B6" s="138" t="s">
        <v>26</v>
      </c>
      <c r="C6" s="188">
        <v>41952</v>
      </c>
      <c r="D6" s="188">
        <v>41952</v>
      </c>
      <c r="G6"/>
      <c r="H6"/>
      <c r="I6"/>
      <c r="J6"/>
      <c r="K6"/>
    </row>
    <row r="7" spans="1:11" x14ac:dyDescent="0.2">
      <c r="B7" s="138" t="s">
        <v>84</v>
      </c>
      <c r="C7" s="188">
        <v>41957</v>
      </c>
      <c r="D7" s="188">
        <v>41958</v>
      </c>
      <c r="G7"/>
      <c r="H7"/>
      <c r="I7"/>
      <c r="J7"/>
      <c r="K7"/>
    </row>
    <row r="8" spans="1:11" ht="13.5" thickBot="1" x14ac:dyDescent="0.25">
      <c r="B8" s="138"/>
      <c r="C8" s="17"/>
      <c r="D8" s="127"/>
    </row>
    <row r="9" spans="1:11" ht="13.5" thickBot="1" x14ac:dyDescent="0.25">
      <c r="A9" s="304" t="s">
        <v>25</v>
      </c>
      <c r="B9" s="305"/>
      <c r="C9" s="305"/>
      <c r="D9" s="305"/>
      <c r="E9" s="305"/>
      <c r="F9" s="305"/>
      <c r="G9" s="305"/>
      <c r="H9" s="305"/>
      <c r="I9" s="305"/>
      <c r="J9" s="305"/>
      <c r="K9" s="306"/>
    </row>
    <row r="10" spans="1:11" ht="51.75" thickBot="1" x14ac:dyDescent="0.25">
      <c r="A10" s="163" t="s">
        <v>9</v>
      </c>
      <c r="B10" s="164" t="s">
        <v>10</v>
      </c>
      <c r="C10" s="164" t="s">
        <v>11</v>
      </c>
      <c r="D10" s="164" t="s">
        <v>12</v>
      </c>
      <c r="E10" s="164" t="s">
        <v>13</v>
      </c>
      <c r="F10" s="164" t="s">
        <v>14</v>
      </c>
      <c r="G10" s="164" t="s">
        <v>32</v>
      </c>
      <c r="H10" s="164" t="s">
        <v>16</v>
      </c>
      <c r="I10" s="164" t="s">
        <v>85</v>
      </c>
      <c r="J10" s="164" t="s">
        <v>33</v>
      </c>
      <c r="K10" s="165" t="s">
        <v>15</v>
      </c>
    </row>
    <row r="11" spans="1:11" x14ac:dyDescent="0.2">
      <c r="A11" s="157"/>
      <c r="B11" s="158">
        <f>$D$6</f>
        <v>41952</v>
      </c>
      <c r="C11" s="158">
        <f>DATE(YEAR(B11),IF(MONTH(B11)&lt;=3,3,IF(MONTH(B11)&lt;=6,6,IF(MONTH(B11)&lt;=9,9,12))),IF(OR(MONTH(B11)&lt;=3,MONTH(B11)&gt;=10),31,30))</f>
        <v>42004</v>
      </c>
      <c r="D11" s="159">
        <f>C11-B11+1</f>
        <v>53</v>
      </c>
      <c r="E11" s="160">
        <f>VLOOKUP(C11,'FERC Interest Rate'!$A:$C,2,TRUE)</f>
        <v>3.2500000000000001E-2</v>
      </c>
      <c r="F11" s="161">
        <f>$C$3</f>
        <v>581000</v>
      </c>
      <c r="G11" s="147">
        <v>0</v>
      </c>
      <c r="H11" s="162">
        <f>$C$3/20</f>
        <v>29050</v>
      </c>
      <c r="I11" s="161">
        <f>F11*E11*(D11/(DATE(YEAR(C11),12,31)-DATE(YEAR(C11),1,1)+1))</f>
        <v>2741.8424657534242</v>
      </c>
      <c r="J11" s="148">
        <f>SUM($I$11:$I$31)/20</f>
        <v>137.0921232876712</v>
      </c>
      <c r="K11" s="130">
        <f>F11+I11-H11-J11</f>
        <v>554554.75034246582</v>
      </c>
    </row>
    <row r="12" spans="1:11" x14ac:dyDescent="0.2">
      <c r="A12" s="156"/>
      <c r="B12" s="143">
        <f>C11+1</f>
        <v>42005</v>
      </c>
      <c r="C12" s="143">
        <f>EOMONTH(C11,3)</f>
        <v>42094</v>
      </c>
      <c r="D12" s="142">
        <f t="shared" ref="D12:D30" si="0">C12-B12+1</f>
        <v>90</v>
      </c>
      <c r="E12" s="160">
        <f>VLOOKUP(C12,'FERC Interest Rate'!$A:$C,2,TRUE)</f>
        <v>3.2500000000000001E-2</v>
      </c>
      <c r="F12" s="148">
        <f>K11</f>
        <v>554554.75034246582</v>
      </c>
      <c r="G12" s="147">
        <f t="shared" ref="G12:G30" si="1">F12*E12*(D12/(DATE(YEAR(C12),12,31)-DATE(YEAR(C12),1,1)+1))</f>
        <v>4444.0346431553771</v>
      </c>
      <c r="H12" s="147">
        <f>$C$3/20</f>
        <v>29050</v>
      </c>
      <c r="I12" s="148">
        <v>0</v>
      </c>
      <c r="J12" s="148">
        <f t="shared" ref="J12:J30" si="2">SUM($I$11:$I$31)/20</f>
        <v>137.0921232876712</v>
      </c>
      <c r="K12" s="130">
        <f t="shared" ref="K12:K30" si="3">F12+I12-H12-J12</f>
        <v>525367.65821917821</v>
      </c>
    </row>
    <row r="13" spans="1:11" x14ac:dyDescent="0.2">
      <c r="A13" s="156"/>
      <c r="B13" s="143">
        <f t="shared" ref="B13:B30" si="4">C12+1</f>
        <v>42095</v>
      </c>
      <c r="C13" s="143">
        <f t="shared" ref="C13:C30" si="5">EOMONTH(C12,3)</f>
        <v>42185</v>
      </c>
      <c r="D13" s="142">
        <f t="shared" si="0"/>
        <v>91</v>
      </c>
      <c r="E13" s="160">
        <f>VLOOKUP(C13,'FERC Interest Rate'!$A:$C,2,TRUE)</f>
        <v>3.2500000000000001E-2</v>
      </c>
      <c r="F13" s="148">
        <f t="shared" ref="F13:F30" si="6">K12</f>
        <v>525367.65821917821</v>
      </c>
      <c r="G13" s="147">
        <f t="shared" si="1"/>
        <v>4256.9173950225195</v>
      </c>
      <c r="H13" s="147">
        <f t="shared" ref="H13:H30" si="7">$C$3/20</f>
        <v>29050</v>
      </c>
      <c r="I13" s="148">
        <v>0</v>
      </c>
      <c r="J13" s="148">
        <f t="shared" si="2"/>
        <v>137.0921232876712</v>
      </c>
      <c r="K13" s="130">
        <f t="shared" si="3"/>
        <v>496180.56609589054</v>
      </c>
    </row>
    <row r="14" spans="1:11" x14ac:dyDescent="0.2">
      <c r="A14" s="156"/>
      <c r="B14" s="143">
        <f t="shared" si="4"/>
        <v>42186</v>
      </c>
      <c r="C14" s="143">
        <f t="shared" si="5"/>
        <v>42277</v>
      </c>
      <c r="D14" s="142">
        <f t="shared" si="0"/>
        <v>92</v>
      </c>
      <c r="E14" s="160">
        <f>VLOOKUP(C14,'FERC Interest Rate'!$A:$C,2,TRUE)</f>
        <v>3.2500000000000001E-2</v>
      </c>
      <c r="F14" s="148">
        <f t="shared" si="6"/>
        <v>496180.56609589054</v>
      </c>
      <c r="G14" s="147">
        <f t="shared" si="1"/>
        <v>4064.6024455526381</v>
      </c>
      <c r="H14" s="147">
        <f t="shared" si="7"/>
        <v>29050</v>
      </c>
      <c r="I14" s="148">
        <v>0</v>
      </c>
      <c r="J14" s="148">
        <f t="shared" si="2"/>
        <v>137.0921232876712</v>
      </c>
      <c r="K14" s="130">
        <f t="shared" si="3"/>
        <v>466993.47397260286</v>
      </c>
    </row>
    <row r="15" spans="1:11" x14ac:dyDescent="0.2">
      <c r="A15" s="156"/>
      <c r="B15" s="143">
        <f t="shared" si="4"/>
        <v>42278</v>
      </c>
      <c r="C15" s="143">
        <f t="shared" si="5"/>
        <v>42369</v>
      </c>
      <c r="D15" s="142">
        <f t="shared" si="0"/>
        <v>92</v>
      </c>
      <c r="E15" s="160">
        <f>VLOOKUP(C15,'FERC Interest Rate'!$A:$C,2,TRUE)</f>
        <v>3.2500000000000001E-2</v>
      </c>
      <c r="F15" s="148">
        <f t="shared" si="6"/>
        <v>466993.47397260286</v>
      </c>
      <c r="G15" s="147">
        <f t="shared" si="1"/>
        <v>3825.5081840495413</v>
      </c>
      <c r="H15" s="147">
        <f t="shared" si="7"/>
        <v>29050</v>
      </c>
      <c r="I15" s="148">
        <v>0</v>
      </c>
      <c r="J15" s="148">
        <f t="shared" si="2"/>
        <v>137.0921232876712</v>
      </c>
      <c r="K15" s="130">
        <f t="shared" si="3"/>
        <v>437806.38184931519</v>
      </c>
    </row>
    <row r="16" spans="1:11" x14ac:dyDescent="0.2">
      <c r="A16" s="156"/>
      <c r="B16" s="143">
        <f t="shared" si="4"/>
        <v>42370</v>
      </c>
      <c r="C16" s="143">
        <f t="shared" si="5"/>
        <v>42460</v>
      </c>
      <c r="D16" s="142">
        <f t="shared" si="0"/>
        <v>91</v>
      </c>
      <c r="E16" s="160">
        <f>VLOOKUP(C16,'FERC Interest Rate'!$A:$C,2,TRUE)</f>
        <v>3.2500000000000001E-2</v>
      </c>
      <c r="F16" s="148">
        <f t="shared" si="6"/>
        <v>437806.38184931519</v>
      </c>
      <c r="G16" s="147">
        <f t="shared" si="1"/>
        <v>3537.7387276484965</v>
      </c>
      <c r="H16" s="147">
        <f t="shared" si="7"/>
        <v>29050</v>
      </c>
      <c r="I16" s="148">
        <v>0</v>
      </c>
      <c r="J16" s="148">
        <f t="shared" si="2"/>
        <v>137.0921232876712</v>
      </c>
      <c r="K16" s="130">
        <f t="shared" si="3"/>
        <v>408619.28972602752</v>
      </c>
    </row>
    <row r="17" spans="1:11" x14ac:dyDescent="0.2">
      <c r="A17" s="156"/>
      <c r="B17" s="143">
        <f t="shared" si="4"/>
        <v>42461</v>
      </c>
      <c r="C17" s="143">
        <f t="shared" si="5"/>
        <v>42551</v>
      </c>
      <c r="D17" s="142">
        <f t="shared" si="0"/>
        <v>91</v>
      </c>
      <c r="E17" s="160">
        <f>VLOOKUP(C17,'FERC Interest Rate'!$A:$C,2,TRUE)</f>
        <v>3.2500000000000001E-2</v>
      </c>
      <c r="F17" s="148">
        <f t="shared" si="6"/>
        <v>408619.28972602752</v>
      </c>
      <c r="G17" s="147">
        <f t="shared" si="1"/>
        <v>3301.8894791385969</v>
      </c>
      <c r="H17" s="147">
        <f t="shared" si="7"/>
        <v>29050</v>
      </c>
      <c r="I17" s="148">
        <v>0</v>
      </c>
      <c r="J17" s="148">
        <f t="shared" si="2"/>
        <v>137.0921232876712</v>
      </c>
      <c r="K17" s="130">
        <f t="shared" si="3"/>
        <v>379432.19760273985</v>
      </c>
    </row>
    <row r="18" spans="1:11" x14ac:dyDescent="0.2">
      <c r="A18" s="156"/>
      <c r="B18" s="143">
        <f t="shared" si="4"/>
        <v>42552</v>
      </c>
      <c r="C18" s="143">
        <f t="shared" si="5"/>
        <v>42643</v>
      </c>
      <c r="D18" s="142">
        <f t="shared" si="0"/>
        <v>92</v>
      </c>
      <c r="E18" s="160">
        <f>VLOOKUP(C18,'FERC Interest Rate'!$A:$C,2,TRUE)</f>
        <v>4.0333330000000001E-2</v>
      </c>
      <c r="F18" s="148">
        <f t="shared" si="6"/>
        <v>379432.19760273985</v>
      </c>
      <c r="G18" s="147">
        <f t="shared" si="1"/>
        <v>3846.8477911075397</v>
      </c>
      <c r="H18" s="147">
        <f t="shared" si="7"/>
        <v>29050</v>
      </c>
      <c r="I18" s="148">
        <v>0</v>
      </c>
      <c r="J18" s="148">
        <f t="shared" si="2"/>
        <v>137.0921232876712</v>
      </c>
      <c r="K18" s="130">
        <f t="shared" si="3"/>
        <v>350245.10547945218</v>
      </c>
    </row>
    <row r="19" spans="1:11" x14ac:dyDescent="0.2">
      <c r="A19" s="156"/>
      <c r="B19" s="143">
        <f t="shared" si="4"/>
        <v>42644</v>
      </c>
      <c r="C19" s="143">
        <f t="shared" si="5"/>
        <v>42735</v>
      </c>
      <c r="D19" s="142">
        <f t="shared" si="0"/>
        <v>92</v>
      </c>
      <c r="E19" s="160">
        <f>VLOOKUP(C19,'FERC Interest Rate'!$A:$C,2,TRUE)</f>
        <v>4.2833329999999996E-2</v>
      </c>
      <c r="F19" s="148">
        <f t="shared" si="6"/>
        <v>350245.10547945218</v>
      </c>
      <c r="G19" s="147">
        <f t="shared" si="1"/>
        <v>3771.0358057855974</v>
      </c>
      <c r="H19" s="147">
        <f t="shared" si="7"/>
        <v>29050</v>
      </c>
      <c r="I19" s="148">
        <v>0</v>
      </c>
      <c r="J19" s="148">
        <f t="shared" si="2"/>
        <v>137.0921232876712</v>
      </c>
      <c r="K19" s="130">
        <f t="shared" si="3"/>
        <v>321058.01335616451</v>
      </c>
    </row>
    <row r="20" spans="1:11" x14ac:dyDescent="0.2">
      <c r="A20" s="156"/>
      <c r="B20" s="143">
        <f t="shared" si="4"/>
        <v>42736</v>
      </c>
      <c r="C20" s="143">
        <f t="shared" si="5"/>
        <v>42825</v>
      </c>
      <c r="D20" s="142">
        <f t="shared" si="0"/>
        <v>90</v>
      </c>
      <c r="E20" s="160">
        <f>VLOOKUP(C20,'FERC Interest Rate'!$A:$C,2,TRUE)</f>
        <v>4.7066670000000005E-2</v>
      </c>
      <c r="F20" s="148">
        <f t="shared" si="6"/>
        <v>321058.01335616451</v>
      </c>
      <c r="G20" s="147">
        <f t="shared" si="1"/>
        <v>3726.0324408057995</v>
      </c>
      <c r="H20" s="147">
        <f t="shared" si="7"/>
        <v>29050</v>
      </c>
      <c r="I20" s="148">
        <v>0</v>
      </c>
      <c r="J20" s="148">
        <f t="shared" si="2"/>
        <v>137.0921232876712</v>
      </c>
      <c r="K20" s="130">
        <f t="shared" si="3"/>
        <v>291870.92123287683</v>
      </c>
    </row>
    <row r="21" spans="1:11" x14ac:dyDescent="0.2">
      <c r="A21" s="156"/>
      <c r="B21" s="143">
        <f t="shared" si="4"/>
        <v>42826</v>
      </c>
      <c r="C21" s="143">
        <f t="shared" si="5"/>
        <v>42916</v>
      </c>
      <c r="D21" s="142">
        <f t="shared" si="0"/>
        <v>91</v>
      </c>
      <c r="E21" s="160">
        <f>VLOOKUP(C21,'FERC Interest Rate'!$A:$C,2,TRUE)</f>
        <v>5.21E-2</v>
      </c>
      <c r="F21" s="148">
        <f t="shared" si="6"/>
        <v>291870.92123287683</v>
      </c>
      <c r="G21" s="147">
        <f t="shared" si="1"/>
        <v>3791.2033552251846</v>
      </c>
      <c r="H21" s="147">
        <f t="shared" si="7"/>
        <v>29050</v>
      </c>
      <c r="I21" s="148">
        <v>0</v>
      </c>
      <c r="J21" s="148">
        <f t="shared" si="2"/>
        <v>137.0921232876712</v>
      </c>
      <c r="K21" s="130">
        <f t="shared" si="3"/>
        <v>262683.82910958916</v>
      </c>
    </row>
    <row r="22" spans="1:11" x14ac:dyDescent="0.2">
      <c r="A22" s="156"/>
      <c r="B22" s="143">
        <f t="shared" si="4"/>
        <v>42917</v>
      </c>
      <c r="C22" s="143">
        <f t="shared" si="5"/>
        <v>43008</v>
      </c>
      <c r="D22" s="142">
        <f t="shared" si="0"/>
        <v>92</v>
      </c>
      <c r="E22" s="160">
        <f>VLOOKUP(C22,'FERC Interest Rate'!$A:$C,2,TRUE)</f>
        <v>5.7066670000000007E-2</v>
      </c>
      <c r="F22" s="148">
        <f t="shared" si="6"/>
        <v>262683.82910958916</v>
      </c>
      <c r="G22" s="147">
        <f t="shared" si="1"/>
        <v>3778.4252271020973</v>
      </c>
      <c r="H22" s="147">
        <f t="shared" si="7"/>
        <v>29050</v>
      </c>
      <c r="I22" s="148">
        <v>0</v>
      </c>
      <c r="J22" s="148">
        <f t="shared" si="2"/>
        <v>137.0921232876712</v>
      </c>
      <c r="K22" s="130">
        <f t="shared" si="3"/>
        <v>233496.73698630149</v>
      </c>
    </row>
    <row r="23" spans="1:11" x14ac:dyDescent="0.2">
      <c r="A23" s="156"/>
      <c r="B23" s="143">
        <f t="shared" si="4"/>
        <v>43009</v>
      </c>
      <c r="C23" s="143">
        <f t="shared" si="5"/>
        <v>43100</v>
      </c>
      <c r="D23" s="142">
        <f t="shared" si="0"/>
        <v>92</v>
      </c>
      <c r="E23" s="160">
        <f>VLOOKUP(C23,'FERC Interest Rate'!$A:$C,2,TRUE)</f>
        <v>6.2033329999999998E-2</v>
      </c>
      <c r="F23" s="148">
        <f t="shared" si="6"/>
        <v>233496.73698630149</v>
      </c>
      <c r="G23" s="147">
        <f t="shared" si="1"/>
        <v>3650.9078707514768</v>
      </c>
      <c r="H23" s="147">
        <f t="shared" si="7"/>
        <v>29050</v>
      </c>
      <c r="I23" s="148">
        <v>0</v>
      </c>
      <c r="J23" s="148">
        <f t="shared" si="2"/>
        <v>137.0921232876712</v>
      </c>
      <c r="K23" s="130">
        <f t="shared" si="3"/>
        <v>204309.64486301382</v>
      </c>
    </row>
    <row r="24" spans="1:11" x14ac:dyDescent="0.2">
      <c r="A24" s="156"/>
      <c r="B24" s="143">
        <f t="shared" si="4"/>
        <v>43101</v>
      </c>
      <c r="C24" s="143">
        <f t="shared" si="5"/>
        <v>43190</v>
      </c>
      <c r="D24" s="142">
        <f t="shared" si="0"/>
        <v>90</v>
      </c>
      <c r="E24" s="160">
        <f>VLOOKUP(C24,'FERC Interest Rate'!$A:$C,2,TRUE)</f>
        <v>6.6699999999999995E-2</v>
      </c>
      <c r="F24" s="148">
        <f t="shared" si="6"/>
        <v>204309.64486301382</v>
      </c>
      <c r="G24" s="147">
        <f t="shared" si="1"/>
        <v>3360.1939674319774</v>
      </c>
      <c r="H24" s="147">
        <f t="shared" si="7"/>
        <v>29050</v>
      </c>
      <c r="I24" s="148">
        <v>0</v>
      </c>
      <c r="J24" s="148">
        <f t="shared" si="2"/>
        <v>137.0921232876712</v>
      </c>
      <c r="K24" s="130">
        <f t="shared" si="3"/>
        <v>175122.55273972615</v>
      </c>
    </row>
    <row r="25" spans="1:11" x14ac:dyDescent="0.2">
      <c r="A25" s="156"/>
      <c r="B25" s="143">
        <f t="shared" si="4"/>
        <v>43191</v>
      </c>
      <c r="C25" s="143">
        <f t="shared" si="5"/>
        <v>43281</v>
      </c>
      <c r="D25" s="142">
        <f t="shared" si="0"/>
        <v>91</v>
      </c>
      <c r="E25" s="160">
        <f>VLOOKUP(C25,'FERC Interest Rate'!$A:$C,2,TRUE)</f>
        <v>6.7500000000000004E-2</v>
      </c>
      <c r="F25" s="148">
        <f t="shared" si="6"/>
        <v>175122.55273972615</v>
      </c>
      <c r="G25" s="147">
        <f t="shared" si="1"/>
        <v>2947.0966580925146</v>
      </c>
      <c r="H25" s="147">
        <f t="shared" si="7"/>
        <v>29050</v>
      </c>
      <c r="I25" s="148">
        <v>0</v>
      </c>
      <c r="J25" s="148">
        <f t="shared" si="2"/>
        <v>137.0921232876712</v>
      </c>
      <c r="K25" s="130">
        <f t="shared" si="3"/>
        <v>145935.46061643847</v>
      </c>
    </row>
    <row r="26" spans="1:11" x14ac:dyDescent="0.2">
      <c r="A26" s="156"/>
      <c r="B26" s="143">
        <f t="shared" si="4"/>
        <v>43282</v>
      </c>
      <c r="C26" s="143">
        <f t="shared" si="5"/>
        <v>43373</v>
      </c>
      <c r="D26" s="142">
        <f t="shared" si="0"/>
        <v>92</v>
      </c>
      <c r="E26" s="160">
        <f>VLOOKUP(C26,'FERC Interest Rate'!$A:$C,2,TRUE)</f>
        <v>6.7500000000000004E-2</v>
      </c>
      <c r="F26" s="148">
        <f t="shared" si="6"/>
        <v>145935.46061643847</v>
      </c>
      <c r="G26" s="147">
        <f t="shared" si="1"/>
        <v>2482.9019463783097</v>
      </c>
      <c r="H26" s="147">
        <f t="shared" si="7"/>
        <v>29050</v>
      </c>
      <c r="I26" s="148">
        <v>0</v>
      </c>
      <c r="J26" s="148">
        <f t="shared" si="2"/>
        <v>137.0921232876712</v>
      </c>
      <c r="K26" s="130">
        <f t="shared" si="3"/>
        <v>116748.3684931508</v>
      </c>
    </row>
    <row r="27" spans="1:11" x14ac:dyDescent="0.2">
      <c r="A27" s="156"/>
      <c r="B27" s="143">
        <f t="shared" si="4"/>
        <v>43374</v>
      </c>
      <c r="C27" s="143">
        <f t="shared" si="5"/>
        <v>43465</v>
      </c>
      <c r="D27" s="142">
        <f t="shared" si="0"/>
        <v>92</v>
      </c>
      <c r="E27" s="160">
        <f>VLOOKUP(C27,'FERC Interest Rate'!$A:$C,2,TRUE)</f>
        <v>6.7500000000000004E-2</v>
      </c>
      <c r="F27" s="148">
        <f t="shared" si="6"/>
        <v>116748.3684931508</v>
      </c>
      <c r="G27" s="147">
        <f t="shared" si="1"/>
        <v>1986.3215571026481</v>
      </c>
      <c r="H27" s="147">
        <f t="shared" si="7"/>
        <v>29050</v>
      </c>
      <c r="I27" s="148">
        <v>0</v>
      </c>
      <c r="J27" s="148">
        <f t="shared" si="2"/>
        <v>137.0921232876712</v>
      </c>
      <c r="K27" s="130">
        <f t="shared" si="3"/>
        <v>87561.276369863132</v>
      </c>
    </row>
    <row r="28" spans="1:11" x14ac:dyDescent="0.2">
      <c r="A28" s="156"/>
      <c r="B28" s="143">
        <f t="shared" si="4"/>
        <v>43466</v>
      </c>
      <c r="C28" s="143">
        <f t="shared" si="5"/>
        <v>43555</v>
      </c>
      <c r="D28" s="142">
        <f t="shared" si="0"/>
        <v>90</v>
      </c>
      <c r="E28" s="160">
        <f>VLOOKUP(C28,'FERC Interest Rate'!$A:$C,2,TRUE)</f>
        <v>6.7500000000000004E-2</v>
      </c>
      <c r="F28" s="148">
        <f t="shared" si="6"/>
        <v>87561.276369863132</v>
      </c>
      <c r="G28" s="147">
        <f t="shared" si="1"/>
        <v>1457.3554902655303</v>
      </c>
      <c r="H28" s="147">
        <f t="shared" si="7"/>
        <v>29050</v>
      </c>
      <c r="I28" s="148">
        <v>0</v>
      </c>
      <c r="J28" s="148">
        <f t="shared" si="2"/>
        <v>137.0921232876712</v>
      </c>
      <c r="K28" s="130">
        <f t="shared" si="3"/>
        <v>58374.18424657546</v>
      </c>
    </row>
    <row r="29" spans="1:11" x14ac:dyDescent="0.2">
      <c r="A29" s="156"/>
      <c r="B29" s="143">
        <f t="shared" si="4"/>
        <v>43556</v>
      </c>
      <c r="C29" s="143">
        <f t="shared" si="5"/>
        <v>43646</v>
      </c>
      <c r="D29" s="142">
        <f t="shared" si="0"/>
        <v>91</v>
      </c>
      <c r="E29" s="160">
        <f>VLOOKUP(C29,'FERC Interest Rate'!$A:$C,2,TRUE)</f>
        <v>6.7500000000000004E-2</v>
      </c>
      <c r="F29" s="148">
        <f t="shared" si="6"/>
        <v>58374.18424657546</v>
      </c>
      <c r="G29" s="147">
        <f t="shared" si="1"/>
        <v>982.36555269750625</v>
      </c>
      <c r="H29" s="147">
        <f t="shared" si="7"/>
        <v>29050</v>
      </c>
      <c r="I29" s="148">
        <v>0</v>
      </c>
      <c r="J29" s="148">
        <f t="shared" si="2"/>
        <v>137.0921232876712</v>
      </c>
      <c r="K29" s="130">
        <f t="shared" si="3"/>
        <v>29187.092123287788</v>
      </c>
    </row>
    <row r="30" spans="1:11" x14ac:dyDescent="0.2">
      <c r="A30" s="156"/>
      <c r="B30" s="143">
        <f t="shared" si="4"/>
        <v>43647</v>
      </c>
      <c r="C30" s="143">
        <f t="shared" si="5"/>
        <v>43738</v>
      </c>
      <c r="D30" s="142">
        <f t="shared" si="0"/>
        <v>92</v>
      </c>
      <c r="E30" s="160">
        <f>VLOOKUP(C30,'FERC Interest Rate'!$A:$C,2,TRUE)</f>
        <v>6.7500000000000004E-2</v>
      </c>
      <c r="F30" s="148">
        <f t="shared" si="6"/>
        <v>29187.092123287788</v>
      </c>
      <c r="G30" s="147">
        <f t="shared" si="1"/>
        <v>496.58038927566355</v>
      </c>
      <c r="H30" s="147">
        <f t="shared" si="7"/>
        <v>29050</v>
      </c>
      <c r="I30" s="148">
        <v>0</v>
      </c>
      <c r="J30" s="148">
        <f t="shared" si="2"/>
        <v>137.0921232876712</v>
      </c>
      <c r="K30" s="130">
        <f t="shared" si="3"/>
        <v>1.1692691259668209E-10</v>
      </c>
    </row>
    <row r="31" spans="1:11" ht="13.5" thickBot="1" x14ac:dyDescent="0.25">
      <c r="A31" s="129"/>
      <c r="B31" s="144"/>
      <c r="C31" s="144"/>
      <c r="D31" s="121"/>
      <c r="E31" s="122"/>
      <c r="F31" s="145"/>
      <c r="G31" s="145"/>
      <c r="H31" s="146"/>
      <c r="I31" s="123"/>
      <c r="J31" s="123"/>
      <c r="K31" s="128"/>
    </row>
    <row r="32" spans="1:11" ht="13.5" thickBot="1" x14ac:dyDescent="0.25">
      <c r="A32" s="5"/>
      <c r="B32" s="41"/>
      <c r="C32" s="41"/>
      <c r="D32" s="42"/>
      <c r="E32" s="43"/>
      <c r="F32" s="126"/>
      <c r="G32" s="126"/>
      <c r="H32" s="58"/>
      <c r="I32" s="58"/>
      <c r="J32" s="44"/>
    </row>
    <row r="33" spans="1:11" ht="13.5" thickBot="1" x14ac:dyDescent="0.25">
      <c r="A33" s="304" t="s">
        <v>71</v>
      </c>
      <c r="B33" s="305"/>
      <c r="C33" s="305"/>
      <c r="D33" s="305"/>
      <c r="E33" s="305"/>
      <c r="F33" s="305"/>
      <c r="G33" s="305"/>
      <c r="H33" s="305"/>
      <c r="I33" s="305"/>
      <c r="J33" s="305"/>
      <c r="K33" s="306"/>
    </row>
    <row r="34" spans="1:11" ht="51.75" thickBot="1" x14ac:dyDescent="0.25">
      <c r="A34" s="163" t="s">
        <v>9</v>
      </c>
      <c r="B34" s="164" t="s">
        <v>10</v>
      </c>
      <c r="C34" s="164" t="s">
        <v>11</v>
      </c>
      <c r="D34" s="164" t="s">
        <v>12</v>
      </c>
      <c r="E34" s="164" t="s">
        <v>13</v>
      </c>
      <c r="F34" s="164" t="s">
        <v>14</v>
      </c>
      <c r="G34" s="164" t="s">
        <v>32</v>
      </c>
      <c r="H34" s="164" t="s">
        <v>16</v>
      </c>
      <c r="I34" s="164" t="s">
        <v>85</v>
      </c>
      <c r="J34" s="164" t="s">
        <v>33</v>
      </c>
      <c r="K34" s="165" t="s">
        <v>15</v>
      </c>
    </row>
    <row r="35" spans="1:11" x14ac:dyDescent="0.2">
      <c r="A35" s="157"/>
      <c r="B35" s="166">
        <f>B2</f>
        <v>41958</v>
      </c>
      <c r="C35" s="166">
        <f>DATE(YEAR(B35),IF(MONTH(B35)&lt;=3,3,IF(MONTH(B35)&lt;=6,6,IF(MONTH(B35)&lt;=9,9,12))),IF(OR(MONTH(B35)&lt;=3,MONTH(B35)&gt;=10),31,30))</f>
        <v>42004</v>
      </c>
      <c r="D35" s="159">
        <f>C35-B35+1</f>
        <v>47</v>
      </c>
      <c r="E35" s="160">
        <f>VLOOKUP(C35,'FERC Interest Rate'!$A:$B,2,TRUE)</f>
        <v>3.2500000000000001E-2</v>
      </c>
      <c r="F35" s="161">
        <f>$E$2</f>
        <v>0</v>
      </c>
      <c r="G35" s="147">
        <v>0</v>
      </c>
      <c r="H35" s="162">
        <v>0</v>
      </c>
      <c r="I35" s="161">
        <f>F35*E35*(D35/(DATE(YEAR(C35),12,31)-DATE(YEAR(C35),1,1)+1))</f>
        <v>0</v>
      </c>
      <c r="J35" s="161">
        <v>0</v>
      </c>
      <c r="K35" s="130">
        <f>F35+I35-H35-J35</f>
        <v>0</v>
      </c>
    </row>
    <row r="36" spans="1:11" x14ac:dyDescent="0.2">
      <c r="A36" s="156"/>
      <c r="B36" s="167">
        <f>C35+1</f>
        <v>42005</v>
      </c>
      <c r="C36" s="167">
        <f>EOMONTH(C35,3)</f>
        <v>42094</v>
      </c>
      <c r="D36" s="142">
        <f t="shared" ref="D36:D62" si="8">C36-B36+1</f>
        <v>90</v>
      </c>
      <c r="E36" s="160">
        <f>VLOOKUP(C36,'FERC Interest Rate'!$A:$B,2,TRUE)</f>
        <v>3.2500000000000001E-2</v>
      </c>
      <c r="F36" s="148">
        <f>K35</f>
        <v>0</v>
      </c>
      <c r="G36" s="147">
        <v>0</v>
      </c>
      <c r="H36" s="147">
        <v>0</v>
      </c>
      <c r="I36" s="161">
        <f t="shared" ref="I36:I42" si="9">F36*E36*(D36/(DATE(YEAR(C36),12,31)-DATE(YEAR(C36),1,1)+1))</f>
        <v>0</v>
      </c>
      <c r="J36" s="148">
        <v>0</v>
      </c>
      <c r="K36" s="130">
        <f t="shared" ref="K36:K62" si="10">F36+I36-H36-J36</f>
        <v>0</v>
      </c>
    </row>
    <row r="37" spans="1:11" x14ac:dyDescent="0.2">
      <c r="A37" s="156"/>
      <c r="B37" s="167">
        <f t="shared" ref="B37:B62" si="11">C36+1</f>
        <v>42095</v>
      </c>
      <c r="C37" s="167">
        <f t="shared" ref="C37:C62" si="12">EOMONTH(C36,3)</f>
        <v>42185</v>
      </c>
      <c r="D37" s="142">
        <f t="shared" si="8"/>
        <v>91</v>
      </c>
      <c r="E37" s="160">
        <f>VLOOKUP(C37,'FERC Interest Rate'!$A:$B,2,TRUE)</f>
        <v>3.2500000000000001E-2</v>
      </c>
      <c r="F37" s="148">
        <f t="shared" ref="F37:F62" si="13">K36</f>
        <v>0</v>
      </c>
      <c r="G37" s="147">
        <v>0</v>
      </c>
      <c r="H37" s="147">
        <v>0</v>
      </c>
      <c r="I37" s="161">
        <f t="shared" si="9"/>
        <v>0</v>
      </c>
      <c r="J37" s="148">
        <v>0</v>
      </c>
      <c r="K37" s="130">
        <f t="shared" si="10"/>
        <v>0</v>
      </c>
    </row>
    <row r="38" spans="1:11" x14ac:dyDescent="0.2">
      <c r="A38" s="156"/>
      <c r="B38" s="167">
        <f t="shared" si="11"/>
        <v>42186</v>
      </c>
      <c r="C38" s="167">
        <f t="shared" si="12"/>
        <v>42277</v>
      </c>
      <c r="D38" s="142">
        <f t="shared" si="8"/>
        <v>92</v>
      </c>
      <c r="E38" s="160">
        <f>VLOOKUP(C38,'FERC Interest Rate'!$A:$B,2,TRUE)</f>
        <v>3.2500000000000001E-2</v>
      </c>
      <c r="F38" s="148">
        <f t="shared" si="13"/>
        <v>0</v>
      </c>
      <c r="G38" s="147">
        <v>0</v>
      </c>
      <c r="H38" s="147">
        <v>0</v>
      </c>
      <c r="I38" s="161">
        <f t="shared" si="9"/>
        <v>0</v>
      </c>
      <c r="J38" s="148">
        <v>0</v>
      </c>
      <c r="K38" s="130">
        <f t="shared" si="10"/>
        <v>0</v>
      </c>
    </row>
    <row r="39" spans="1:11" x14ac:dyDescent="0.2">
      <c r="A39" s="156"/>
      <c r="B39" s="167">
        <f t="shared" si="11"/>
        <v>42278</v>
      </c>
      <c r="C39" s="167">
        <f t="shared" si="12"/>
        <v>42369</v>
      </c>
      <c r="D39" s="142">
        <f t="shared" si="8"/>
        <v>92</v>
      </c>
      <c r="E39" s="160">
        <f>VLOOKUP(C39,'FERC Interest Rate'!$A:$B,2,TRUE)</f>
        <v>3.2500000000000001E-2</v>
      </c>
      <c r="F39" s="148">
        <f t="shared" si="13"/>
        <v>0</v>
      </c>
      <c r="G39" s="147">
        <v>0</v>
      </c>
      <c r="H39" s="147">
        <v>0</v>
      </c>
      <c r="I39" s="161">
        <f t="shared" si="9"/>
        <v>0</v>
      </c>
      <c r="J39" s="148">
        <v>0</v>
      </c>
      <c r="K39" s="130">
        <f t="shared" si="10"/>
        <v>0</v>
      </c>
    </row>
    <row r="40" spans="1:11" x14ac:dyDescent="0.2">
      <c r="A40" s="156"/>
      <c r="B40" s="167">
        <f t="shared" si="11"/>
        <v>42370</v>
      </c>
      <c r="C40" s="167">
        <f t="shared" si="12"/>
        <v>42460</v>
      </c>
      <c r="D40" s="142">
        <f t="shared" si="8"/>
        <v>91</v>
      </c>
      <c r="E40" s="160">
        <f>VLOOKUP(C40,'FERC Interest Rate'!$A:$B,2,TRUE)</f>
        <v>3.2500000000000001E-2</v>
      </c>
      <c r="F40" s="148">
        <f t="shared" si="13"/>
        <v>0</v>
      </c>
      <c r="G40" s="147">
        <v>0</v>
      </c>
      <c r="H40" s="147">
        <v>0</v>
      </c>
      <c r="I40" s="161">
        <f t="shared" si="9"/>
        <v>0</v>
      </c>
      <c r="J40" s="148">
        <v>0</v>
      </c>
      <c r="K40" s="130">
        <f t="shared" si="10"/>
        <v>0</v>
      </c>
    </row>
    <row r="41" spans="1:11" x14ac:dyDescent="0.2">
      <c r="A41" s="156"/>
      <c r="B41" s="167">
        <f t="shared" si="11"/>
        <v>42461</v>
      </c>
      <c r="C41" s="167">
        <f t="shared" si="12"/>
        <v>42551</v>
      </c>
      <c r="D41" s="142">
        <f t="shared" si="8"/>
        <v>91</v>
      </c>
      <c r="E41" s="160">
        <f>VLOOKUP(C41,'FERC Interest Rate'!$A:$B,2,TRUE)</f>
        <v>3.2500000000000001E-2</v>
      </c>
      <c r="F41" s="148">
        <f t="shared" si="13"/>
        <v>0</v>
      </c>
      <c r="G41" s="147">
        <v>0</v>
      </c>
      <c r="H41" s="147">
        <v>0</v>
      </c>
      <c r="I41" s="161">
        <f t="shared" si="9"/>
        <v>0</v>
      </c>
      <c r="J41" s="148">
        <v>0</v>
      </c>
      <c r="K41" s="130">
        <f t="shared" si="10"/>
        <v>0</v>
      </c>
    </row>
    <row r="42" spans="1:11" x14ac:dyDescent="0.2">
      <c r="A42" s="156"/>
      <c r="B42" s="167">
        <f t="shared" si="11"/>
        <v>42552</v>
      </c>
      <c r="C42" s="167">
        <f t="shared" si="12"/>
        <v>42643</v>
      </c>
      <c r="D42" s="142">
        <f t="shared" si="8"/>
        <v>92</v>
      </c>
      <c r="E42" s="160">
        <f>VLOOKUP(C42,'FERC Interest Rate'!$A:$B,2,TRUE)</f>
        <v>4.0333330000000001E-2</v>
      </c>
      <c r="F42" s="148">
        <f t="shared" si="13"/>
        <v>0</v>
      </c>
      <c r="G42" s="147">
        <v>0</v>
      </c>
      <c r="H42" s="147">
        <v>0</v>
      </c>
      <c r="I42" s="161">
        <f t="shared" si="9"/>
        <v>0</v>
      </c>
      <c r="J42" s="148">
        <v>0</v>
      </c>
      <c r="K42" s="130">
        <f t="shared" si="10"/>
        <v>0</v>
      </c>
    </row>
    <row r="43" spans="1:11" x14ac:dyDescent="0.2">
      <c r="A43" s="156"/>
      <c r="B43" s="167">
        <f t="shared" si="11"/>
        <v>42644</v>
      </c>
      <c r="C43" s="167">
        <f t="shared" si="12"/>
        <v>42735</v>
      </c>
      <c r="D43" s="142">
        <f t="shared" si="8"/>
        <v>92</v>
      </c>
      <c r="E43" s="160">
        <f>VLOOKUP(C43,'FERC Interest Rate'!$A:$B,2,TRUE)</f>
        <v>4.2833329999999996E-2</v>
      </c>
      <c r="F43" s="148">
        <f>K42</f>
        <v>0</v>
      </c>
      <c r="G43" s="147">
        <f t="shared" ref="G43:G60" si="14">F43*E43*(D43/(DATE(YEAR(C43),12,31)-DATE(YEAR(C43),1,1)+1))</f>
        <v>0</v>
      </c>
      <c r="H43" s="147">
        <f>$F$66/20</f>
        <v>0</v>
      </c>
      <c r="I43" s="148">
        <v>0</v>
      </c>
      <c r="J43" s="148">
        <f>SUM($I$66:$I$94)/20</f>
        <v>0</v>
      </c>
      <c r="K43" s="130">
        <f t="shared" si="10"/>
        <v>0</v>
      </c>
    </row>
    <row r="44" spans="1:11" x14ac:dyDescent="0.2">
      <c r="A44" s="156"/>
      <c r="B44" s="167">
        <f t="shared" si="11"/>
        <v>42736</v>
      </c>
      <c r="C44" s="167">
        <f t="shared" si="12"/>
        <v>42825</v>
      </c>
      <c r="D44" s="142">
        <f t="shared" si="8"/>
        <v>90</v>
      </c>
      <c r="E44" s="160">
        <f>VLOOKUP(C44,'FERC Interest Rate'!$A:$B,2,TRUE)</f>
        <v>4.7066670000000005E-2</v>
      </c>
      <c r="F44" s="148">
        <f>K43</f>
        <v>0</v>
      </c>
      <c r="G44" s="147">
        <f t="shared" si="14"/>
        <v>0</v>
      </c>
      <c r="H44" s="147">
        <f t="shared" ref="H44:H62" si="15">$F$66/20</f>
        <v>0</v>
      </c>
      <c r="I44" s="148">
        <v>0</v>
      </c>
      <c r="J44" s="148">
        <f t="shared" ref="J44:J62" si="16">SUM($I$66:$I$94)/20</f>
        <v>0</v>
      </c>
      <c r="K44" s="130">
        <f t="shared" si="10"/>
        <v>0</v>
      </c>
    </row>
    <row r="45" spans="1:11" x14ac:dyDescent="0.2">
      <c r="A45" s="156"/>
      <c r="B45" s="167">
        <f t="shared" si="11"/>
        <v>42826</v>
      </c>
      <c r="C45" s="167">
        <f t="shared" si="12"/>
        <v>42916</v>
      </c>
      <c r="D45" s="142">
        <f t="shared" si="8"/>
        <v>91</v>
      </c>
      <c r="E45" s="160">
        <f>VLOOKUP(C45,'FERC Interest Rate'!$A:$B,2,TRUE)</f>
        <v>5.21E-2</v>
      </c>
      <c r="F45" s="148">
        <f t="shared" si="13"/>
        <v>0</v>
      </c>
      <c r="G45" s="147">
        <f t="shared" si="14"/>
        <v>0</v>
      </c>
      <c r="H45" s="147">
        <f t="shared" si="15"/>
        <v>0</v>
      </c>
      <c r="I45" s="148">
        <v>0</v>
      </c>
      <c r="J45" s="148">
        <f t="shared" si="16"/>
        <v>0</v>
      </c>
      <c r="K45" s="130">
        <f t="shared" si="10"/>
        <v>0</v>
      </c>
    </row>
    <row r="46" spans="1:11" x14ac:dyDescent="0.2">
      <c r="A46" s="156"/>
      <c r="B46" s="167">
        <f t="shared" si="11"/>
        <v>42917</v>
      </c>
      <c r="C46" s="167">
        <f t="shared" si="12"/>
        <v>43008</v>
      </c>
      <c r="D46" s="142">
        <f t="shared" si="8"/>
        <v>92</v>
      </c>
      <c r="E46" s="160">
        <f>VLOOKUP(C46,'FERC Interest Rate'!$A:$B,2,TRUE)</f>
        <v>5.7066670000000007E-2</v>
      </c>
      <c r="F46" s="148">
        <f t="shared" si="13"/>
        <v>0</v>
      </c>
      <c r="G46" s="147">
        <f t="shared" si="14"/>
        <v>0</v>
      </c>
      <c r="H46" s="147">
        <f t="shared" si="15"/>
        <v>0</v>
      </c>
      <c r="I46" s="148">
        <v>0</v>
      </c>
      <c r="J46" s="148">
        <f t="shared" si="16"/>
        <v>0</v>
      </c>
      <c r="K46" s="130">
        <f t="shared" si="10"/>
        <v>0</v>
      </c>
    </row>
    <row r="47" spans="1:11" x14ac:dyDescent="0.2">
      <c r="A47" s="156"/>
      <c r="B47" s="167">
        <f t="shared" si="11"/>
        <v>43009</v>
      </c>
      <c r="C47" s="167">
        <f t="shared" si="12"/>
        <v>43100</v>
      </c>
      <c r="D47" s="142">
        <f t="shared" si="8"/>
        <v>92</v>
      </c>
      <c r="E47" s="160">
        <f>VLOOKUP(C47,'FERC Interest Rate'!$A:$B,2,TRUE)</f>
        <v>6.2033329999999998E-2</v>
      </c>
      <c r="F47" s="148">
        <f t="shared" si="13"/>
        <v>0</v>
      </c>
      <c r="G47" s="147">
        <f t="shared" si="14"/>
        <v>0</v>
      </c>
      <c r="H47" s="147">
        <f t="shared" si="15"/>
        <v>0</v>
      </c>
      <c r="I47" s="148">
        <v>0</v>
      </c>
      <c r="J47" s="148">
        <f t="shared" si="16"/>
        <v>0</v>
      </c>
      <c r="K47" s="130">
        <f t="shared" si="10"/>
        <v>0</v>
      </c>
    </row>
    <row r="48" spans="1:11" x14ac:dyDescent="0.2">
      <c r="A48" s="156"/>
      <c r="B48" s="167">
        <f t="shared" si="11"/>
        <v>43101</v>
      </c>
      <c r="C48" s="167">
        <f t="shared" si="12"/>
        <v>43190</v>
      </c>
      <c r="D48" s="142">
        <f t="shared" si="8"/>
        <v>90</v>
      </c>
      <c r="E48" s="160">
        <f>VLOOKUP(C48,'FERC Interest Rate'!$A:$B,2,TRUE)</f>
        <v>6.6699999999999995E-2</v>
      </c>
      <c r="F48" s="148">
        <f t="shared" si="13"/>
        <v>0</v>
      </c>
      <c r="G48" s="147">
        <f t="shared" si="14"/>
        <v>0</v>
      </c>
      <c r="H48" s="147">
        <f t="shared" si="15"/>
        <v>0</v>
      </c>
      <c r="I48" s="148">
        <v>0</v>
      </c>
      <c r="J48" s="148">
        <f t="shared" si="16"/>
        <v>0</v>
      </c>
      <c r="K48" s="130">
        <f t="shared" si="10"/>
        <v>0</v>
      </c>
    </row>
    <row r="49" spans="1:11" x14ac:dyDescent="0.2">
      <c r="A49" s="156"/>
      <c r="B49" s="167">
        <f t="shared" si="11"/>
        <v>43191</v>
      </c>
      <c r="C49" s="167">
        <f t="shared" si="12"/>
        <v>43281</v>
      </c>
      <c r="D49" s="142">
        <f t="shared" si="8"/>
        <v>91</v>
      </c>
      <c r="E49" s="160">
        <f>VLOOKUP(C49,'FERC Interest Rate'!$A:$B,2,TRUE)</f>
        <v>6.7500000000000004E-2</v>
      </c>
      <c r="F49" s="148">
        <f t="shared" si="13"/>
        <v>0</v>
      </c>
      <c r="G49" s="147">
        <f t="shared" si="14"/>
        <v>0</v>
      </c>
      <c r="H49" s="147">
        <f t="shared" si="15"/>
        <v>0</v>
      </c>
      <c r="I49" s="148">
        <v>0</v>
      </c>
      <c r="J49" s="148">
        <f t="shared" si="16"/>
        <v>0</v>
      </c>
      <c r="K49" s="130">
        <f t="shared" si="10"/>
        <v>0</v>
      </c>
    </row>
    <row r="50" spans="1:11" x14ac:dyDescent="0.2">
      <c r="A50" s="156"/>
      <c r="B50" s="167">
        <f t="shared" si="11"/>
        <v>43282</v>
      </c>
      <c r="C50" s="167">
        <f t="shared" si="12"/>
        <v>43373</v>
      </c>
      <c r="D50" s="142">
        <f t="shared" si="8"/>
        <v>92</v>
      </c>
      <c r="E50" s="160">
        <f>VLOOKUP(C50,'FERC Interest Rate'!$A:$B,2,TRUE)</f>
        <v>6.7500000000000004E-2</v>
      </c>
      <c r="F50" s="148">
        <f t="shared" si="13"/>
        <v>0</v>
      </c>
      <c r="G50" s="147">
        <f t="shared" si="14"/>
        <v>0</v>
      </c>
      <c r="H50" s="147">
        <f t="shared" si="15"/>
        <v>0</v>
      </c>
      <c r="I50" s="148">
        <v>0</v>
      </c>
      <c r="J50" s="148">
        <f t="shared" si="16"/>
        <v>0</v>
      </c>
      <c r="K50" s="130">
        <f t="shared" si="10"/>
        <v>0</v>
      </c>
    </row>
    <row r="51" spans="1:11" x14ac:dyDescent="0.2">
      <c r="A51" s="156"/>
      <c r="B51" s="167">
        <f t="shared" si="11"/>
        <v>43374</v>
      </c>
      <c r="C51" s="167">
        <f t="shared" si="12"/>
        <v>43465</v>
      </c>
      <c r="D51" s="142">
        <f t="shared" si="8"/>
        <v>92</v>
      </c>
      <c r="E51" s="160">
        <f>VLOOKUP(C51,'FERC Interest Rate'!$A:$B,2,TRUE)</f>
        <v>6.7500000000000004E-2</v>
      </c>
      <c r="F51" s="148">
        <f t="shared" si="13"/>
        <v>0</v>
      </c>
      <c r="G51" s="147">
        <f t="shared" si="14"/>
        <v>0</v>
      </c>
      <c r="H51" s="147">
        <f t="shared" si="15"/>
        <v>0</v>
      </c>
      <c r="I51" s="148">
        <v>0</v>
      </c>
      <c r="J51" s="148">
        <f t="shared" si="16"/>
        <v>0</v>
      </c>
      <c r="K51" s="130">
        <f t="shared" si="10"/>
        <v>0</v>
      </c>
    </row>
    <row r="52" spans="1:11" x14ac:dyDescent="0.2">
      <c r="A52" s="156"/>
      <c r="B52" s="167">
        <f t="shared" si="11"/>
        <v>43466</v>
      </c>
      <c r="C52" s="167">
        <f t="shared" si="12"/>
        <v>43555</v>
      </c>
      <c r="D52" s="142">
        <f t="shared" si="8"/>
        <v>90</v>
      </c>
      <c r="E52" s="160">
        <f>VLOOKUP(C52,'FERC Interest Rate'!$A:$B,2,TRUE)</f>
        <v>6.7500000000000004E-2</v>
      </c>
      <c r="F52" s="148">
        <f t="shared" si="13"/>
        <v>0</v>
      </c>
      <c r="G52" s="147">
        <f t="shared" si="14"/>
        <v>0</v>
      </c>
      <c r="H52" s="147">
        <f t="shared" si="15"/>
        <v>0</v>
      </c>
      <c r="I52" s="148">
        <v>0</v>
      </c>
      <c r="J52" s="148">
        <f t="shared" si="16"/>
        <v>0</v>
      </c>
      <c r="K52" s="130">
        <f t="shared" si="10"/>
        <v>0</v>
      </c>
    </row>
    <row r="53" spans="1:11" x14ac:dyDescent="0.2">
      <c r="A53" s="156"/>
      <c r="B53" s="167">
        <f t="shared" si="11"/>
        <v>43556</v>
      </c>
      <c r="C53" s="167">
        <f t="shared" si="12"/>
        <v>43646</v>
      </c>
      <c r="D53" s="142">
        <f t="shared" si="8"/>
        <v>91</v>
      </c>
      <c r="E53" s="160">
        <f>VLOOKUP(C53,'FERC Interest Rate'!$A:$B,2,TRUE)</f>
        <v>6.7500000000000004E-2</v>
      </c>
      <c r="F53" s="148">
        <f t="shared" si="13"/>
        <v>0</v>
      </c>
      <c r="G53" s="147">
        <f t="shared" si="14"/>
        <v>0</v>
      </c>
      <c r="H53" s="147">
        <f t="shared" si="15"/>
        <v>0</v>
      </c>
      <c r="I53" s="148">
        <v>0</v>
      </c>
      <c r="J53" s="148">
        <f t="shared" si="16"/>
        <v>0</v>
      </c>
      <c r="K53" s="130">
        <f t="shared" si="10"/>
        <v>0</v>
      </c>
    </row>
    <row r="54" spans="1:11" x14ac:dyDescent="0.2">
      <c r="A54" s="156"/>
      <c r="B54" s="167">
        <f t="shared" si="11"/>
        <v>43647</v>
      </c>
      <c r="C54" s="167">
        <f t="shared" si="12"/>
        <v>43738</v>
      </c>
      <c r="D54" s="142">
        <f t="shared" si="8"/>
        <v>92</v>
      </c>
      <c r="E54" s="160">
        <f>VLOOKUP(C54,'FERC Interest Rate'!$A:$B,2,TRUE)</f>
        <v>6.7500000000000004E-2</v>
      </c>
      <c r="F54" s="148">
        <f t="shared" si="13"/>
        <v>0</v>
      </c>
      <c r="G54" s="147">
        <f t="shared" si="14"/>
        <v>0</v>
      </c>
      <c r="H54" s="147">
        <f t="shared" si="15"/>
        <v>0</v>
      </c>
      <c r="I54" s="148">
        <v>0</v>
      </c>
      <c r="J54" s="148">
        <f t="shared" si="16"/>
        <v>0</v>
      </c>
      <c r="K54" s="130">
        <f t="shared" si="10"/>
        <v>0</v>
      </c>
    </row>
    <row r="55" spans="1:11" x14ac:dyDescent="0.2">
      <c r="A55" s="169"/>
      <c r="B55" s="167">
        <f t="shared" si="11"/>
        <v>43739</v>
      </c>
      <c r="C55" s="167">
        <f t="shared" si="12"/>
        <v>43830</v>
      </c>
      <c r="D55" s="142">
        <f t="shared" si="8"/>
        <v>92</v>
      </c>
      <c r="E55" s="160">
        <f>VLOOKUP(C55,'FERC Interest Rate'!$A:$B,2,TRUE)</f>
        <v>6.7500000000000004E-2</v>
      </c>
      <c r="F55" s="148">
        <f t="shared" si="13"/>
        <v>0</v>
      </c>
      <c r="G55" s="147">
        <f t="shared" si="14"/>
        <v>0</v>
      </c>
      <c r="H55" s="147">
        <f t="shared" si="15"/>
        <v>0</v>
      </c>
      <c r="I55" s="148">
        <v>0</v>
      </c>
      <c r="J55" s="148">
        <f t="shared" si="16"/>
        <v>0</v>
      </c>
      <c r="K55" s="130">
        <f t="shared" si="10"/>
        <v>0</v>
      </c>
    </row>
    <row r="56" spans="1:11" x14ac:dyDescent="0.2">
      <c r="A56" s="169"/>
      <c r="B56" s="167">
        <f t="shared" si="11"/>
        <v>43831</v>
      </c>
      <c r="C56" s="167">
        <f t="shared" si="12"/>
        <v>43921</v>
      </c>
      <c r="D56" s="142">
        <f t="shared" si="8"/>
        <v>91</v>
      </c>
      <c r="E56" s="160">
        <f>VLOOKUP(C56,'FERC Interest Rate'!$A:$B,2,TRUE)</f>
        <v>6.7500000000000004E-2</v>
      </c>
      <c r="F56" s="148">
        <f t="shared" si="13"/>
        <v>0</v>
      </c>
      <c r="G56" s="147">
        <f t="shared" si="14"/>
        <v>0</v>
      </c>
      <c r="H56" s="147">
        <f t="shared" si="15"/>
        <v>0</v>
      </c>
      <c r="I56" s="148">
        <v>0</v>
      </c>
      <c r="J56" s="148">
        <f t="shared" si="16"/>
        <v>0</v>
      </c>
      <c r="K56" s="130">
        <f t="shared" si="10"/>
        <v>0</v>
      </c>
    </row>
    <row r="57" spans="1:11" x14ac:dyDescent="0.2">
      <c r="A57" s="169"/>
      <c r="B57" s="167">
        <f t="shared" si="11"/>
        <v>43922</v>
      </c>
      <c r="C57" s="167">
        <f t="shared" si="12"/>
        <v>44012</v>
      </c>
      <c r="D57" s="142">
        <f t="shared" si="8"/>
        <v>91</v>
      </c>
      <c r="E57" s="160">
        <f>VLOOKUP(C57,'FERC Interest Rate'!$A:$B,2,TRUE)</f>
        <v>6.7500000000000004E-2</v>
      </c>
      <c r="F57" s="148">
        <f t="shared" si="13"/>
        <v>0</v>
      </c>
      <c r="G57" s="147">
        <f t="shared" si="14"/>
        <v>0</v>
      </c>
      <c r="H57" s="147">
        <f t="shared" si="15"/>
        <v>0</v>
      </c>
      <c r="I57" s="148">
        <v>0</v>
      </c>
      <c r="J57" s="148">
        <f t="shared" si="16"/>
        <v>0</v>
      </c>
      <c r="K57" s="130">
        <f t="shared" si="10"/>
        <v>0</v>
      </c>
    </row>
    <row r="58" spans="1:11" x14ac:dyDescent="0.2">
      <c r="A58" s="169"/>
      <c r="B58" s="167">
        <f t="shared" si="11"/>
        <v>44013</v>
      </c>
      <c r="C58" s="167">
        <f t="shared" si="12"/>
        <v>44104</v>
      </c>
      <c r="D58" s="142">
        <f t="shared" si="8"/>
        <v>92</v>
      </c>
      <c r="E58" s="160">
        <f>VLOOKUP(C58,'FERC Interest Rate'!$A:$B,2,TRUE)</f>
        <v>6.7500000000000004E-2</v>
      </c>
      <c r="F58" s="148">
        <f t="shared" si="13"/>
        <v>0</v>
      </c>
      <c r="G58" s="147">
        <f t="shared" si="14"/>
        <v>0</v>
      </c>
      <c r="H58" s="147">
        <f t="shared" si="15"/>
        <v>0</v>
      </c>
      <c r="I58" s="148">
        <v>0</v>
      </c>
      <c r="J58" s="148">
        <f t="shared" si="16"/>
        <v>0</v>
      </c>
      <c r="K58" s="130">
        <f t="shared" si="10"/>
        <v>0</v>
      </c>
    </row>
    <row r="59" spans="1:11" x14ac:dyDescent="0.2">
      <c r="A59" s="169"/>
      <c r="B59" s="167">
        <f t="shared" si="11"/>
        <v>44105</v>
      </c>
      <c r="C59" s="167">
        <f t="shared" si="12"/>
        <v>44196</v>
      </c>
      <c r="D59" s="142">
        <f t="shared" si="8"/>
        <v>92</v>
      </c>
      <c r="E59" s="160">
        <f>VLOOKUP(C59,'FERC Interest Rate'!$A:$B,2,TRUE)</f>
        <v>6.7500000000000004E-2</v>
      </c>
      <c r="F59" s="148">
        <f t="shared" si="13"/>
        <v>0</v>
      </c>
      <c r="G59" s="147">
        <f t="shared" si="14"/>
        <v>0</v>
      </c>
      <c r="H59" s="147">
        <f t="shared" si="15"/>
        <v>0</v>
      </c>
      <c r="I59" s="148">
        <v>0</v>
      </c>
      <c r="J59" s="148">
        <f t="shared" si="16"/>
        <v>0</v>
      </c>
      <c r="K59" s="130">
        <f t="shared" si="10"/>
        <v>0</v>
      </c>
    </row>
    <row r="60" spans="1:11" x14ac:dyDescent="0.2">
      <c r="A60" s="169"/>
      <c r="B60" s="167">
        <f t="shared" si="11"/>
        <v>44197</v>
      </c>
      <c r="C60" s="167">
        <f t="shared" si="12"/>
        <v>44286</v>
      </c>
      <c r="D60" s="142">
        <f t="shared" si="8"/>
        <v>90</v>
      </c>
      <c r="E60" s="160">
        <f>VLOOKUP(C60,'FERC Interest Rate'!$A:$B,2,TRUE)</f>
        <v>6.7500000000000004E-2</v>
      </c>
      <c r="F60" s="148">
        <f t="shared" si="13"/>
        <v>0</v>
      </c>
      <c r="G60" s="147">
        <f t="shared" si="14"/>
        <v>0</v>
      </c>
      <c r="H60" s="147">
        <f t="shared" si="15"/>
        <v>0</v>
      </c>
      <c r="I60" s="148">
        <v>0</v>
      </c>
      <c r="J60" s="148">
        <f t="shared" si="16"/>
        <v>0</v>
      </c>
      <c r="K60" s="130">
        <f t="shared" si="10"/>
        <v>0</v>
      </c>
    </row>
    <row r="61" spans="1:11" x14ac:dyDescent="0.2">
      <c r="A61" s="169"/>
      <c r="B61" s="167">
        <f t="shared" si="11"/>
        <v>44287</v>
      </c>
      <c r="C61" s="167">
        <f t="shared" si="12"/>
        <v>44377</v>
      </c>
      <c r="D61" s="142">
        <f t="shared" si="8"/>
        <v>91</v>
      </c>
      <c r="E61" s="160">
        <f>VLOOKUP(C61,'FERC Interest Rate'!$A:$B,2,TRUE)</f>
        <v>6.7500000000000004E-2</v>
      </c>
      <c r="F61" s="148">
        <f t="shared" si="13"/>
        <v>0</v>
      </c>
      <c r="G61" s="147">
        <f>F61*E61*(D61/(DATE(YEAR(C61),12,31)-DATE(YEAR(C61),1,1)+1))</f>
        <v>0</v>
      </c>
      <c r="H61" s="147">
        <f t="shared" si="15"/>
        <v>0</v>
      </c>
      <c r="I61" s="148">
        <v>0</v>
      </c>
      <c r="J61" s="148">
        <f t="shared" si="16"/>
        <v>0</v>
      </c>
      <c r="K61" s="130">
        <f t="shared" si="10"/>
        <v>0</v>
      </c>
    </row>
    <row r="62" spans="1:11" x14ac:dyDescent="0.2">
      <c r="A62" s="169"/>
      <c r="B62" s="167">
        <f t="shared" si="11"/>
        <v>44378</v>
      </c>
      <c r="C62" s="167">
        <f t="shared" si="12"/>
        <v>44469</v>
      </c>
      <c r="D62" s="142">
        <f t="shared" si="8"/>
        <v>92</v>
      </c>
      <c r="E62" s="160">
        <f>VLOOKUP(C62,'FERC Interest Rate'!$A:$B,2,TRUE)</f>
        <v>6.7500000000000004E-2</v>
      </c>
      <c r="F62" s="148">
        <f t="shared" si="13"/>
        <v>0</v>
      </c>
      <c r="G62" s="147">
        <f>F62*E62*(D62/(DATE(YEAR(C62),12,31)-DATE(YEAR(C62),1,1)+1))</f>
        <v>0</v>
      </c>
      <c r="H62" s="147">
        <f t="shared" si="15"/>
        <v>0</v>
      </c>
      <c r="I62" s="148">
        <v>0</v>
      </c>
      <c r="J62" s="148">
        <f t="shared" si="16"/>
        <v>0</v>
      </c>
      <c r="K62" s="130">
        <f t="shared" si="10"/>
        <v>0</v>
      </c>
    </row>
    <row r="63" spans="1:11" ht="13.5" thickBot="1" x14ac:dyDescent="0.25">
      <c r="A63" s="129"/>
      <c r="B63" s="168"/>
      <c r="C63" s="168"/>
      <c r="D63" s="121"/>
      <c r="E63" s="122"/>
      <c r="F63" s="145"/>
      <c r="G63" s="145"/>
      <c r="H63" s="146"/>
      <c r="I63" s="123"/>
      <c r="J63" s="123"/>
      <c r="K63" s="128"/>
    </row>
  </sheetData>
  <mergeCells count="2">
    <mergeCell ref="A9:K9"/>
    <mergeCell ref="A33:K33"/>
  </mergeCells>
  <printOptions horizontalCentered="1"/>
  <pageMargins left="0.7" right="0.7" top="0.75" bottom="0.75" header="0.3" footer="0.3"/>
  <pageSetup scale="61" orientation="landscape" cellComments="asDisplayed" r:id="rId1"/>
  <headerFooter alignWithMargins="0">
    <oddHeader>&amp;RTO11 Draft Annual Update
Attachment 4
WP Schedule 22
Page &amp;P of &amp;N</oddHeader>
    <oddFooter>&amp;R&amp;A</oddFooter>
  </headerFooter>
  <rowBreaks count="1" manualBreakCount="1">
    <brk id="3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87" t="s">
        <v>18</v>
      </c>
      <c r="B1" s="3" t="s">
        <v>8</v>
      </c>
      <c r="C1" s="187" t="s">
        <v>7</v>
      </c>
      <c r="D1" s="187" t="s">
        <v>1</v>
      </c>
      <c r="E1" s="187" t="s">
        <v>24</v>
      </c>
      <c r="F1" s="3" t="s">
        <v>0</v>
      </c>
      <c r="H1" s="187"/>
    </row>
    <row r="2" spans="1:11" ht="12.75" customHeight="1" x14ac:dyDescent="0.2">
      <c r="A2" s="4">
        <v>1</v>
      </c>
      <c r="B2" s="9">
        <v>40689</v>
      </c>
      <c r="C2" s="10">
        <v>1266201</v>
      </c>
      <c r="D2" s="10">
        <v>0</v>
      </c>
      <c r="E2" s="10">
        <v>0</v>
      </c>
      <c r="F2" s="29">
        <f>SUM(C2:E2)</f>
        <v>1266201</v>
      </c>
    </row>
    <row r="3" spans="1:11" ht="12.75" customHeight="1" x14ac:dyDescent="0.2">
      <c r="A3" s="4">
        <v>2</v>
      </c>
      <c r="B3" s="137" t="s">
        <v>93</v>
      </c>
      <c r="C3" s="10">
        <v>0</v>
      </c>
      <c r="D3" s="10">
        <v>0</v>
      </c>
      <c r="E3" s="10">
        <v>0</v>
      </c>
      <c r="F3" s="29">
        <f t="shared" ref="F3:F25" si="0">SUM(C3:E3)</f>
        <v>0</v>
      </c>
      <c r="H3" s="207"/>
      <c r="I3" s="207"/>
      <c r="J3" s="207"/>
      <c r="K3" s="207"/>
    </row>
    <row r="4" spans="1:11" ht="12.75" customHeight="1" x14ac:dyDescent="0.2">
      <c r="A4" s="4">
        <v>3</v>
      </c>
      <c r="B4" s="137" t="s">
        <v>93</v>
      </c>
      <c r="C4" s="10">
        <v>0</v>
      </c>
      <c r="D4" s="10">
        <v>0</v>
      </c>
      <c r="E4" s="10">
        <v>0</v>
      </c>
      <c r="F4" s="29">
        <f t="shared" si="0"/>
        <v>0</v>
      </c>
      <c r="H4" s="197"/>
      <c r="I4" s="197"/>
      <c r="J4" s="197"/>
      <c r="K4" s="197"/>
    </row>
    <row r="5" spans="1:11" ht="12.75" customHeight="1" x14ac:dyDescent="0.2">
      <c r="A5" s="4">
        <v>4</v>
      </c>
      <c r="B5" s="137" t="s">
        <v>93</v>
      </c>
      <c r="C5" s="10">
        <v>0</v>
      </c>
      <c r="D5" s="10">
        <v>0</v>
      </c>
      <c r="E5" s="10">
        <v>0</v>
      </c>
      <c r="F5" s="29">
        <f t="shared" si="0"/>
        <v>0</v>
      </c>
      <c r="H5" s="197"/>
      <c r="I5" s="197"/>
      <c r="J5" s="197"/>
      <c r="K5" s="197"/>
    </row>
    <row r="6" spans="1:11" ht="12.75" customHeight="1" x14ac:dyDescent="0.2">
      <c r="A6" s="4">
        <v>5</v>
      </c>
      <c r="B6" s="137" t="s">
        <v>93</v>
      </c>
      <c r="C6" s="10">
        <v>0</v>
      </c>
      <c r="D6" s="10">
        <v>0</v>
      </c>
      <c r="E6" s="10">
        <v>0</v>
      </c>
      <c r="F6" s="29">
        <f t="shared" si="0"/>
        <v>0</v>
      </c>
      <c r="H6" s="196"/>
      <c r="I6" s="196"/>
      <c r="J6" s="196"/>
      <c r="K6" s="196"/>
    </row>
    <row r="7" spans="1:11" x14ac:dyDescent="0.2">
      <c r="A7" s="4">
        <v>6</v>
      </c>
      <c r="B7" s="137" t="s">
        <v>93</v>
      </c>
      <c r="C7" s="10">
        <v>0</v>
      </c>
      <c r="D7" s="10">
        <v>0</v>
      </c>
      <c r="E7" s="10">
        <v>0</v>
      </c>
      <c r="F7" s="29">
        <f t="shared" si="0"/>
        <v>0</v>
      </c>
      <c r="H7" s="196"/>
      <c r="I7" s="196"/>
      <c r="J7" s="196"/>
      <c r="K7" s="196"/>
    </row>
    <row r="8" spans="1:11" x14ac:dyDescent="0.2">
      <c r="A8" s="4">
        <v>7</v>
      </c>
      <c r="B8" s="137" t="s">
        <v>93</v>
      </c>
      <c r="C8" s="10">
        <v>0</v>
      </c>
      <c r="D8" s="10">
        <v>0</v>
      </c>
      <c r="E8" s="10">
        <v>0</v>
      </c>
      <c r="F8" s="29">
        <f t="shared" si="0"/>
        <v>0</v>
      </c>
      <c r="H8" s="2"/>
    </row>
    <row r="9" spans="1:11" x14ac:dyDescent="0.2">
      <c r="A9" s="4">
        <v>8</v>
      </c>
      <c r="B9" s="137" t="s">
        <v>93</v>
      </c>
      <c r="C9" s="10">
        <v>0</v>
      </c>
      <c r="D9" s="10">
        <v>0</v>
      </c>
      <c r="E9" s="10">
        <v>0</v>
      </c>
      <c r="F9" s="29">
        <f t="shared" si="0"/>
        <v>0</v>
      </c>
    </row>
    <row r="10" spans="1:11" x14ac:dyDescent="0.2">
      <c r="A10" s="4">
        <v>9</v>
      </c>
      <c r="B10" s="137" t="s">
        <v>93</v>
      </c>
      <c r="C10" s="10">
        <v>0</v>
      </c>
      <c r="D10" s="10">
        <v>0</v>
      </c>
      <c r="E10" s="10">
        <v>0</v>
      </c>
      <c r="F10" s="29">
        <f t="shared" si="0"/>
        <v>0</v>
      </c>
      <c r="H10" s="196"/>
    </row>
    <row r="11" spans="1:11" x14ac:dyDescent="0.2">
      <c r="A11" s="4">
        <v>10</v>
      </c>
      <c r="B11" s="137" t="s">
        <v>93</v>
      </c>
      <c r="C11" s="10">
        <v>0</v>
      </c>
      <c r="D11" s="10">
        <v>0</v>
      </c>
      <c r="E11" s="10">
        <v>0</v>
      </c>
      <c r="F11" s="29">
        <f t="shared" si="0"/>
        <v>0</v>
      </c>
      <c r="H11" s="196"/>
    </row>
    <row r="12" spans="1:11" x14ac:dyDescent="0.2">
      <c r="A12" s="4">
        <v>11</v>
      </c>
      <c r="B12" s="137" t="s">
        <v>93</v>
      </c>
      <c r="C12" s="10">
        <v>0</v>
      </c>
      <c r="D12" s="10">
        <v>0</v>
      </c>
      <c r="E12" s="10">
        <v>0</v>
      </c>
      <c r="F12" s="29">
        <f t="shared" si="0"/>
        <v>0</v>
      </c>
      <c r="H12" s="196"/>
    </row>
    <row r="13" spans="1:11" x14ac:dyDescent="0.2">
      <c r="A13" s="4">
        <v>12</v>
      </c>
      <c r="B13" s="137" t="s">
        <v>93</v>
      </c>
      <c r="C13" s="10">
        <v>0</v>
      </c>
      <c r="D13" s="10">
        <v>0</v>
      </c>
      <c r="E13" s="10">
        <v>0</v>
      </c>
      <c r="F13" s="29">
        <f t="shared" si="0"/>
        <v>0</v>
      </c>
      <c r="H13" s="196"/>
    </row>
    <row r="14" spans="1:11" x14ac:dyDescent="0.2">
      <c r="A14" s="4">
        <v>13</v>
      </c>
      <c r="B14" s="137" t="s">
        <v>93</v>
      </c>
      <c r="C14" s="10">
        <v>0</v>
      </c>
      <c r="D14" s="10">
        <v>0</v>
      </c>
      <c r="E14" s="10">
        <v>0</v>
      </c>
      <c r="F14" s="29">
        <f t="shared" si="0"/>
        <v>0</v>
      </c>
      <c r="H14" s="196"/>
    </row>
    <row r="15" spans="1:11" x14ac:dyDescent="0.2">
      <c r="A15" s="4">
        <v>14</v>
      </c>
      <c r="B15" s="137" t="s">
        <v>93</v>
      </c>
      <c r="C15" s="10">
        <v>0</v>
      </c>
      <c r="D15" s="10">
        <v>0</v>
      </c>
      <c r="E15" s="10">
        <v>0</v>
      </c>
      <c r="F15" s="29">
        <f t="shared" si="0"/>
        <v>0</v>
      </c>
      <c r="H15" s="64"/>
    </row>
    <row r="16" spans="1:11"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87" t="s">
        <v>0</v>
      </c>
      <c r="C26" s="57">
        <f>SUM(C2:C25)</f>
        <v>1266201</v>
      </c>
      <c r="D26" s="57">
        <f>SUM(D2:D25)</f>
        <v>0</v>
      </c>
      <c r="E26" s="57">
        <f>SUM(E2:E25)</f>
        <v>0</v>
      </c>
      <c r="F26" s="57">
        <f>SUM(F2:F25)</f>
        <v>1266201</v>
      </c>
    </row>
    <row r="27" spans="1:11" x14ac:dyDescent="0.2">
      <c r="B27" s="187"/>
      <c r="C27" s="57"/>
      <c r="D27" s="57"/>
      <c r="E27" s="57"/>
      <c r="F27" s="57"/>
    </row>
    <row r="28" spans="1:11" x14ac:dyDescent="0.2">
      <c r="A28" s="187" t="s">
        <v>90</v>
      </c>
      <c r="B28" s="137" t="s">
        <v>93</v>
      </c>
      <c r="C28" s="30">
        <v>0</v>
      </c>
      <c r="D28" s="30">
        <v>0</v>
      </c>
      <c r="E28" s="30">
        <v>0</v>
      </c>
      <c r="F28" s="57">
        <f>SUM(C28:E28)</f>
        <v>0</v>
      </c>
    </row>
    <row r="29" spans="1:11" x14ac:dyDescent="0.2">
      <c r="A29" s="187" t="s">
        <v>91</v>
      </c>
      <c r="B29" s="137" t="s">
        <v>93</v>
      </c>
      <c r="C29" s="30">
        <v>0</v>
      </c>
      <c r="D29" s="30">
        <v>0</v>
      </c>
      <c r="E29" s="30">
        <v>0</v>
      </c>
      <c r="F29" s="57">
        <f>SUM(C29:E29)</f>
        <v>0</v>
      </c>
    </row>
    <row r="30" spans="1:11" x14ac:dyDescent="0.2">
      <c r="B30" s="187"/>
      <c r="C30" s="57"/>
      <c r="D30" s="57"/>
      <c r="E30" s="57"/>
      <c r="F30" s="57"/>
    </row>
    <row r="31" spans="1:11" x14ac:dyDescent="0.2">
      <c r="C31" s="187" t="s">
        <v>43</v>
      </c>
      <c r="D31" s="187" t="s">
        <v>42</v>
      </c>
      <c r="G31"/>
      <c r="H31"/>
      <c r="I31"/>
      <c r="J31"/>
      <c r="K31"/>
    </row>
    <row r="32" spans="1:11" x14ac:dyDescent="0.2">
      <c r="B32" s="186" t="s">
        <v>26</v>
      </c>
      <c r="C32" s="188">
        <v>41962</v>
      </c>
      <c r="D32" s="188">
        <f>C32</f>
        <v>41962</v>
      </c>
      <c r="G32"/>
      <c r="H32"/>
      <c r="I32"/>
      <c r="J32"/>
      <c r="K32"/>
    </row>
    <row r="33" spans="1:11" x14ac:dyDescent="0.2">
      <c r="B33" s="186" t="s">
        <v>84</v>
      </c>
      <c r="C33" s="188">
        <v>42004</v>
      </c>
      <c r="D33" s="188">
        <v>42004</v>
      </c>
      <c r="G33"/>
      <c r="H33"/>
      <c r="I33"/>
      <c r="J33"/>
      <c r="K33"/>
    </row>
    <row r="34" spans="1:11" ht="13.5" thickBot="1" x14ac:dyDescent="0.25">
      <c r="B34" s="186"/>
      <c r="C34" s="17"/>
      <c r="D34" s="127"/>
    </row>
    <row r="35" spans="1:11" ht="13.5" thickBot="1" x14ac:dyDescent="0.25">
      <c r="A35" s="304" t="s">
        <v>25</v>
      </c>
      <c r="B35" s="305"/>
      <c r="C35" s="305"/>
      <c r="D35" s="305"/>
      <c r="E35" s="305"/>
      <c r="F35" s="305"/>
      <c r="G35" s="305"/>
      <c r="H35" s="305"/>
      <c r="I35" s="305"/>
      <c r="J35" s="305"/>
      <c r="K35" s="306"/>
    </row>
    <row r="36" spans="1:11" ht="51.75" thickBot="1" x14ac:dyDescent="0.25">
      <c r="A36" s="163" t="s">
        <v>9</v>
      </c>
      <c r="B36" s="164" t="s">
        <v>10</v>
      </c>
      <c r="C36" s="164" t="s">
        <v>11</v>
      </c>
      <c r="D36" s="164" t="s">
        <v>12</v>
      </c>
      <c r="E36" s="164" t="s">
        <v>13</v>
      </c>
      <c r="F36" s="164" t="s">
        <v>14</v>
      </c>
      <c r="G36" s="164" t="s">
        <v>32</v>
      </c>
      <c r="H36" s="164" t="s">
        <v>16</v>
      </c>
      <c r="I36" s="164" t="s">
        <v>85</v>
      </c>
      <c r="J36" s="164" t="s">
        <v>33</v>
      </c>
      <c r="K36" s="165" t="s">
        <v>15</v>
      </c>
    </row>
    <row r="37" spans="1:11" x14ac:dyDescent="0.2">
      <c r="A37" s="156"/>
      <c r="B37" s="257">
        <f>$D$32</f>
        <v>41962</v>
      </c>
      <c r="C37" s="257">
        <f>DATE(YEAR(B37),IF(MONTH(B37)&lt;=3,3,IF(MONTH(B37)&lt;=6,6,IF(MONTH(B37)&lt;=9,9,12))),IF(OR(MONTH(B37)&lt;=3,MONTH(B37)&gt;=10),31,30))</f>
        <v>42004</v>
      </c>
      <c r="D37" s="258">
        <f>C37-B37+1</f>
        <v>43</v>
      </c>
      <c r="E37" s="259">
        <f>VLOOKUP(C37,'FERC Interest Rate'!$A:$B,2,TRUE)</f>
        <v>3.2500000000000001E-2</v>
      </c>
      <c r="F37" s="260">
        <f>$C$26</f>
        <v>1266201</v>
      </c>
      <c r="G37" s="272">
        <v>0</v>
      </c>
      <c r="H37" s="272">
        <v>0</v>
      </c>
      <c r="I37" s="260">
        <f>F37*E37*(D37/(DATE(YEAR(C37),12,31)-DATE(YEAR(C37),1,1)+1))</f>
        <v>4847.9887602739727</v>
      </c>
      <c r="J37" s="260">
        <v>0</v>
      </c>
      <c r="K37" s="255">
        <f t="shared" ref="K37:K38" si="1">F37+I37-H37-J37</f>
        <v>1271048.9887602739</v>
      </c>
    </row>
    <row r="38" spans="1:11" x14ac:dyDescent="0.2">
      <c r="A38" s="156"/>
      <c r="B38" s="167">
        <f t="shared" ref="B38:B39" si="2">C37+1</f>
        <v>42005</v>
      </c>
      <c r="C38" s="167">
        <v>42035</v>
      </c>
      <c r="D38" s="142">
        <f t="shared" ref="D38:D39" si="3">C38-B38+1</f>
        <v>31</v>
      </c>
      <c r="E38" s="160">
        <f>VLOOKUP(C38,'FERC Interest Rate'!$A:$B,2,TRUE)</f>
        <v>3.2500000000000001E-2</v>
      </c>
      <c r="F38" s="148">
        <f t="shared" ref="F38:F39" si="4">K37</f>
        <v>1271048.9887602739</v>
      </c>
      <c r="G38" s="147">
        <f t="shared" ref="G38:G39" si="5">F38*E38*(D38/(DATE(YEAR(C38),12,31)-DATE(YEAR(C38),1,1)+1))</f>
        <v>3508.4434415780165</v>
      </c>
      <c r="H38" s="147">
        <f t="shared" ref="H38:H57" si="6">$C$26/20</f>
        <v>63310.05</v>
      </c>
      <c r="I38" s="148">
        <v>0</v>
      </c>
      <c r="J38" s="148">
        <f>SUM($I$37:$I$58)/20</f>
        <v>242.39943801369864</v>
      </c>
      <c r="K38" s="130">
        <f t="shared" si="1"/>
        <v>1207496.5393222601</v>
      </c>
    </row>
    <row r="39" spans="1:11" x14ac:dyDescent="0.2">
      <c r="A39" s="156"/>
      <c r="B39" s="167">
        <f t="shared" si="2"/>
        <v>42036</v>
      </c>
      <c r="C39" s="167">
        <v>42094</v>
      </c>
      <c r="D39" s="142">
        <f t="shared" si="3"/>
        <v>59</v>
      </c>
      <c r="E39" s="160">
        <f>VLOOKUP(C39,'FERC Interest Rate'!$A:$B,2,TRUE)</f>
        <v>3.2500000000000001E-2</v>
      </c>
      <c r="F39" s="148">
        <f t="shared" si="4"/>
        <v>1207496.5393222601</v>
      </c>
      <c r="G39" s="147">
        <f t="shared" si="5"/>
        <v>6343.4920935628325</v>
      </c>
      <c r="H39" s="147">
        <f t="shared" si="6"/>
        <v>63310.05</v>
      </c>
      <c r="I39" s="148">
        <v>0</v>
      </c>
      <c r="J39" s="148">
        <f t="shared" ref="J39:J57" si="7">SUM($I$37:$I$58)/20</f>
        <v>242.39943801369864</v>
      </c>
      <c r="K39" s="130">
        <f t="shared" ref="K39" si="8">F39+I39-H39-J39</f>
        <v>1143944.0898842462</v>
      </c>
    </row>
    <row r="40" spans="1:11" x14ac:dyDescent="0.2">
      <c r="A40" s="156"/>
      <c r="B40" s="167">
        <f t="shared" ref="B40:B56" si="9">C39+1</f>
        <v>42095</v>
      </c>
      <c r="C40" s="167">
        <f t="shared" ref="C40:C57" si="10">EOMONTH(C39,3)</f>
        <v>42185</v>
      </c>
      <c r="D40" s="142">
        <f t="shared" ref="D40:D56" si="11">C40-B40+1</f>
        <v>91</v>
      </c>
      <c r="E40" s="160">
        <f>VLOOKUP(C40,'FERC Interest Rate'!$A:$B,2,TRUE)</f>
        <v>3.2500000000000001E-2</v>
      </c>
      <c r="F40" s="148">
        <f t="shared" ref="F40:F56" si="12">K39</f>
        <v>1143944.0898842462</v>
      </c>
      <c r="G40" s="147">
        <f t="shared" ref="G40:G56" si="13">F40*E40*(D40/(DATE(YEAR(C40),12,31)-DATE(YEAR(C40),1,1)+1))</f>
        <v>9269.0812214593388</v>
      </c>
      <c r="H40" s="147">
        <f t="shared" si="6"/>
        <v>63310.05</v>
      </c>
      <c r="I40" s="148">
        <v>0</v>
      </c>
      <c r="J40" s="148">
        <f t="shared" si="7"/>
        <v>242.39943801369864</v>
      </c>
      <c r="K40" s="130">
        <f t="shared" ref="K40:K56" si="14">F40+I40-H40-J40</f>
        <v>1080391.6404462324</v>
      </c>
    </row>
    <row r="41" spans="1:11" x14ac:dyDescent="0.2">
      <c r="A41" s="156"/>
      <c r="B41" s="167">
        <f t="shared" si="9"/>
        <v>42186</v>
      </c>
      <c r="C41" s="167">
        <f t="shared" si="10"/>
        <v>42277</v>
      </c>
      <c r="D41" s="142">
        <f t="shared" si="11"/>
        <v>92</v>
      </c>
      <c r="E41" s="160">
        <f>VLOOKUP(C41,'FERC Interest Rate'!$A:$B,2,TRUE)</f>
        <v>3.2500000000000001E-2</v>
      </c>
      <c r="F41" s="148">
        <f t="shared" si="12"/>
        <v>1080391.6404462324</v>
      </c>
      <c r="G41" s="147">
        <f t="shared" si="13"/>
        <v>8850.3315203677685</v>
      </c>
      <c r="H41" s="147">
        <f t="shared" si="6"/>
        <v>63310.05</v>
      </c>
      <c r="I41" s="148">
        <v>0</v>
      </c>
      <c r="J41" s="148">
        <f t="shared" si="7"/>
        <v>242.39943801369864</v>
      </c>
      <c r="K41" s="130">
        <f t="shared" si="14"/>
        <v>1016839.1910082187</v>
      </c>
    </row>
    <row r="42" spans="1:11" x14ac:dyDescent="0.2">
      <c r="A42" s="156"/>
      <c r="B42" s="167">
        <f t="shared" si="9"/>
        <v>42278</v>
      </c>
      <c r="C42" s="167">
        <f t="shared" si="10"/>
        <v>42369</v>
      </c>
      <c r="D42" s="142">
        <f t="shared" si="11"/>
        <v>92</v>
      </c>
      <c r="E42" s="160">
        <f>VLOOKUP(C42,'FERC Interest Rate'!$A:$B,2,TRUE)</f>
        <v>3.2500000000000001E-2</v>
      </c>
      <c r="F42" s="148">
        <f t="shared" si="12"/>
        <v>1016839.1910082187</v>
      </c>
      <c r="G42" s="147">
        <f t="shared" si="13"/>
        <v>8329.7237838755464</v>
      </c>
      <c r="H42" s="147">
        <f t="shared" si="6"/>
        <v>63310.05</v>
      </c>
      <c r="I42" s="148">
        <v>0</v>
      </c>
      <c r="J42" s="148">
        <f t="shared" si="7"/>
        <v>242.39943801369864</v>
      </c>
      <c r="K42" s="130">
        <f t="shared" si="14"/>
        <v>953286.74157020496</v>
      </c>
    </row>
    <row r="43" spans="1:11" x14ac:dyDescent="0.2">
      <c r="A43" s="156"/>
      <c r="B43" s="167">
        <f t="shared" si="9"/>
        <v>42370</v>
      </c>
      <c r="C43" s="167">
        <f t="shared" si="10"/>
        <v>42460</v>
      </c>
      <c r="D43" s="142">
        <f t="shared" si="11"/>
        <v>91</v>
      </c>
      <c r="E43" s="160">
        <f>VLOOKUP(C43,'FERC Interest Rate'!$A:$B,2,TRUE)</f>
        <v>3.2500000000000001E-2</v>
      </c>
      <c r="F43" s="148">
        <f t="shared" si="12"/>
        <v>953286.74157020496</v>
      </c>
      <c r="G43" s="147">
        <f t="shared" si="13"/>
        <v>7703.1298857756319</v>
      </c>
      <c r="H43" s="147">
        <f t="shared" si="6"/>
        <v>63310.05</v>
      </c>
      <c r="I43" s="148">
        <v>0</v>
      </c>
      <c r="J43" s="148">
        <f t="shared" si="7"/>
        <v>242.39943801369864</v>
      </c>
      <c r="K43" s="130">
        <f t="shared" si="14"/>
        <v>889734.29213219124</v>
      </c>
    </row>
    <row r="44" spans="1:11" x14ac:dyDescent="0.2">
      <c r="A44" s="156"/>
      <c r="B44" s="167">
        <f t="shared" si="9"/>
        <v>42461</v>
      </c>
      <c r="C44" s="167">
        <f t="shared" si="10"/>
        <v>42551</v>
      </c>
      <c r="D44" s="142">
        <f t="shared" si="11"/>
        <v>91</v>
      </c>
      <c r="E44" s="160">
        <f>VLOOKUP(C44,'FERC Interest Rate'!$A:$B,2,TRUE)</f>
        <v>3.2500000000000001E-2</v>
      </c>
      <c r="F44" s="148">
        <f t="shared" si="12"/>
        <v>889734.29213219124</v>
      </c>
      <c r="G44" s="147">
        <f t="shared" si="13"/>
        <v>7189.5878933905897</v>
      </c>
      <c r="H44" s="147">
        <f t="shared" si="6"/>
        <v>63310.05</v>
      </c>
      <c r="I44" s="148">
        <v>0</v>
      </c>
      <c r="J44" s="148">
        <f t="shared" si="7"/>
        <v>242.39943801369864</v>
      </c>
      <c r="K44" s="130">
        <f t="shared" si="14"/>
        <v>826181.84269417753</v>
      </c>
    </row>
    <row r="45" spans="1:11" x14ac:dyDescent="0.2">
      <c r="A45" s="156"/>
      <c r="B45" s="167">
        <f t="shared" si="9"/>
        <v>42552</v>
      </c>
      <c r="C45" s="167">
        <f t="shared" si="10"/>
        <v>42643</v>
      </c>
      <c r="D45" s="142">
        <f t="shared" si="11"/>
        <v>92</v>
      </c>
      <c r="E45" s="160">
        <f>VLOOKUP(C45,'FERC Interest Rate'!$A:$B,2,TRUE)</f>
        <v>4.0333330000000001E-2</v>
      </c>
      <c r="F45" s="148">
        <f t="shared" si="12"/>
        <v>826181.84269417753</v>
      </c>
      <c r="G45" s="147">
        <f t="shared" si="13"/>
        <v>8376.1889916068212</v>
      </c>
      <c r="H45" s="147">
        <f t="shared" si="6"/>
        <v>63310.05</v>
      </c>
      <c r="I45" s="148">
        <v>0</v>
      </c>
      <c r="J45" s="148">
        <f t="shared" si="7"/>
        <v>242.39943801369864</v>
      </c>
      <c r="K45" s="130">
        <f t="shared" si="14"/>
        <v>762629.39325616381</v>
      </c>
    </row>
    <row r="46" spans="1:11" x14ac:dyDescent="0.2">
      <c r="A46" s="156"/>
      <c r="B46" s="167">
        <f t="shared" si="9"/>
        <v>42644</v>
      </c>
      <c r="C46" s="167">
        <f t="shared" si="10"/>
        <v>42735</v>
      </c>
      <c r="D46" s="142">
        <f t="shared" si="11"/>
        <v>92</v>
      </c>
      <c r="E46" s="160">
        <f>VLOOKUP(C46,'FERC Interest Rate'!$A:$B,2,TRUE)</f>
        <v>4.2833329999999996E-2</v>
      </c>
      <c r="F46" s="148">
        <f t="shared" si="12"/>
        <v>762629.39325616381</v>
      </c>
      <c r="G46" s="147">
        <f t="shared" si="13"/>
        <v>8211.1147408518445</v>
      </c>
      <c r="H46" s="147">
        <f t="shared" si="6"/>
        <v>63310.05</v>
      </c>
      <c r="I46" s="148">
        <v>0</v>
      </c>
      <c r="J46" s="148">
        <f t="shared" si="7"/>
        <v>242.39943801369864</v>
      </c>
      <c r="K46" s="130">
        <f t="shared" si="14"/>
        <v>699076.94381815009</v>
      </c>
    </row>
    <row r="47" spans="1:11" x14ac:dyDescent="0.2">
      <c r="A47" s="156"/>
      <c r="B47" s="167">
        <f t="shared" si="9"/>
        <v>42736</v>
      </c>
      <c r="C47" s="167">
        <f t="shared" si="10"/>
        <v>42825</v>
      </c>
      <c r="D47" s="142">
        <f t="shared" si="11"/>
        <v>90</v>
      </c>
      <c r="E47" s="160">
        <f>VLOOKUP(C47,'FERC Interest Rate'!$A:$B,2,TRUE)</f>
        <v>4.7066670000000005E-2</v>
      </c>
      <c r="F47" s="148">
        <f t="shared" si="12"/>
        <v>699076.94381815009</v>
      </c>
      <c r="G47" s="147">
        <f t="shared" si="13"/>
        <v>8113.1236814705944</v>
      </c>
      <c r="H47" s="147">
        <f t="shared" si="6"/>
        <v>63310.05</v>
      </c>
      <c r="I47" s="148">
        <v>0</v>
      </c>
      <c r="J47" s="148">
        <f t="shared" si="7"/>
        <v>242.39943801369864</v>
      </c>
      <c r="K47" s="130">
        <f t="shared" si="14"/>
        <v>635524.49438013637</v>
      </c>
    </row>
    <row r="48" spans="1:11" x14ac:dyDescent="0.2">
      <c r="A48" s="156"/>
      <c r="B48" s="167">
        <f t="shared" si="9"/>
        <v>42826</v>
      </c>
      <c r="C48" s="167">
        <f t="shared" si="10"/>
        <v>42916</v>
      </c>
      <c r="D48" s="142">
        <f t="shared" si="11"/>
        <v>91</v>
      </c>
      <c r="E48" s="160">
        <f>VLOOKUP(C48,'FERC Interest Rate'!$A:$B,2,TRUE)</f>
        <v>5.21E-2</v>
      </c>
      <c r="F48" s="148">
        <f t="shared" si="12"/>
        <v>635524.49438013637</v>
      </c>
      <c r="G48" s="147">
        <f t="shared" si="13"/>
        <v>8255.0278912483955</v>
      </c>
      <c r="H48" s="147">
        <f t="shared" si="6"/>
        <v>63310.05</v>
      </c>
      <c r="I48" s="148">
        <v>0</v>
      </c>
      <c r="J48" s="148">
        <f t="shared" si="7"/>
        <v>242.39943801369864</v>
      </c>
      <c r="K48" s="130">
        <f t="shared" si="14"/>
        <v>571972.04494212265</v>
      </c>
    </row>
    <row r="49" spans="1:11" x14ac:dyDescent="0.2">
      <c r="A49" s="156"/>
      <c r="B49" s="167">
        <f t="shared" si="9"/>
        <v>42917</v>
      </c>
      <c r="C49" s="167">
        <f t="shared" si="10"/>
        <v>43008</v>
      </c>
      <c r="D49" s="142">
        <f t="shared" si="11"/>
        <v>92</v>
      </c>
      <c r="E49" s="160">
        <f>VLOOKUP(C49,'FERC Interest Rate'!$A:$B,2,TRUE)</f>
        <v>5.7066670000000007E-2</v>
      </c>
      <c r="F49" s="148">
        <f t="shared" si="12"/>
        <v>571972.04494212265</v>
      </c>
      <c r="G49" s="147">
        <f t="shared" si="13"/>
        <v>8227.204587096523</v>
      </c>
      <c r="H49" s="147">
        <f t="shared" si="6"/>
        <v>63310.05</v>
      </c>
      <c r="I49" s="148">
        <v>0</v>
      </c>
      <c r="J49" s="148">
        <f t="shared" si="7"/>
        <v>242.39943801369864</v>
      </c>
      <c r="K49" s="130">
        <f t="shared" si="14"/>
        <v>508419.59550410899</v>
      </c>
    </row>
    <row r="50" spans="1:11" x14ac:dyDescent="0.2">
      <c r="A50" s="156"/>
      <c r="B50" s="167">
        <f t="shared" si="9"/>
        <v>43009</v>
      </c>
      <c r="C50" s="167">
        <f t="shared" si="10"/>
        <v>43100</v>
      </c>
      <c r="D50" s="142">
        <f t="shared" si="11"/>
        <v>92</v>
      </c>
      <c r="E50" s="160">
        <f>VLOOKUP(C50,'FERC Interest Rate'!$A:$B,2,TRUE)</f>
        <v>6.2033329999999998E-2</v>
      </c>
      <c r="F50" s="148">
        <f t="shared" si="12"/>
        <v>508419.59550410899</v>
      </c>
      <c r="G50" s="147">
        <f t="shared" si="13"/>
        <v>7949.5462199076928</v>
      </c>
      <c r="H50" s="147">
        <f t="shared" si="6"/>
        <v>63310.05</v>
      </c>
      <c r="I50" s="148">
        <v>0</v>
      </c>
      <c r="J50" s="148">
        <f t="shared" si="7"/>
        <v>242.39943801369864</v>
      </c>
      <c r="K50" s="130">
        <f t="shared" si="14"/>
        <v>444867.14606609533</v>
      </c>
    </row>
    <row r="51" spans="1:11" x14ac:dyDescent="0.2">
      <c r="A51" s="156"/>
      <c r="B51" s="167">
        <f t="shared" si="9"/>
        <v>43101</v>
      </c>
      <c r="C51" s="167">
        <f t="shared" si="10"/>
        <v>43190</v>
      </c>
      <c r="D51" s="142">
        <f t="shared" si="11"/>
        <v>90</v>
      </c>
      <c r="E51" s="160">
        <f>VLOOKUP(C51,'FERC Interest Rate'!$A:$B,2,TRUE)</f>
        <v>6.6699999999999995E-2</v>
      </c>
      <c r="F51" s="148">
        <f t="shared" si="12"/>
        <v>444867.14606609533</v>
      </c>
      <c r="G51" s="147">
        <f t="shared" si="13"/>
        <v>7316.5410351637529</v>
      </c>
      <c r="H51" s="147">
        <f t="shared" si="6"/>
        <v>63310.05</v>
      </c>
      <c r="I51" s="148">
        <v>0</v>
      </c>
      <c r="J51" s="148">
        <f t="shared" si="7"/>
        <v>242.39943801369864</v>
      </c>
      <c r="K51" s="130">
        <f t="shared" si="14"/>
        <v>381314.69662808167</v>
      </c>
    </row>
    <row r="52" spans="1:11" x14ac:dyDescent="0.2">
      <c r="A52" s="156"/>
      <c r="B52" s="167">
        <f t="shared" si="9"/>
        <v>43191</v>
      </c>
      <c r="C52" s="167">
        <f t="shared" si="10"/>
        <v>43281</v>
      </c>
      <c r="D52" s="142">
        <f t="shared" si="11"/>
        <v>91</v>
      </c>
      <c r="E52" s="160">
        <f>VLOOKUP(C52,'FERC Interest Rate'!$A:$B,2,TRUE)</f>
        <v>6.7500000000000004E-2</v>
      </c>
      <c r="F52" s="148">
        <f t="shared" si="12"/>
        <v>381314.69662808167</v>
      </c>
      <c r="G52" s="147">
        <f t="shared" si="13"/>
        <v>6417.0562302410735</v>
      </c>
      <c r="H52" s="147">
        <f t="shared" si="6"/>
        <v>63310.05</v>
      </c>
      <c r="I52" s="148">
        <v>0</v>
      </c>
      <c r="J52" s="148">
        <f t="shared" si="7"/>
        <v>242.39943801369864</v>
      </c>
      <c r="K52" s="130">
        <f t="shared" si="14"/>
        <v>317762.24719006801</v>
      </c>
    </row>
    <row r="53" spans="1:11" x14ac:dyDescent="0.2">
      <c r="A53" s="156"/>
      <c r="B53" s="167">
        <f t="shared" si="9"/>
        <v>43282</v>
      </c>
      <c r="C53" s="167">
        <f t="shared" si="10"/>
        <v>43373</v>
      </c>
      <c r="D53" s="142">
        <f t="shared" si="11"/>
        <v>92</v>
      </c>
      <c r="E53" s="160">
        <f>VLOOKUP(C53,'FERC Interest Rate'!$A:$B,2,TRUE)</f>
        <v>6.7500000000000004E-2</v>
      </c>
      <c r="F53" s="148">
        <f t="shared" si="12"/>
        <v>317762.24719006801</v>
      </c>
      <c r="G53" s="147">
        <f t="shared" si="13"/>
        <v>5406.311109726912</v>
      </c>
      <c r="H53" s="147">
        <f t="shared" si="6"/>
        <v>63310.05</v>
      </c>
      <c r="I53" s="148">
        <v>0</v>
      </c>
      <c r="J53" s="148">
        <f t="shared" si="7"/>
        <v>242.39943801369864</v>
      </c>
      <c r="K53" s="130">
        <f t="shared" si="14"/>
        <v>254209.79775205432</v>
      </c>
    </row>
    <row r="54" spans="1:11" x14ac:dyDescent="0.2">
      <c r="A54" s="156"/>
      <c r="B54" s="167">
        <f t="shared" si="9"/>
        <v>43374</v>
      </c>
      <c r="C54" s="167">
        <f t="shared" si="10"/>
        <v>43465</v>
      </c>
      <c r="D54" s="142">
        <f t="shared" si="11"/>
        <v>92</v>
      </c>
      <c r="E54" s="160">
        <f>VLOOKUP(C54,'FERC Interest Rate'!$A:$B,2,TRUE)</f>
        <v>6.7500000000000004E-2</v>
      </c>
      <c r="F54" s="148">
        <f t="shared" si="12"/>
        <v>254209.79775205432</v>
      </c>
      <c r="G54" s="147">
        <f t="shared" si="13"/>
        <v>4325.0488877815278</v>
      </c>
      <c r="H54" s="147">
        <f t="shared" si="6"/>
        <v>63310.05</v>
      </c>
      <c r="I54" s="148">
        <v>0</v>
      </c>
      <c r="J54" s="148">
        <f t="shared" si="7"/>
        <v>242.39943801369864</v>
      </c>
      <c r="K54" s="130">
        <f t="shared" si="14"/>
        <v>190657.3483140406</v>
      </c>
    </row>
    <row r="55" spans="1:11" x14ac:dyDescent="0.2">
      <c r="A55" s="156"/>
      <c r="B55" s="167">
        <f t="shared" si="9"/>
        <v>43466</v>
      </c>
      <c r="C55" s="167">
        <f t="shared" si="10"/>
        <v>43555</v>
      </c>
      <c r="D55" s="142">
        <f t="shared" si="11"/>
        <v>90</v>
      </c>
      <c r="E55" s="160">
        <f>VLOOKUP(C55,'FERC Interest Rate'!$A:$B,2,TRUE)</f>
        <v>6.7500000000000004E-2</v>
      </c>
      <c r="F55" s="148">
        <f t="shared" si="12"/>
        <v>190657.3483140406</v>
      </c>
      <c r="G55" s="147">
        <f t="shared" si="13"/>
        <v>3173.2695644049222</v>
      </c>
      <c r="H55" s="147">
        <f t="shared" si="6"/>
        <v>63310.05</v>
      </c>
      <c r="I55" s="148">
        <v>0</v>
      </c>
      <c r="J55" s="148">
        <f t="shared" si="7"/>
        <v>242.39943801369864</v>
      </c>
      <c r="K55" s="130">
        <f t="shared" si="14"/>
        <v>127104.8988760269</v>
      </c>
    </row>
    <row r="56" spans="1:11" x14ac:dyDescent="0.2">
      <c r="A56" s="156"/>
      <c r="B56" s="167">
        <f t="shared" si="9"/>
        <v>43556</v>
      </c>
      <c r="C56" s="167">
        <f t="shared" si="10"/>
        <v>43646</v>
      </c>
      <c r="D56" s="142">
        <f t="shared" si="11"/>
        <v>91</v>
      </c>
      <c r="E56" s="160">
        <f>VLOOKUP(C56,'FERC Interest Rate'!$A:$B,2,TRUE)</f>
        <v>6.7500000000000004E-2</v>
      </c>
      <c r="F56" s="148">
        <f t="shared" si="12"/>
        <v>127104.8988760269</v>
      </c>
      <c r="G56" s="147">
        <f t="shared" si="13"/>
        <v>2139.0187434136856</v>
      </c>
      <c r="H56" s="147">
        <f t="shared" si="6"/>
        <v>63310.05</v>
      </c>
      <c r="I56" s="148">
        <v>0</v>
      </c>
      <c r="J56" s="148">
        <f t="shared" si="7"/>
        <v>242.39943801369864</v>
      </c>
      <c r="K56" s="130">
        <f t="shared" si="14"/>
        <v>63552.449438013195</v>
      </c>
    </row>
    <row r="57" spans="1:11" x14ac:dyDescent="0.2">
      <c r="A57" s="156"/>
      <c r="B57" s="167">
        <f t="shared" ref="B57" si="15">C56+1</f>
        <v>43647</v>
      </c>
      <c r="C57" s="167">
        <f t="shared" si="10"/>
        <v>43738</v>
      </c>
      <c r="D57" s="142">
        <f t="shared" ref="D57" si="16">C57-B57+1</f>
        <v>92</v>
      </c>
      <c r="E57" s="160">
        <f>VLOOKUP(C57,'FERC Interest Rate'!$A:$B,2,TRUE)</f>
        <v>6.7500000000000004E-2</v>
      </c>
      <c r="F57" s="148">
        <f t="shared" ref="F57" si="17">K56</f>
        <v>63552.449438013195</v>
      </c>
      <c r="G57" s="147">
        <f t="shared" ref="G57" si="18">F57*E57*(D57/(DATE(YEAR(C57),12,31)-DATE(YEAR(C57),1,1)+1))</f>
        <v>1081.2622219453751</v>
      </c>
      <c r="H57" s="147">
        <f t="shared" si="6"/>
        <v>63310.05</v>
      </c>
      <c r="I57" s="148">
        <v>0</v>
      </c>
      <c r="J57" s="148">
        <f t="shared" si="7"/>
        <v>242.39943801369864</v>
      </c>
      <c r="K57" s="130">
        <f t="shared" ref="K57" si="19">F57+I57-H57-J57</f>
        <v>-5.0695803111011628E-10</v>
      </c>
    </row>
    <row r="58" spans="1:11" ht="13.5" thickBot="1" x14ac:dyDescent="0.25">
      <c r="A58" s="129"/>
      <c r="B58" s="144"/>
      <c r="C58" s="144"/>
      <c r="D58" s="121"/>
      <c r="E58" s="122"/>
      <c r="F58" s="145"/>
      <c r="G58" s="145"/>
      <c r="H58" s="146"/>
      <c r="I58" s="123"/>
      <c r="J58" s="123"/>
      <c r="K58" s="128"/>
    </row>
    <row r="59" spans="1:11" ht="13.5" thickBot="1" x14ac:dyDescent="0.25">
      <c r="A59" s="5"/>
      <c r="B59" s="41"/>
      <c r="C59" s="41"/>
      <c r="D59" s="42"/>
      <c r="E59" s="43"/>
      <c r="F59" s="126"/>
      <c r="G59" s="126"/>
      <c r="H59" s="58"/>
      <c r="I59" s="58"/>
      <c r="J59" s="44"/>
    </row>
    <row r="60" spans="1:11" ht="13.5" thickBot="1" x14ac:dyDescent="0.25">
      <c r="A60" s="304" t="s">
        <v>71</v>
      </c>
      <c r="B60" s="305"/>
      <c r="C60" s="305"/>
      <c r="D60" s="305"/>
      <c r="E60" s="305"/>
      <c r="F60" s="305"/>
      <c r="G60" s="305"/>
      <c r="H60" s="305"/>
      <c r="I60" s="305"/>
      <c r="J60" s="305"/>
      <c r="K60" s="306"/>
    </row>
    <row r="61" spans="1:11" ht="51.75" thickBot="1" x14ac:dyDescent="0.25">
      <c r="A61" s="163" t="s">
        <v>9</v>
      </c>
      <c r="B61" s="164" t="s">
        <v>10</v>
      </c>
      <c r="C61" s="164" t="s">
        <v>11</v>
      </c>
      <c r="D61" s="164" t="s">
        <v>12</v>
      </c>
      <c r="E61" s="164" t="s">
        <v>13</v>
      </c>
      <c r="F61" s="164" t="s">
        <v>14</v>
      </c>
      <c r="G61" s="164" t="s">
        <v>32</v>
      </c>
      <c r="H61" s="164" t="s">
        <v>16</v>
      </c>
      <c r="I61" s="164" t="s">
        <v>85</v>
      </c>
      <c r="J61" s="164" t="s">
        <v>33</v>
      </c>
      <c r="K61" s="165" t="s">
        <v>15</v>
      </c>
    </row>
    <row r="62" spans="1:11" x14ac:dyDescent="0.2">
      <c r="A62" s="157"/>
      <c r="B62" s="166">
        <f>$B$2</f>
        <v>40689</v>
      </c>
      <c r="C62" s="166">
        <f>DATE(YEAR(B62),IF(MONTH(B62)&lt;=3,3,IF(MONTH(B62)&lt;=6,6,IF(MONTH(B62)&lt;=9,9,12))),IF(OR(MONTH(B62)&lt;=3,MONTH(B62)&gt;=10),31,30))</f>
        <v>40724</v>
      </c>
      <c r="D62" s="159">
        <f>C62-B62+1</f>
        <v>36</v>
      </c>
      <c r="E62" s="160">
        <f>VLOOKUP(C62,'FERC Interest Rate'!$A:$B,2,TRUE)</f>
        <v>3.2500000000000001E-2</v>
      </c>
      <c r="F62" s="161">
        <f>$E$2</f>
        <v>0</v>
      </c>
      <c r="G62" s="147">
        <v>0</v>
      </c>
      <c r="H62" s="162">
        <v>0</v>
      </c>
      <c r="I62" s="161">
        <f>F62*E62*(D62/(DATE(YEAR(C62),12,31)-DATE(YEAR(C62),1,1)+1))</f>
        <v>0</v>
      </c>
      <c r="J62" s="161">
        <v>0</v>
      </c>
      <c r="K62" s="130">
        <f>F62+I62-H62-J62</f>
        <v>0</v>
      </c>
    </row>
    <row r="63" spans="1:11" x14ac:dyDescent="0.2">
      <c r="A63" s="156"/>
      <c r="B63" s="167">
        <f>C62+1</f>
        <v>40725</v>
      </c>
      <c r="C63" s="167">
        <f>EOMONTH(C62,3)</f>
        <v>40816</v>
      </c>
      <c r="D63" s="142">
        <f t="shared" ref="D63:D89" si="20">C63-B63+1</f>
        <v>92</v>
      </c>
      <c r="E63" s="160">
        <f>VLOOKUP(C63,'FERC Interest Rate'!$A:$B,2,TRUE)</f>
        <v>3.2500000000000001E-2</v>
      </c>
      <c r="F63" s="148">
        <f>K62</f>
        <v>0</v>
      </c>
      <c r="G63" s="147">
        <v>0</v>
      </c>
      <c r="H63" s="147">
        <v>0</v>
      </c>
      <c r="I63" s="161">
        <f t="shared" ref="I63:I69" si="21">F63*E63*(D63/(DATE(YEAR(C63),12,31)-DATE(YEAR(C63),1,1)+1))</f>
        <v>0</v>
      </c>
      <c r="J63" s="148">
        <v>0</v>
      </c>
      <c r="K63" s="130">
        <f t="shared" ref="K63:K89" si="22">F63+I63-H63-J63</f>
        <v>0</v>
      </c>
    </row>
    <row r="64" spans="1:11" x14ac:dyDescent="0.2">
      <c r="A64" s="156"/>
      <c r="B64" s="167">
        <f t="shared" ref="B64:B89" si="23">C63+1</f>
        <v>40817</v>
      </c>
      <c r="C64" s="167">
        <f t="shared" ref="C64:C89" si="24">EOMONTH(C63,3)</f>
        <v>40908</v>
      </c>
      <c r="D64" s="142">
        <f t="shared" si="20"/>
        <v>92</v>
      </c>
      <c r="E64" s="160">
        <f>VLOOKUP(C64,'FERC Interest Rate'!$A:$B,2,TRUE)</f>
        <v>3.2500000000000001E-2</v>
      </c>
      <c r="F64" s="148">
        <f t="shared" ref="F64:F89" si="25">K63</f>
        <v>0</v>
      </c>
      <c r="G64" s="147">
        <v>0</v>
      </c>
      <c r="H64" s="147">
        <v>0</v>
      </c>
      <c r="I64" s="161">
        <f t="shared" si="21"/>
        <v>0</v>
      </c>
      <c r="J64" s="148">
        <v>0</v>
      </c>
      <c r="K64" s="130">
        <f t="shared" si="22"/>
        <v>0</v>
      </c>
    </row>
    <row r="65" spans="1:11" x14ac:dyDescent="0.2">
      <c r="A65" s="156"/>
      <c r="B65" s="167">
        <f t="shared" si="23"/>
        <v>40909</v>
      </c>
      <c r="C65" s="167">
        <f t="shared" si="24"/>
        <v>40999</v>
      </c>
      <c r="D65" s="142">
        <f t="shared" si="20"/>
        <v>91</v>
      </c>
      <c r="E65" s="160">
        <f>VLOOKUP(C65,'FERC Interest Rate'!$A:$B,2,TRUE)</f>
        <v>3.2500000000000001E-2</v>
      </c>
      <c r="F65" s="148">
        <f t="shared" si="25"/>
        <v>0</v>
      </c>
      <c r="G65" s="147">
        <v>0</v>
      </c>
      <c r="H65" s="147">
        <v>0</v>
      </c>
      <c r="I65" s="161">
        <f t="shared" si="21"/>
        <v>0</v>
      </c>
      <c r="J65" s="148">
        <v>0</v>
      </c>
      <c r="K65" s="130">
        <f t="shared" si="22"/>
        <v>0</v>
      </c>
    </row>
    <row r="66" spans="1:11" x14ac:dyDescent="0.2">
      <c r="A66" s="156"/>
      <c r="B66" s="167">
        <f t="shared" si="23"/>
        <v>41000</v>
      </c>
      <c r="C66" s="167">
        <f t="shared" si="24"/>
        <v>41090</v>
      </c>
      <c r="D66" s="142">
        <f t="shared" si="20"/>
        <v>91</v>
      </c>
      <c r="E66" s="160">
        <f>VLOOKUP(C66,'FERC Interest Rate'!$A:$B,2,TRUE)</f>
        <v>3.2500000000000001E-2</v>
      </c>
      <c r="F66" s="148">
        <f t="shared" si="25"/>
        <v>0</v>
      </c>
      <c r="G66" s="147">
        <v>0</v>
      </c>
      <c r="H66" s="147">
        <v>0</v>
      </c>
      <c r="I66" s="161">
        <f t="shared" si="21"/>
        <v>0</v>
      </c>
      <c r="J66" s="148">
        <v>0</v>
      </c>
      <c r="K66" s="130">
        <f t="shared" si="22"/>
        <v>0</v>
      </c>
    </row>
    <row r="67" spans="1:11" x14ac:dyDescent="0.2">
      <c r="A67" s="156"/>
      <c r="B67" s="167">
        <f t="shared" si="23"/>
        <v>41091</v>
      </c>
      <c r="C67" s="167">
        <f t="shared" si="24"/>
        <v>41182</v>
      </c>
      <c r="D67" s="142">
        <f t="shared" si="20"/>
        <v>92</v>
      </c>
      <c r="E67" s="160">
        <f>VLOOKUP(C67,'FERC Interest Rate'!$A:$B,2,TRUE)</f>
        <v>3.2500000000000001E-2</v>
      </c>
      <c r="F67" s="148">
        <f t="shared" si="25"/>
        <v>0</v>
      </c>
      <c r="G67" s="147">
        <v>0</v>
      </c>
      <c r="H67" s="147">
        <v>0</v>
      </c>
      <c r="I67" s="161">
        <f t="shared" si="21"/>
        <v>0</v>
      </c>
      <c r="J67" s="148">
        <v>0</v>
      </c>
      <c r="K67" s="130">
        <f t="shared" si="22"/>
        <v>0</v>
      </c>
    </row>
    <row r="68" spans="1:11" x14ac:dyDescent="0.2">
      <c r="A68" s="156"/>
      <c r="B68" s="167">
        <f t="shared" si="23"/>
        <v>41183</v>
      </c>
      <c r="C68" s="167">
        <f t="shared" si="24"/>
        <v>41274</v>
      </c>
      <c r="D68" s="142">
        <f t="shared" si="20"/>
        <v>92</v>
      </c>
      <c r="E68" s="160">
        <f>VLOOKUP(C68,'FERC Interest Rate'!$A:$B,2,TRUE)</f>
        <v>3.2500000000000001E-2</v>
      </c>
      <c r="F68" s="148">
        <f t="shared" si="25"/>
        <v>0</v>
      </c>
      <c r="G68" s="147">
        <v>0</v>
      </c>
      <c r="H68" s="147">
        <v>0</v>
      </c>
      <c r="I68" s="161">
        <f t="shared" si="21"/>
        <v>0</v>
      </c>
      <c r="J68" s="148">
        <v>0</v>
      </c>
      <c r="K68" s="130">
        <f t="shared" si="22"/>
        <v>0</v>
      </c>
    </row>
    <row r="69" spans="1:11" x14ac:dyDescent="0.2">
      <c r="A69" s="156"/>
      <c r="B69" s="167">
        <f t="shared" si="23"/>
        <v>41275</v>
      </c>
      <c r="C69" s="167">
        <f t="shared" si="24"/>
        <v>41364</v>
      </c>
      <c r="D69" s="142">
        <f t="shared" si="20"/>
        <v>90</v>
      </c>
      <c r="E69" s="160">
        <f>VLOOKUP(C69,'FERC Interest Rate'!$A:$B,2,TRUE)</f>
        <v>3.2500000000000001E-2</v>
      </c>
      <c r="F69" s="148">
        <f t="shared" si="25"/>
        <v>0</v>
      </c>
      <c r="G69" s="147">
        <v>0</v>
      </c>
      <c r="H69" s="147">
        <v>0</v>
      </c>
      <c r="I69" s="161">
        <f t="shared" si="21"/>
        <v>0</v>
      </c>
      <c r="J69" s="148">
        <v>0</v>
      </c>
      <c r="K69" s="130">
        <f t="shared" si="22"/>
        <v>0</v>
      </c>
    </row>
    <row r="70" spans="1:11" x14ac:dyDescent="0.2">
      <c r="A70" s="156"/>
      <c r="B70" s="167">
        <f t="shared" si="23"/>
        <v>41365</v>
      </c>
      <c r="C70" s="167">
        <f t="shared" si="24"/>
        <v>41455</v>
      </c>
      <c r="D70" s="142">
        <f t="shared" si="20"/>
        <v>91</v>
      </c>
      <c r="E70" s="160">
        <f>VLOOKUP(C70,'FERC Interest Rate'!$A:$B,2,TRUE)</f>
        <v>3.2500000000000001E-2</v>
      </c>
      <c r="F70" s="148">
        <f>K69</f>
        <v>0</v>
      </c>
      <c r="G70" s="147">
        <f t="shared" ref="G70:G87" si="26">F70*E70*(D70/(DATE(YEAR(C70),12,31)-DATE(YEAR(C70),1,1)+1))</f>
        <v>0</v>
      </c>
      <c r="H70" s="147">
        <f>$F$62/20</f>
        <v>0</v>
      </c>
      <c r="I70" s="148">
        <v>0</v>
      </c>
      <c r="J70" s="148">
        <f>SUM($I$62:$I$90)/20</f>
        <v>0</v>
      </c>
      <c r="K70" s="130">
        <f t="shared" si="22"/>
        <v>0</v>
      </c>
    </row>
    <row r="71" spans="1:11" x14ac:dyDescent="0.2">
      <c r="A71" s="156"/>
      <c r="B71" s="167">
        <f t="shared" si="23"/>
        <v>41456</v>
      </c>
      <c r="C71" s="167">
        <f t="shared" si="24"/>
        <v>41547</v>
      </c>
      <c r="D71" s="142">
        <f t="shared" si="20"/>
        <v>92</v>
      </c>
      <c r="E71" s="160">
        <f>VLOOKUP(C71,'FERC Interest Rate'!$A:$B,2,TRUE)</f>
        <v>3.2500000000000001E-2</v>
      </c>
      <c r="F71" s="148">
        <f>K70</f>
        <v>0</v>
      </c>
      <c r="G71" s="147">
        <f t="shared" si="26"/>
        <v>0</v>
      </c>
      <c r="H71" s="147">
        <f t="shared" ref="H71:H89" si="27">$F$62/20</f>
        <v>0</v>
      </c>
      <c r="I71" s="148">
        <v>0</v>
      </c>
      <c r="J71" s="148">
        <f t="shared" ref="J71:J89" si="28">SUM($I$62:$I$90)/20</f>
        <v>0</v>
      </c>
      <c r="K71" s="130">
        <f t="shared" si="22"/>
        <v>0</v>
      </c>
    </row>
    <row r="72" spans="1:11" x14ac:dyDescent="0.2">
      <c r="A72" s="156"/>
      <c r="B72" s="167">
        <f t="shared" si="23"/>
        <v>41548</v>
      </c>
      <c r="C72" s="167">
        <f t="shared" si="24"/>
        <v>41639</v>
      </c>
      <c r="D72" s="142">
        <f t="shared" si="20"/>
        <v>92</v>
      </c>
      <c r="E72" s="160">
        <f>VLOOKUP(C72,'FERC Interest Rate'!$A:$B,2,TRUE)</f>
        <v>3.2500000000000001E-2</v>
      </c>
      <c r="F72" s="148">
        <f t="shared" si="25"/>
        <v>0</v>
      </c>
      <c r="G72" s="147">
        <f t="shared" si="26"/>
        <v>0</v>
      </c>
      <c r="H72" s="147">
        <f t="shared" si="27"/>
        <v>0</v>
      </c>
      <c r="I72" s="148">
        <v>0</v>
      </c>
      <c r="J72" s="148">
        <f t="shared" si="28"/>
        <v>0</v>
      </c>
      <c r="K72" s="130">
        <f t="shared" si="22"/>
        <v>0</v>
      </c>
    </row>
    <row r="73" spans="1:11" x14ac:dyDescent="0.2">
      <c r="A73" s="156"/>
      <c r="B73" s="167">
        <f t="shared" si="23"/>
        <v>41640</v>
      </c>
      <c r="C73" s="167">
        <f t="shared" si="24"/>
        <v>41729</v>
      </c>
      <c r="D73" s="142">
        <f t="shared" si="20"/>
        <v>90</v>
      </c>
      <c r="E73" s="160">
        <f>VLOOKUP(C73,'FERC Interest Rate'!$A:$B,2,TRUE)</f>
        <v>3.2500000000000001E-2</v>
      </c>
      <c r="F73" s="148">
        <f t="shared" si="25"/>
        <v>0</v>
      </c>
      <c r="G73" s="147">
        <f t="shared" si="26"/>
        <v>0</v>
      </c>
      <c r="H73" s="147">
        <f t="shared" si="27"/>
        <v>0</v>
      </c>
      <c r="I73" s="148">
        <v>0</v>
      </c>
      <c r="J73" s="148">
        <f t="shared" si="28"/>
        <v>0</v>
      </c>
      <c r="K73" s="130">
        <f t="shared" si="22"/>
        <v>0</v>
      </c>
    </row>
    <row r="74" spans="1:11" x14ac:dyDescent="0.2">
      <c r="A74" s="156"/>
      <c r="B74" s="167">
        <f t="shared" si="23"/>
        <v>41730</v>
      </c>
      <c r="C74" s="167">
        <f t="shared" si="24"/>
        <v>41820</v>
      </c>
      <c r="D74" s="142">
        <f t="shared" si="20"/>
        <v>91</v>
      </c>
      <c r="E74" s="160">
        <f>VLOOKUP(C74,'FERC Interest Rate'!$A:$B,2,TRUE)</f>
        <v>3.2500000000000001E-2</v>
      </c>
      <c r="F74" s="148">
        <f t="shared" si="25"/>
        <v>0</v>
      </c>
      <c r="G74" s="147">
        <f t="shared" si="26"/>
        <v>0</v>
      </c>
      <c r="H74" s="147">
        <f t="shared" si="27"/>
        <v>0</v>
      </c>
      <c r="I74" s="148">
        <v>0</v>
      </c>
      <c r="J74" s="148">
        <f t="shared" si="28"/>
        <v>0</v>
      </c>
      <c r="K74" s="130">
        <f t="shared" si="22"/>
        <v>0</v>
      </c>
    </row>
    <row r="75" spans="1:11" x14ac:dyDescent="0.2">
      <c r="A75" s="156"/>
      <c r="B75" s="167">
        <f t="shared" si="23"/>
        <v>41821</v>
      </c>
      <c r="C75" s="167">
        <f t="shared" si="24"/>
        <v>41912</v>
      </c>
      <c r="D75" s="142">
        <f t="shared" si="20"/>
        <v>92</v>
      </c>
      <c r="E75" s="160">
        <f>VLOOKUP(C75,'FERC Interest Rate'!$A:$B,2,TRUE)</f>
        <v>3.2500000000000001E-2</v>
      </c>
      <c r="F75" s="148">
        <f t="shared" si="25"/>
        <v>0</v>
      </c>
      <c r="G75" s="147">
        <f t="shared" si="26"/>
        <v>0</v>
      </c>
      <c r="H75" s="147">
        <f t="shared" si="27"/>
        <v>0</v>
      </c>
      <c r="I75" s="148">
        <v>0</v>
      </c>
      <c r="J75" s="148">
        <f t="shared" si="28"/>
        <v>0</v>
      </c>
      <c r="K75" s="130">
        <f t="shared" si="22"/>
        <v>0</v>
      </c>
    </row>
    <row r="76" spans="1:11" x14ac:dyDescent="0.2">
      <c r="A76" s="156"/>
      <c r="B76" s="167">
        <f t="shared" si="23"/>
        <v>41913</v>
      </c>
      <c r="C76" s="167">
        <f t="shared" si="24"/>
        <v>42004</v>
      </c>
      <c r="D76" s="142">
        <f t="shared" si="20"/>
        <v>92</v>
      </c>
      <c r="E76" s="160">
        <f>VLOOKUP(C76,'FERC Interest Rate'!$A:$B,2,TRUE)</f>
        <v>3.2500000000000001E-2</v>
      </c>
      <c r="F76" s="148">
        <f t="shared" si="25"/>
        <v>0</v>
      </c>
      <c r="G76" s="147">
        <f t="shared" si="26"/>
        <v>0</v>
      </c>
      <c r="H76" s="147">
        <f t="shared" si="27"/>
        <v>0</v>
      </c>
      <c r="I76" s="148">
        <v>0</v>
      </c>
      <c r="J76" s="148">
        <f t="shared" si="28"/>
        <v>0</v>
      </c>
      <c r="K76" s="130">
        <f t="shared" si="22"/>
        <v>0</v>
      </c>
    </row>
    <row r="77" spans="1:11" x14ac:dyDescent="0.2">
      <c r="A77" s="156"/>
      <c r="B77" s="167">
        <f t="shared" si="23"/>
        <v>42005</v>
      </c>
      <c r="C77" s="167">
        <f t="shared" si="24"/>
        <v>42094</v>
      </c>
      <c r="D77" s="142">
        <f t="shared" si="20"/>
        <v>90</v>
      </c>
      <c r="E77" s="160">
        <f>VLOOKUP(C77,'FERC Interest Rate'!$A:$B,2,TRUE)</f>
        <v>3.2500000000000001E-2</v>
      </c>
      <c r="F77" s="148">
        <f t="shared" si="25"/>
        <v>0</v>
      </c>
      <c r="G77" s="147">
        <f t="shared" si="26"/>
        <v>0</v>
      </c>
      <c r="H77" s="147">
        <f t="shared" si="27"/>
        <v>0</v>
      </c>
      <c r="I77" s="148">
        <v>0</v>
      </c>
      <c r="J77" s="148">
        <f t="shared" si="28"/>
        <v>0</v>
      </c>
      <c r="K77" s="130">
        <f t="shared" si="22"/>
        <v>0</v>
      </c>
    </row>
    <row r="78" spans="1:11" x14ac:dyDescent="0.2">
      <c r="A78" s="156"/>
      <c r="B78" s="167">
        <f t="shared" si="23"/>
        <v>42095</v>
      </c>
      <c r="C78" s="167">
        <f t="shared" si="24"/>
        <v>42185</v>
      </c>
      <c r="D78" s="142">
        <f t="shared" si="20"/>
        <v>91</v>
      </c>
      <c r="E78" s="160">
        <f>VLOOKUP(C78,'FERC Interest Rate'!$A:$B,2,TRUE)</f>
        <v>3.2500000000000001E-2</v>
      </c>
      <c r="F78" s="148">
        <f t="shared" si="25"/>
        <v>0</v>
      </c>
      <c r="G78" s="147">
        <f t="shared" si="26"/>
        <v>0</v>
      </c>
      <c r="H78" s="147">
        <f t="shared" si="27"/>
        <v>0</v>
      </c>
      <c r="I78" s="148">
        <v>0</v>
      </c>
      <c r="J78" s="148">
        <f t="shared" si="28"/>
        <v>0</v>
      </c>
      <c r="K78" s="130">
        <f t="shared" si="22"/>
        <v>0</v>
      </c>
    </row>
    <row r="79" spans="1:11" x14ac:dyDescent="0.2">
      <c r="A79" s="156"/>
      <c r="B79" s="167">
        <f t="shared" si="23"/>
        <v>42186</v>
      </c>
      <c r="C79" s="167">
        <f t="shared" si="24"/>
        <v>42277</v>
      </c>
      <c r="D79" s="142">
        <f t="shared" si="20"/>
        <v>92</v>
      </c>
      <c r="E79" s="160">
        <f>VLOOKUP(C79,'FERC Interest Rate'!$A:$B,2,TRUE)</f>
        <v>3.2500000000000001E-2</v>
      </c>
      <c r="F79" s="148">
        <f t="shared" si="25"/>
        <v>0</v>
      </c>
      <c r="G79" s="147">
        <f t="shared" si="26"/>
        <v>0</v>
      </c>
      <c r="H79" s="147">
        <f t="shared" si="27"/>
        <v>0</v>
      </c>
      <c r="I79" s="148">
        <v>0</v>
      </c>
      <c r="J79" s="148">
        <f t="shared" si="28"/>
        <v>0</v>
      </c>
      <c r="K79" s="130">
        <f t="shared" si="22"/>
        <v>0</v>
      </c>
    </row>
    <row r="80" spans="1:11" x14ac:dyDescent="0.2">
      <c r="A80" s="156"/>
      <c r="B80" s="167">
        <f t="shared" si="23"/>
        <v>42278</v>
      </c>
      <c r="C80" s="167">
        <f t="shared" si="24"/>
        <v>42369</v>
      </c>
      <c r="D80" s="142">
        <f t="shared" si="20"/>
        <v>92</v>
      </c>
      <c r="E80" s="160">
        <f>VLOOKUP(C80,'FERC Interest Rate'!$A:$B,2,TRUE)</f>
        <v>3.2500000000000001E-2</v>
      </c>
      <c r="F80" s="148">
        <f t="shared" si="25"/>
        <v>0</v>
      </c>
      <c r="G80" s="147">
        <f t="shared" si="26"/>
        <v>0</v>
      </c>
      <c r="H80" s="147">
        <f t="shared" si="27"/>
        <v>0</v>
      </c>
      <c r="I80" s="148">
        <v>0</v>
      </c>
      <c r="J80" s="148">
        <f t="shared" si="28"/>
        <v>0</v>
      </c>
      <c r="K80" s="130">
        <f t="shared" si="22"/>
        <v>0</v>
      </c>
    </row>
    <row r="81" spans="1:11" x14ac:dyDescent="0.2">
      <c r="A81" s="156"/>
      <c r="B81" s="167">
        <f t="shared" si="23"/>
        <v>42370</v>
      </c>
      <c r="C81" s="167">
        <f t="shared" si="24"/>
        <v>42460</v>
      </c>
      <c r="D81" s="142">
        <f t="shared" si="20"/>
        <v>91</v>
      </c>
      <c r="E81" s="160">
        <f>VLOOKUP(C81,'FERC Interest Rate'!$A:$B,2,TRUE)</f>
        <v>3.2500000000000001E-2</v>
      </c>
      <c r="F81" s="148">
        <f t="shared" si="25"/>
        <v>0</v>
      </c>
      <c r="G81" s="147">
        <f t="shared" si="26"/>
        <v>0</v>
      </c>
      <c r="H81" s="147">
        <f t="shared" si="27"/>
        <v>0</v>
      </c>
      <c r="I81" s="148">
        <v>0</v>
      </c>
      <c r="J81" s="148">
        <f t="shared" si="28"/>
        <v>0</v>
      </c>
      <c r="K81" s="130">
        <f t="shared" si="22"/>
        <v>0</v>
      </c>
    </row>
    <row r="82" spans="1:11" x14ac:dyDescent="0.2">
      <c r="A82" s="169"/>
      <c r="B82" s="167">
        <f t="shared" si="23"/>
        <v>42461</v>
      </c>
      <c r="C82" s="167">
        <f t="shared" si="24"/>
        <v>42551</v>
      </c>
      <c r="D82" s="142">
        <f t="shared" si="20"/>
        <v>91</v>
      </c>
      <c r="E82" s="160">
        <f>VLOOKUP(C82,'FERC Interest Rate'!$A:$B,2,TRUE)</f>
        <v>3.2500000000000001E-2</v>
      </c>
      <c r="F82" s="148">
        <f t="shared" si="25"/>
        <v>0</v>
      </c>
      <c r="G82" s="147">
        <f t="shared" si="26"/>
        <v>0</v>
      </c>
      <c r="H82" s="147">
        <f t="shared" si="27"/>
        <v>0</v>
      </c>
      <c r="I82" s="148">
        <v>0</v>
      </c>
      <c r="J82" s="148">
        <f t="shared" si="28"/>
        <v>0</v>
      </c>
      <c r="K82" s="130">
        <f t="shared" si="22"/>
        <v>0</v>
      </c>
    </row>
    <row r="83" spans="1:11" x14ac:dyDescent="0.2">
      <c r="A83" s="169"/>
      <c r="B83" s="167">
        <f t="shared" si="23"/>
        <v>42552</v>
      </c>
      <c r="C83" s="167">
        <f t="shared" si="24"/>
        <v>42643</v>
      </c>
      <c r="D83" s="142">
        <f t="shared" si="20"/>
        <v>92</v>
      </c>
      <c r="E83" s="160">
        <f>VLOOKUP(C83,'FERC Interest Rate'!$A:$B,2,TRUE)</f>
        <v>4.0333330000000001E-2</v>
      </c>
      <c r="F83" s="148">
        <f t="shared" si="25"/>
        <v>0</v>
      </c>
      <c r="G83" s="147">
        <f t="shared" si="26"/>
        <v>0</v>
      </c>
      <c r="H83" s="147">
        <f t="shared" si="27"/>
        <v>0</v>
      </c>
      <c r="I83" s="148">
        <v>0</v>
      </c>
      <c r="J83" s="148">
        <f t="shared" si="28"/>
        <v>0</v>
      </c>
      <c r="K83" s="130">
        <f t="shared" si="22"/>
        <v>0</v>
      </c>
    </row>
    <row r="84" spans="1:11" x14ac:dyDescent="0.2">
      <c r="A84" s="169"/>
      <c r="B84" s="167">
        <f t="shared" si="23"/>
        <v>42644</v>
      </c>
      <c r="C84" s="167">
        <f t="shared" si="24"/>
        <v>42735</v>
      </c>
      <c r="D84" s="142">
        <f t="shared" si="20"/>
        <v>92</v>
      </c>
      <c r="E84" s="160">
        <f>VLOOKUP(C84,'FERC Interest Rate'!$A:$B,2,TRUE)</f>
        <v>4.2833329999999996E-2</v>
      </c>
      <c r="F84" s="148">
        <f t="shared" si="25"/>
        <v>0</v>
      </c>
      <c r="G84" s="147">
        <f t="shared" si="26"/>
        <v>0</v>
      </c>
      <c r="H84" s="147">
        <f t="shared" si="27"/>
        <v>0</v>
      </c>
      <c r="I84" s="148">
        <v>0</v>
      </c>
      <c r="J84" s="148">
        <f t="shared" si="28"/>
        <v>0</v>
      </c>
      <c r="K84" s="130">
        <f t="shared" si="22"/>
        <v>0</v>
      </c>
    </row>
    <row r="85" spans="1:11" x14ac:dyDescent="0.2">
      <c r="A85" s="169"/>
      <c r="B85" s="167">
        <f t="shared" si="23"/>
        <v>42736</v>
      </c>
      <c r="C85" s="167">
        <f t="shared" si="24"/>
        <v>42825</v>
      </c>
      <c r="D85" s="142">
        <f t="shared" si="20"/>
        <v>90</v>
      </c>
      <c r="E85" s="160">
        <f>VLOOKUP(C85,'FERC Interest Rate'!$A:$B,2,TRUE)</f>
        <v>4.7066670000000005E-2</v>
      </c>
      <c r="F85" s="148">
        <f t="shared" si="25"/>
        <v>0</v>
      </c>
      <c r="G85" s="147">
        <f t="shared" si="26"/>
        <v>0</v>
      </c>
      <c r="H85" s="147">
        <f t="shared" si="27"/>
        <v>0</v>
      </c>
      <c r="I85" s="148">
        <v>0</v>
      </c>
      <c r="J85" s="148">
        <f t="shared" si="28"/>
        <v>0</v>
      </c>
      <c r="K85" s="130">
        <f t="shared" si="22"/>
        <v>0</v>
      </c>
    </row>
    <row r="86" spans="1:11" x14ac:dyDescent="0.2">
      <c r="A86" s="169"/>
      <c r="B86" s="167">
        <f t="shared" si="23"/>
        <v>42826</v>
      </c>
      <c r="C86" s="167">
        <f t="shared" si="24"/>
        <v>42916</v>
      </c>
      <c r="D86" s="142">
        <f t="shared" si="20"/>
        <v>91</v>
      </c>
      <c r="E86" s="160">
        <f>VLOOKUP(C86,'FERC Interest Rate'!$A:$B,2,TRUE)</f>
        <v>5.21E-2</v>
      </c>
      <c r="F86" s="148">
        <f t="shared" si="25"/>
        <v>0</v>
      </c>
      <c r="G86" s="147">
        <f t="shared" si="26"/>
        <v>0</v>
      </c>
      <c r="H86" s="147">
        <f t="shared" si="27"/>
        <v>0</v>
      </c>
      <c r="I86" s="148">
        <v>0</v>
      </c>
      <c r="J86" s="148">
        <f t="shared" si="28"/>
        <v>0</v>
      </c>
      <c r="K86" s="130">
        <f t="shared" si="22"/>
        <v>0</v>
      </c>
    </row>
    <row r="87" spans="1:11" x14ac:dyDescent="0.2">
      <c r="A87" s="169"/>
      <c r="B87" s="167">
        <f t="shared" si="23"/>
        <v>42917</v>
      </c>
      <c r="C87" s="167">
        <f t="shared" si="24"/>
        <v>43008</v>
      </c>
      <c r="D87" s="142">
        <f t="shared" si="20"/>
        <v>92</v>
      </c>
      <c r="E87" s="160">
        <f>VLOOKUP(C87,'FERC Interest Rate'!$A:$B,2,TRUE)</f>
        <v>5.7066670000000007E-2</v>
      </c>
      <c r="F87" s="148">
        <f t="shared" si="25"/>
        <v>0</v>
      </c>
      <c r="G87" s="147">
        <f t="shared" si="26"/>
        <v>0</v>
      </c>
      <c r="H87" s="147">
        <f t="shared" si="27"/>
        <v>0</v>
      </c>
      <c r="I87" s="148">
        <v>0</v>
      </c>
      <c r="J87" s="148">
        <f t="shared" si="28"/>
        <v>0</v>
      </c>
      <c r="K87" s="130">
        <f t="shared" si="22"/>
        <v>0</v>
      </c>
    </row>
    <row r="88" spans="1:11" x14ac:dyDescent="0.2">
      <c r="A88" s="169"/>
      <c r="B88" s="167">
        <f t="shared" si="23"/>
        <v>43009</v>
      </c>
      <c r="C88" s="167">
        <f t="shared" si="24"/>
        <v>43100</v>
      </c>
      <c r="D88" s="142">
        <f t="shared" si="20"/>
        <v>92</v>
      </c>
      <c r="E88" s="160">
        <f>VLOOKUP(C88,'FERC Interest Rate'!$A:$B,2,TRUE)</f>
        <v>6.2033329999999998E-2</v>
      </c>
      <c r="F88" s="148">
        <f t="shared" si="25"/>
        <v>0</v>
      </c>
      <c r="G88" s="147">
        <f>F88*E88*(D88/(DATE(YEAR(C88),12,31)-DATE(YEAR(C88),1,1)+1))</f>
        <v>0</v>
      </c>
      <c r="H88" s="147">
        <f t="shared" si="27"/>
        <v>0</v>
      </c>
      <c r="I88" s="148">
        <v>0</v>
      </c>
      <c r="J88" s="148">
        <f t="shared" si="28"/>
        <v>0</v>
      </c>
      <c r="K88" s="130">
        <f t="shared" si="22"/>
        <v>0</v>
      </c>
    </row>
    <row r="89" spans="1:11" x14ac:dyDescent="0.2">
      <c r="A89" s="169"/>
      <c r="B89" s="167">
        <f t="shared" si="23"/>
        <v>43101</v>
      </c>
      <c r="C89" s="167">
        <f t="shared" si="24"/>
        <v>43190</v>
      </c>
      <c r="D89" s="142">
        <f t="shared" si="20"/>
        <v>90</v>
      </c>
      <c r="E89" s="160">
        <f>VLOOKUP(C89,'FERC Interest Rate'!$A:$B,2,TRUE)</f>
        <v>6.6699999999999995E-2</v>
      </c>
      <c r="F89" s="148">
        <f t="shared" si="25"/>
        <v>0</v>
      </c>
      <c r="G89" s="147">
        <f>F89*E89*(D89/(DATE(YEAR(C89),12,31)-DATE(YEAR(C89),1,1)+1))</f>
        <v>0</v>
      </c>
      <c r="H89" s="147">
        <f t="shared" si="27"/>
        <v>0</v>
      </c>
      <c r="I89" s="148">
        <v>0</v>
      </c>
      <c r="J89" s="148">
        <f t="shared" si="28"/>
        <v>0</v>
      </c>
      <c r="K89" s="130">
        <f t="shared" si="22"/>
        <v>0</v>
      </c>
    </row>
    <row r="90" spans="1:11" ht="13.5" thickBot="1" x14ac:dyDescent="0.25">
      <c r="A90" s="129"/>
      <c r="B90" s="168"/>
      <c r="C90" s="168"/>
      <c r="D90" s="121"/>
      <c r="E90" s="122"/>
      <c r="F90" s="145"/>
      <c r="G90" s="145"/>
      <c r="H90" s="146"/>
      <c r="I90" s="123"/>
      <c r="J90" s="123"/>
      <c r="K90" s="128"/>
    </row>
  </sheetData>
  <mergeCells count="2">
    <mergeCell ref="A35:K35"/>
    <mergeCell ref="A60:K60"/>
  </mergeCells>
  <printOptions horizontalCentered="1"/>
  <pageMargins left="0.7" right="0.7" top="0.75" bottom="0.75" header="0.3" footer="0.3"/>
  <pageSetup scale="61" orientation="landscape" cellComments="asDisplayed" r:id="rId1"/>
  <headerFooter alignWithMargins="0">
    <oddHeader>&amp;RTO11 Draft Annual Update
Attachment 4
WP Schedule 22
Page &amp;P of &amp;N</oddHeader>
    <oddFooter>&amp;R&amp;A</oddFooter>
  </headerFooter>
  <rowBreaks count="1" manualBreakCount="1">
    <brk id="3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C67"/>
  <sheetViews>
    <sheetView zoomScaleNormal="100" workbookViewId="0">
      <pane ySplit="1" topLeftCell="A2" activePane="bottomLeft" state="frozen"/>
      <selection sqref="A1:F1"/>
      <selection pane="bottomLeft"/>
    </sheetView>
  </sheetViews>
  <sheetFormatPr defaultColWidth="9.140625" defaultRowHeight="12.75" x14ac:dyDescent="0.2"/>
  <cols>
    <col min="1" max="1" width="13.42578125" style="175" bestFit="1" customWidth="1"/>
    <col min="2" max="2" width="12.28515625" style="175" customWidth="1"/>
    <col min="3" max="3" width="9.140625" style="175"/>
    <col min="4" max="16384" width="9.140625" style="173"/>
  </cols>
  <sheetData>
    <row r="1" spans="1:3" s="172" customFormat="1" x14ac:dyDescent="0.2">
      <c r="A1" s="174" t="s">
        <v>95</v>
      </c>
      <c r="B1" s="174" t="s">
        <v>94</v>
      </c>
      <c r="C1" s="178" t="s">
        <v>96</v>
      </c>
    </row>
    <row r="2" spans="1:3" s="172" customFormat="1" x14ac:dyDescent="0.2">
      <c r="A2" s="176">
        <v>38442</v>
      </c>
      <c r="B2" s="177">
        <v>4.7500000000000001E-2</v>
      </c>
      <c r="C2" s="175" t="s">
        <v>42</v>
      </c>
    </row>
    <row r="3" spans="1:3" s="172" customFormat="1" x14ac:dyDescent="0.2">
      <c r="A3" s="176">
        <v>38533</v>
      </c>
      <c r="B3" s="177">
        <v>5.2999999999999999E-2</v>
      </c>
      <c r="C3" s="175" t="s">
        <v>42</v>
      </c>
    </row>
    <row r="4" spans="1:3" s="172" customFormat="1" x14ac:dyDescent="0.2">
      <c r="A4" s="176">
        <v>38625</v>
      </c>
      <c r="B4" s="177">
        <v>5.7700000000000001E-2</v>
      </c>
      <c r="C4" s="175" t="s">
        <v>42</v>
      </c>
    </row>
    <row r="5" spans="1:3" s="172" customFormat="1" x14ac:dyDescent="0.2">
      <c r="A5" s="176">
        <v>38717</v>
      </c>
      <c r="B5" s="177">
        <v>6.2300000000000001E-2</v>
      </c>
      <c r="C5" s="175" t="s">
        <v>42</v>
      </c>
    </row>
    <row r="6" spans="1:3" s="172" customFormat="1" x14ac:dyDescent="0.2">
      <c r="A6" s="176">
        <v>38807</v>
      </c>
      <c r="B6" s="177">
        <v>6.7799999999999999E-2</v>
      </c>
      <c r="C6" s="175" t="s">
        <v>42</v>
      </c>
    </row>
    <row r="7" spans="1:3" s="172" customFormat="1" x14ac:dyDescent="0.2">
      <c r="A7" s="176">
        <v>38898</v>
      </c>
      <c r="B7" s="177">
        <v>7.2999999999999995E-2</v>
      </c>
      <c r="C7" s="175" t="s">
        <v>42</v>
      </c>
    </row>
    <row r="8" spans="1:3" s="172" customFormat="1" x14ac:dyDescent="0.2">
      <c r="A8" s="176">
        <v>38990</v>
      </c>
      <c r="B8" s="177">
        <v>7.7399999999999997E-2</v>
      </c>
      <c r="C8" s="175" t="s">
        <v>42</v>
      </c>
    </row>
    <row r="9" spans="1:3" s="172" customFormat="1" x14ac:dyDescent="0.2">
      <c r="A9" s="176">
        <v>39082</v>
      </c>
      <c r="B9" s="177">
        <v>8.1699999999999995E-2</v>
      </c>
      <c r="C9" s="175" t="s">
        <v>42</v>
      </c>
    </row>
    <row r="10" spans="1:3" s="172" customFormat="1" x14ac:dyDescent="0.2">
      <c r="A10" s="176">
        <v>39172</v>
      </c>
      <c r="B10" s="177">
        <v>8.2500000000000004E-2</v>
      </c>
      <c r="C10" s="175" t="s">
        <v>42</v>
      </c>
    </row>
    <row r="11" spans="1:3" s="172" customFormat="1" x14ac:dyDescent="0.2">
      <c r="A11" s="176">
        <v>39263</v>
      </c>
      <c r="B11" s="177">
        <v>8.2500000000000004E-2</v>
      </c>
      <c r="C11" s="175" t="s">
        <v>42</v>
      </c>
    </row>
    <row r="12" spans="1:3" s="172" customFormat="1" x14ac:dyDescent="0.2">
      <c r="A12" s="176">
        <v>39355</v>
      </c>
      <c r="B12" s="177">
        <v>8.2500000000000004E-2</v>
      </c>
      <c r="C12" s="175" t="s">
        <v>42</v>
      </c>
    </row>
    <row r="13" spans="1:3" s="172" customFormat="1" x14ac:dyDescent="0.2">
      <c r="A13" s="176">
        <v>39447</v>
      </c>
      <c r="B13" s="177">
        <v>8.2500000000000004E-2</v>
      </c>
      <c r="C13" s="175" t="s">
        <v>42</v>
      </c>
    </row>
    <row r="14" spans="1:3" x14ac:dyDescent="0.2">
      <c r="A14" s="176">
        <v>39538</v>
      </c>
      <c r="B14" s="177">
        <v>7.7600000000000002E-2</v>
      </c>
      <c r="C14" s="175" t="s">
        <v>42</v>
      </c>
    </row>
    <row r="15" spans="1:3" x14ac:dyDescent="0.2">
      <c r="A15" s="176">
        <v>39629</v>
      </c>
      <c r="B15" s="177">
        <v>6.7699999999999996E-2</v>
      </c>
      <c r="C15" s="175" t="s">
        <v>42</v>
      </c>
    </row>
    <row r="16" spans="1:3" x14ac:dyDescent="0.2">
      <c r="A16" s="176">
        <v>39721</v>
      </c>
      <c r="B16" s="177">
        <v>5.2999999999999999E-2</v>
      </c>
      <c r="C16" s="175" t="s">
        <v>42</v>
      </c>
    </row>
    <row r="17" spans="1:3" x14ac:dyDescent="0.2">
      <c r="A17" s="176">
        <v>39813</v>
      </c>
      <c r="B17" s="177">
        <v>0.05</v>
      </c>
      <c r="C17" s="175" t="s">
        <v>42</v>
      </c>
    </row>
    <row r="18" spans="1:3" x14ac:dyDescent="0.2">
      <c r="A18" s="176">
        <v>39903</v>
      </c>
      <c r="B18" s="177">
        <v>4.5199999999999997E-2</v>
      </c>
      <c r="C18" s="175" t="s">
        <v>42</v>
      </c>
    </row>
    <row r="19" spans="1:3" x14ac:dyDescent="0.2">
      <c r="A19" s="176">
        <v>39994</v>
      </c>
      <c r="B19" s="177">
        <v>3.3700000000000001E-2</v>
      </c>
      <c r="C19" s="175" t="s">
        <v>42</v>
      </c>
    </row>
    <row r="20" spans="1:3" x14ac:dyDescent="0.2">
      <c r="A20" s="176">
        <v>40086</v>
      </c>
      <c r="B20" s="177">
        <v>3.2500000000000001E-2</v>
      </c>
      <c r="C20" s="175" t="s">
        <v>42</v>
      </c>
    </row>
    <row r="21" spans="1:3" x14ac:dyDescent="0.2">
      <c r="A21" s="176">
        <v>40178</v>
      </c>
      <c r="B21" s="177">
        <v>3.2500000000000001E-2</v>
      </c>
      <c r="C21" s="175" t="s">
        <v>42</v>
      </c>
    </row>
    <row r="22" spans="1:3" x14ac:dyDescent="0.2">
      <c r="A22" s="176">
        <v>40268</v>
      </c>
      <c r="B22" s="177">
        <v>3.2500000000000001E-2</v>
      </c>
      <c r="C22" s="175" t="s">
        <v>42</v>
      </c>
    </row>
    <row r="23" spans="1:3" x14ac:dyDescent="0.2">
      <c r="A23" s="176">
        <v>40359</v>
      </c>
      <c r="B23" s="177">
        <v>3.2500000000000001E-2</v>
      </c>
      <c r="C23" s="175" t="s">
        <v>42</v>
      </c>
    </row>
    <row r="24" spans="1:3" x14ac:dyDescent="0.2">
      <c r="A24" s="176">
        <v>40451</v>
      </c>
      <c r="B24" s="177">
        <v>3.2500000000000001E-2</v>
      </c>
      <c r="C24" s="175" t="s">
        <v>42</v>
      </c>
    </row>
    <row r="25" spans="1:3" x14ac:dyDescent="0.2">
      <c r="A25" s="176">
        <v>40543</v>
      </c>
      <c r="B25" s="177">
        <v>3.2500000000000001E-2</v>
      </c>
      <c r="C25" s="175" t="s">
        <v>42</v>
      </c>
    </row>
    <row r="26" spans="1:3" x14ac:dyDescent="0.2">
      <c r="A26" s="176">
        <v>40633</v>
      </c>
      <c r="B26" s="177">
        <v>3.2500000000000001E-2</v>
      </c>
      <c r="C26" s="175" t="s">
        <v>42</v>
      </c>
    </row>
    <row r="27" spans="1:3" x14ac:dyDescent="0.2">
      <c r="A27" s="176">
        <v>40724</v>
      </c>
      <c r="B27" s="177">
        <v>3.2500000000000001E-2</v>
      </c>
      <c r="C27" s="175" t="s">
        <v>42</v>
      </c>
    </row>
    <row r="28" spans="1:3" x14ac:dyDescent="0.2">
      <c r="A28" s="176">
        <v>40816</v>
      </c>
      <c r="B28" s="177">
        <v>3.2500000000000001E-2</v>
      </c>
      <c r="C28" s="175" t="s">
        <v>42</v>
      </c>
    </row>
    <row r="29" spans="1:3" x14ac:dyDescent="0.2">
      <c r="A29" s="176">
        <v>40908</v>
      </c>
      <c r="B29" s="177">
        <v>3.2500000000000001E-2</v>
      </c>
      <c r="C29" s="175" t="s">
        <v>42</v>
      </c>
    </row>
    <row r="30" spans="1:3" x14ac:dyDescent="0.2">
      <c r="A30" s="176">
        <v>40999</v>
      </c>
      <c r="B30" s="177">
        <v>3.2500000000000001E-2</v>
      </c>
      <c r="C30" s="175" t="s">
        <v>42</v>
      </c>
    </row>
    <row r="31" spans="1:3" x14ac:dyDescent="0.2">
      <c r="A31" s="176">
        <v>41090</v>
      </c>
      <c r="B31" s="177">
        <v>3.2500000000000001E-2</v>
      </c>
      <c r="C31" s="175" t="s">
        <v>42</v>
      </c>
    </row>
    <row r="32" spans="1:3" x14ac:dyDescent="0.2">
      <c r="A32" s="176">
        <v>41182</v>
      </c>
      <c r="B32" s="177">
        <v>3.2500000000000001E-2</v>
      </c>
      <c r="C32" s="175" t="s">
        <v>42</v>
      </c>
    </row>
    <row r="33" spans="1:3" x14ac:dyDescent="0.2">
      <c r="A33" s="176">
        <v>41274</v>
      </c>
      <c r="B33" s="177">
        <v>3.2500000000000001E-2</v>
      </c>
      <c r="C33" s="175" t="s">
        <v>42</v>
      </c>
    </row>
    <row r="34" spans="1:3" x14ac:dyDescent="0.2">
      <c r="A34" s="176">
        <v>41364</v>
      </c>
      <c r="B34" s="177">
        <v>3.2500000000000001E-2</v>
      </c>
      <c r="C34" s="175" t="s">
        <v>42</v>
      </c>
    </row>
    <row r="35" spans="1:3" x14ac:dyDescent="0.2">
      <c r="A35" s="176">
        <v>41455</v>
      </c>
      <c r="B35" s="177">
        <v>3.2500000000000001E-2</v>
      </c>
      <c r="C35" s="175" t="s">
        <v>42</v>
      </c>
    </row>
    <row r="36" spans="1:3" x14ac:dyDescent="0.2">
      <c r="A36" s="176">
        <v>41547</v>
      </c>
      <c r="B36" s="177">
        <v>3.2500000000000001E-2</v>
      </c>
      <c r="C36" s="175" t="s">
        <v>42</v>
      </c>
    </row>
    <row r="37" spans="1:3" x14ac:dyDescent="0.2">
      <c r="A37" s="176">
        <v>41639</v>
      </c>
      <c r="B37" s="177">
        <v>3.2500000000000001E-2</v>
      </c>
      <c r="C37" s="175" t="s">
        <v>42</v>
      </c>
    </row>
    <row r="38" spans="1:3" x14ac:dyDescent="0.2">
      <c r="A38" s="176">
        <v>41729</v>
      </c>
      <c r="B38" s="177">
        <v>3.2500000000000001E-2</v>
      </c>
      <c r="C38" s="175" t="s">
        <v>42</v>
      </c>
    </row>
    <row r="39" spans="1:3" x14ac:dyDescent="0.2">
      <c r="A39" s="176">
        <v>41820</v>
      </c>
      <c r="B39" s="177">
        <v>3.2500000000000001E-2</v>
      </c>
      <c r="C39" s="175" t="s">
        <v>42</v>
      </c>
    </row>
    <row r="40" spans="1:3" x14ac:dyDescent="0.2">
      <c r="A40" s="176">
        <v>41912</v>
      </c>
      <c r="B40" s="177">
        <v>3.2500000000000001E-2</v>
      </c>
      <c r="C40" s="175" t="s">
        <v>42</v>
      </c>
    </row>
    <row r="41" spans="1:3" x14ac:dyDescent="0.2">
      <c r="A41" s="176">
        <v>42004</v>
      </c>
      <c r="B41" s="177">
        <v>3.2500000000000001E-2</v>
      </c>
      <c r="C41" s="175" t="s">
        <v>42</v>
      </c>
    </row>
    <row r="42" spans="1:3" x14ac:dyDescent="0.2">
      <c r="A42" s="176">
        <v>42094</v>
      </c>
      <c r="B42" s="177">
        <v>3.2500000000000001E-2</v>
      </c>
      <c r="C42" s="175" t="s">
        <v>42</v>
      </c>
    </row>
    <row r="43" spans="1:3" x14ac:dyDescent="0.2">
      <c r="A43" s="176">
        <v>42185</v>
      </c>
      <c r="B43" s="177">
        <v>3.2500000000000001E-2</v>
      </c>
      <c r="C43" s="175" t="s">
        <v>42</v>
      </c>
    </row>
    <row r="44" spans="1:3" x14ac:dyDescent="0.2">
      <c r="A44" s="176">
        <v>42277</v>
      </c>
      <c r="B44" s="177">
        <v>3.2500000000000001E-2</v>
      </c>
      <c r="C44" s="175" t="s">
        <v>42</v>
      </c>
    </row>
    <row r="45" spans="1:3" x14ac:dyDescent="0.2">
      <c r="A45" s="176">
        <v>42369</v>
      </c>
      <c r="B45" s="177">
        <v>3.2500000000000001E-2</v>
      </c>
      <c r="C45" s="175" t="s">
        <v>42</v>
      </c>
    </row>
    <row r="46" spans="1:3" x14ac:dyDescent="0.2">
      <c r="A46" s="176">
        <v>42460</v>
      </c>
      <c r="B46" s="177">
        <v>3.2500000000000001E-2</v>
      </c>
      <c r="C46" s="175" t="s">
        <v>42</v>
      </c>
    </row>
    <row r="47" spans="1:3" x14ac:dyDescent="0.2">
      <c r="A47" s="176">
        <v>42551</v>
      </c>
      <c r="B47" s="177">
        <v>3.2500000000000001E-2</v>
      </c>
      <c r="C47" s="175" t="s">
        <v>43</v>
      </c>
    </row>
    <row r="48" spans="1:3" x14ac:dyDescent="0.2">
      <c r="A48" s="176">
        <v>42643</v>
      </c>
      <c r="B48" s="177">
        <v>4.0333330000000001E-2</v>
      </c>
      <c r="C48" s="175" t="s">
        <v>43</v>
      </c>
    </row>
    <row r="49" spans="1:3" x14ac:dyDescent="0.2">
      <c r="A49" s="176">
        <v>42735</v>
      </c>
      <c r="B49" s="177">
        <v>4.2833329999999996E-2</v>
      </c>
      <c r="C49" s="175" t="s">
        <v>43</v>
      </c>
    </row>
    <row r="50" spans="1:3" x14ac:dyDescent="0.2">
      <c r="A50" s="176">
        <v>42825</v>
      </c>
      <c r="B50" s="177">
        <v>4.7066670000000005E-2</v>
      </c>
      <c r="C50" s="175" t="s">
        <v>43</v>
      </c>
    </row>
    <row r="51" spans="1:3" x14ac:dyDescent="0.2">
      <c r="A51" s="176">
        <v>42916</v>
      </c>
      <c r="B51" s="177">
        <v>5.21E-2</v>
      </c>
      <c r="C51" s="175" t="s">
        <v>43</v>
      </c>
    </row>
    <row r="52" spans="1:3" x14ac:dyDescent="0.2">
      <c r="A52" s="176">
        <v>43008</v>
      </c>
      <c r="B52" s="177">
        <v>5.7066670000000007E-2</v>
      </c>
      <c r="C52" s="175" t="s">
        <v>43</v>
      </c>
    </row>
    <row r="53" spans="1:3" x14ac:dyDescent="0.2">
      <c r="A53" s="176">
        <v>43100</v>
      </c>
      <c r="B53" s="177">
        <v>6.2033329999999998E-2</v>
      </c>
      <c r="C53" s="175" t="s">
        <v>43</v>
      </c>
    </row>
    <row r="54" spans="1:3" x14ac:dyDescent="0.2">
      <c r="A54" s="176">
        <v>43190</v>
      </c>
      <c r="B54" s="177">
        <v>6.6699999999999995E-2</v>
      </c>
      <c r="C54" s="175" t="s">
        <v>43</v>
      </c>
    </row>
    <row r="55" spans="1:3" x14ac:dyDescent="0.2">
      <c r="A55" s="176">
        <v>43281</v>
      </c>
      <c r="B55" s="177">
        <v>6.7500000000000004E-2</v>
      </c>
      <c r="C55" s="175" t="s">
        <v>43</v>
      </c>
    </row>
    <row r="56" spans="1:3" x14ac:dyDescent="0.2">
      <c r="A56" s="176">
        <v>43373</v>
      </c>
      <c r="B56" s="177">
        <v>6.7500000000000004E-2</v>
      </c>
      <c r="C56" s="175" t="s">
        <v>43</v>
      </c>
    </row>
    <row r="57" spans="1:3" x14ac:dyDescent="0.2">
      <c r="A57" s="176">
        <v>43465</v>
      </c>
      <c r="B57" s="177">
        <v>6.7500000000000004E-2</v>
      </c>
      <c r="C57" s="175" t="s">
        <v>43</v>
      </c>
    </row>
    <row r="58" spans="1:3" x14ac:dyDescent="0.2">
      <c r="A58" s="176">
        <v>43555</v>
      </c>
      <c r="B58" s="177">
        <v>6.7500000000000004E-2</v>
      </c>
      <c r="C58" s="175" t="s">
        <v>43</v>
      </c>
    </row>
    <row r="59" spans="1:3" x14ac:dyDescent="0.2">
      <c r="A59" s="176">
        <v>43646</v>
      </c>
      <c r="B59" s="177">
        <v>6.7500000000000004E-2</v>
      </c>
      <c r="C59" s="175" t="s">
        <v>43</v>
      </c>
    </row>
    <row r="60" spans="1:3" x14ac:dyDescent="0.2">
      <c r="A60" s="176">
        <v>43738</v>
      </c>
      <c r="B60" s="177">
        <v>6.7500000000000004E-2</v>
      </c>
      <c r="C60" s="175" t="s">
        <v>43</v>
      </c>
    </row>
    <row r="61" spans="1:3" x14ac:dyDescent="0.2">
      <c r="A61" s="176">
        <v>43830</v>
      </c>
      <c r="B61" s="177">
        <v>6.7500000000000004E-2</v>
      </c>
      <c r="C61" s="175" t="s">
        <v>43</v>
      </c>
    </row>
    <row r="62" spans="1:3" x14ac:dyDescent="0.2">
      <c r="A62" s="176">
        <v>43921</v>
      </c>
      <c r="B62" s="177">
        <v>6.7500000000000004E-2</v>
      </c>
      <c r="C62" s="175" t="s">
        <v>43</v>
      </c>
    </row>
    <row r="63" spans="1:3" x14ac:dyDescent="0.2">
      <c r="A63" s="176">
        <v>44012</v>
      </c>
      <c r="B63" s="177">
        <v>6.7500000000000004E-2</v>
      </c>
      <c r="C63" s="175" t="s">
        <v>43</v>
      </c>
    </row>
    <row r="64" spans="1:3" x14ac:dyDescent="0.2">
      <c r="A64" s="176">
        <v>44104</v>
      </c>
      <c r="B64" s="177">
        <v>6.7500000000000004E-2</v>
      </c>
      <c r="C64" s="175" t="s">
        <v>43</v>
      </c>
    </row>
    <row r="65" spans="1:3" x14ac:dyDescent="0.2">
      <c r="A65" s="176">
        <v>44196</v>
      </c>
      <c r="B65" s="177">
        <v>6.7500000000000004E-2</v>
      </c>
      <c r="C65" s="175" t="s">
        <v>43</v>
      </c>
    </row>
    <row r="66" spans="1:3" x14ac:dyDescent="0.2">
      <c r="B66" s="177"/>
    </row>
    <row r="67" spans="1:3" x14ac:dyDescent="0.2">
      <c r="B67" s="177"/>
    </row>
  </sheetData>
  <printOptions horizontalCentered="1"/>
  <pageMargins left="0.7" right="0.7" top="0.75" bottom="0.75" header="0.3" footer="0.3"/>
  <pageSetup scale="84" fitToWidth="0" orientation="portrait" cellComments="asDisplayed" r:id="rId1"/>
  <headerFooter alignWithMargins="0">
    <oddHeader>&amp;RTO11 Draft Annual Update
Attachment 4
WP Schedule 22
Page &amp;P of &amp;N</oddHeader>
    <oddFooter>&amp;C2014 - Quarterly&amp;R&amp;A</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0">
    <tabColor theme="0" tint="-4.9989318521683403E-2"/>
    <pageSetUpPr fitToPage="1"/>
  </sheetPr>
  <dimension ref="A1:I44"/>
  <sheetViews>
    <sheetView view="pageBreakPreview" zoomScale="85" zoomScaleNormal="100" zoomScaleSheetLayoutView="85" workbookViewId="0">
      <selection activeCell="G46" sqref="G46"/>
    </sheetView>
  </sheetViews>
  <sheetFormatPr defaultRowHeight="12.75" x14ac:dyDescent="0.2"/>
  <cols>
    <col min="1" max="1" width="41.28515625" bestFit="1" customWidth="1"/>
    <col min="2" max="2" width="14" style="21" bestFit="1" customWidth="1"/>
    <col min="3" max="3" width="14.5703125" style="21" bestFit="1" customWidth="1"/>
    <col min="4" max="5" width="14.5703125"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9" s="38" customFormat="1" ht="15.75" x14ac:dyDescent="0.25">
      <c r="A1" s="292" t="s">
        <v>88</v>
      </c>
      <c r="B1" s="293"/>
      <c r="C1" s="293"/>
      <c r="D1" s="293"/>
      <c r="E1" s="293"/>
      <c r="F1" s="293"/>
      <c r="G1" s="66"/>
      <c r="H1" s="66"/>
      <c r="I1" s="66"/>
    </row>
    <row r="2" spans="1:9" x14ac:dyDescent="0.2">
      <c r="A2" s="18"/>
      <c r="B2" s="23"/>
      <c r="C2" s="23"/>
      <c r="D2" s="67"/>
      <c r="E2" s="67"/>
      <c r="F2" s="67"/>
      <c r="G2" s="67"/>
      <c r="H2" s="67"/>
      <c r="I2" s="67"/>
    </row>
    <row r="3" spans="1:9" x14ac:dyDescent="0.2">
      <c r="A3" s="15"/>
      <c r="B3" s="33"/>
      <c r="C3" s="33"/>
      <c r="D3" s="59"/>
      <c r="E3" s="59"/>
      <c r="F3" s="59"/>
      <c r="G3" s="67"/>
      <c r="H3" s="67"/>
      <c r="I3" s="67"/>
    </row>
    <row r="4" spans="1:9" x14ac:dyDescent="0.2">
      <c r="A4" s="40" t="s">
        <v>59</v>
      </c>
      <c r="B4" s="22" t="s">
        <v>35</v>
      </c>
      <c r="C4" s="22" t="s">
        <v>36</v>
      </c>
      <c r="D4" s="65" t="s">
        <v>37</v>
      </c>
      <c r="E4" s="65" t="s">
        <v>38</v>
      </c>
      <c r="F4" s="65" t="s">
        <v>0</v>
      </c>
      <c r="G4" s="68" t="s">
        <v>40</v>
      </c>
      <c r="H4" s="65" t="s">
        <v>41</v>
      </c>
      <c r="I4" s="65" t="s">
        <v>39</v>
      </c>
    </row>
    <row r="5" spans="1:9" x14ac:dyDescent="0.2">
      <c r="A5" s="32" t="s">
        <v>3</v>
      </c>
      <c r="B5" s="33" t="e">
        <f>#REF!</f>
        <v>#REF!</v>
      </c>
      <c r="C5" s="33">
        <v>0</v>
      </c>
      <c r="D5" s="59">
        <v>0</v>
      </c>
      <c r="E5" s="59">
        <v>0</v>
      </c>
      <c r="F5" s="59" t="e">
        <f>SUM(B5:E5)</f>
        <v>#REF!</v>
      </c>
      <c r="G5" s="60" t="e">
        <f>#REF!</f>
        <v>#REF!</v>
      </c>
      <c r="H5" s="61" t="e">
        <f>SUM(#REF!)</f>
        <v>#REF!</v>
      </c>
      <c r="I5" s="61" t="e">
        <f>G5-H5</f>
        <v>#REF!</v>
      </c>
    </row>
    <row r="6" spans="1:9" x14ac:dyDescent="0.2">
      <c r="A6" s="32" t="s">
        <v>5</v>
      </c>
      <c r="B6" s="33" t="e">
        <f>#REF!+#REF!</f>
        <v>#REF!</v>
      </c>
      <c r="C6" s="33">
        <v>0</v>
      </c>
      <c r="D6" s="59">
        <v>0</v>
      </c>
      <c r="E6" s="59">
        <v>0</v>
      </c>
      <c r="F6" s="59" t="e">
        <f>SUM(B6:E6)</f>
        <v>#REF!</v>
      </c>
    </row>
    <row r="7" spans="1:9" x14ac:dyDescent="0.2">
      <c r="A7" s="32" t="s">
        <v>4</v>
      </c>
      <c r="B7" s="33" t="e">
        <f>#REF!</f>
        <v>#REF!</v>
      </c>
      <c r="C7" s="33">
        <v>0</v>
      </c>
      <c r="D7" s="59">
        <v>0</v>
      </c>
      <c r="E7" s="59">
        <v>0</v>
      </c>
      <c r="F7" s="59" t="e">
        <f>SUM(B7:E7)</f>
        <v>#REF!</v>
      </c>
    </row>
    <row r="8" spans="1:9" x14ac:dyDescent="0.2">
      <c r="A8" s="32" t="s">
        <v>6</v>
      </c>
      <c r="B8" s="33" t="e">
        <f>SUM(#REF!+#REF!)+(#REF!+#REF!)</f>
        <v>#REF!</v>
      </c>
      <c r="C8" s="33">
        <v>0</v>
      </c>
      <c r="D8" s="59" t="e">
        <f>SUM(#REF!+#REF!)+(#REF!+#REF!)</f>
        <v>#REF!</v>
      </c>
      <c r="E8" s="59">
        <v>0</v>
      </c>
      <c r="F8" s="59" t="e">
        <f>SUM(B8:E8)</f>
        <v>#REF!</v>
      </c>
    </row>
    <row r="9" spans="1:9" x14ac:dyDescent="0.2">
      <c r="A9" s="15"/>
      <c r="B9" s="33"/>
      <c r="C9" s="33"/>
      <c r="D9" s="59"/>
      <c r="E9" s="59"/>
      <c r="F9" s="59"/>
      <c r="G9" s="67"/>
      <c r="H9" s="67"/>
      <c r="I9" s="67"/>
    </row>
    <row r="10" spans="1:9" ht="14.25" x14ac:dyDescent="0.2">
      <c r="A10" s="55" t="s">
        <v>74</v>
      </c>
      <c r="B10" s="22" t="s">
        <v>35</v>
      </c>
      <c r="C10" s="22" t="s">
        <v>36</v>
      </c>
      <c r="D10" s="65" t="s">
        <v>37</v>
      </c>
      <c r="E10" s="65" t="s">
        <v>38</v>
      </c>
      <c r="F10" s="65" t="s">
        <v>0</v>
      </c>
      <c r="G10" s="68" t="s">
        <v>40</v>
      </c>
      <c r="H10" s="65" t="s">
        <v>41</v>
      </c>
      <c r="I10" s="65" t="s">
        <v>39</v>
      </c>
    </row>
    <row r="11" spans="1:9" x14ac:dyDescent="0.2">
      <c r="A11" s="32" t="s">
        <v>3</v>
      </c>
      <c r="B11" s="33" t="e">
        <f>#REF!</f>
        <v>#REF!</v>
      </c>
      <c r="C11" s="33" t="e">
        <f>#REF!</f>
        <v>#REF!</v>
      </c>
      <c r="D11" s="59" t="e">
        <f>#REF!</f>
        <v>#REF!</v>
      </c>
      <c r="E11" s="59" t="e">
        <f>#REF!</f>
        <v>#REF!</v>
      </c>
      <c r="F11" s="59" t="e">
        <f>SUM(B11:E11)</f>
        <v>#REF!</v>
      </c>
      <c r="G11" s="60" t="e">
        <f>#REF!</f>
        <v>#REF!</v>
      </c>
      <c r="H11" s="61" t="e">
        <f>SUM(#REF!)</f>
        <v>#REF!</v>
      </c>
      <c r="I11" s="61" t="e">
        <f>G11-H11</f>
        <v>#REF!</v>
      </c>
    </row>
    <row r="12" spans="1:9" x14ac:dyDescent="0.2">
      <c r="A12" s="32" t="s">
        <v>5</v>
      </c>
      <c r="B12" s="33" t="e">
        <f>#REF!</f>
        <v>#REF!</v>
      </c>
      <c r="C12" s="33" t="e">
        <f>#REF!</f>
        <v>#REF!</v>
      </c>
      <c r="D12" s="59" t="e">
        <f>#REF!</f>
        <v>#REF!</v>
      </c>
      <c r="E12" s="59" t="e">
        <f>#REF!</f>
        <v>#REF!</v>
      </c>
      <c r="F12" s="59" t="e">
        <f>SUM(B12:E12)</f>
        <v>#REF!</v>
      </c>
    </row>
    <row r="13" spans="1:9" x14ac:dyDescent="0.2">
      <c r="A13" s="32" t="s">
        <v>4</v>
      </c>
      <c r="B13" s="35" t="e">
        <f>#REF!</f>
        <v>#REF!</v>
      </c>
      <c r="C13" s="35" t="e">
        <f>#REF!</f>
        <v>#REF!</v>
      </c>
      <c r="D13" s="59" t="e">
        <f>#REF!</f>
        <v>#REF!</v>
      </c>
      <c r="E13" s="59" t="e">
        <f>#REF!</f>
        <v>#REF!</v>
      </c>
      <c r="F13" s="59" t="e">
        <f>SUM(B13:E13)</f>
        <v>#REF!</v>
      </c>
    </row>
    <row r="14" spans="1:9" x14ac:dyDescent="0.2">
      <c r="A14" s="32" t="s">
        <v>6</v>
      </c>
      <c r="B14" s="35" t="e">
        <f>#REF!+#REF!</f>
        <v>#REF!</v>
      </c>
      <c r="C14" s="33" t="e">
        <f>#REF!+#REF!</f>
        <v>#REF!</v>
      </c>
      <c r="D14" s="59" t="e">
        <f>#REF!+#REF!</f>
        <v>#REF!</v>
      </c>
      <c r="E14" s="59" t="e">
        <f>#REF!+#REF!</f>
        <v>#REF!</v>
      </c>
      <c r="F14" s="59" t="e">
        <f>SUM(B14:E14)</f>
        <v>#REF!</v>
      </c>
    </row>
    <row r="15" spans="1:9" x14ac:dyDescent="0.2">
      <c r="A15" s="15"/>
      <c r="B15" s="33"/>
      <c r="C15" s="33"/>
      <c r="D15" s="59"/>
      <c r="E15" s="59"/>
      <c r="F15" s="76"/>
      <c r="G15" s="67"/>
      <c r="H15" s="67"/>
      <c r="I15" s="67"/>
    </row>
    <row r="16" spans="1:9" ht="14.25" x14ac:dyDescent="0.2">
      <c r="A16" s="55" t="s">
        <v>63</v>
      </c>
      <c r="B16" s="22" t="s">
        <v>35</v>
      </c>
      <c r="C16" s="22" t="s">
        <v>36</v>
      </c>
      <c r="D16" s="65" t="s">
        <v>37</v>
      </c>
      <c r="E16" s="65" t="s">
        <v>38</v>
      </c>
      <c r="F16" s="65" t="s">
        <v>0</v>
      </c>
      <c r="G16" s="68" t="s">
        <v>40</v>
      </c>
      <c r="H16" s="65" t="s">
        <v>41</v>
      </c>
      <c r="I16" s="65" t="s">
        <v>39</v>
      </c>
    </row>
    <row r="17" spans="1:9" x14ac:dyDescent="0.2">
      <c r="A17" s="32" t="s">
        <v>3</v>
      </c>
      <c r="B17" s="33" t="e">
        <f>#REF!</f>
        <v>#REF!</v>
      </c>
      <c r="C17" s="33" t="e">
        <f>#REF!</f>
        <v>#REF!</v>
      </c>
      <c r="D17" s="59" t="e">
        <f>#REF!</f>
        <v>#REF!</v>
      </c>
      <c r="E17" s="59" t="e">
        <f>#REF!</f>
        <v>#REF!</v>
      </c>
      <c r="F17" s="59" t="e">
        <f>SUM(B17:E17)</f>
        <v>#REF!</v>
      </c>
      <c r="G17" s="60" t="e">
        <f>#REF!</f>
        <v>#REF!</v>
      </c>
      <c r="H17" s="61" t="e">
        <f>SUM(#REF!)</f>
        <v>#REF!</v>
      </c>
      <c r="I17" s="61" t="e">
        <f>G17-H17</f>
        <v>#REF!</v>
      </c>
    </row>
    <row r="18" spans="1:9" x14ac:dyDescent="0.2">
      <c r="A18" s="32" t="s">
        <v>5</v>
      </c>
      <c r="B18" s="33" t="e">
        <f>#REF!</f>
        <v>#REF!</v>
      </c>
      <c r="C18" s="33" t="e">
        <f>#REF!</f>
        <v>#REF!</v>
      </c>
      <c r="D18" s="59" t="e">
        <f>#REF!</f>
        <v>#REF!</v>
      </c>
      <c r="E18" s="59" t="e">
        <f>#REF!</f>
        <v>#REF!</v>
      </c>
      <c r="F18" s="59" t="e">
        <f>SUM(B18:E18)</f>
        <v>#REF!</v>
      </c>
    </row>
    <row r="19" spans="1:9" x14ac:dyDescent="0.2">
      <c r="A19" s="32" t="s">
        <v>4</v>
      </c>
      <c r="B19" s="33">
        <v>0</v>
      </c>
      <c r="C19" s="33">
        <v>0</v>
      </c>
      <c r="D19" s="59">
        <v>0</v>
      </c>
      <c r="E19" s="59">
        <v>0</v>
      </c>
      <c r="F19" s="59">
        <f>SUM(B19:E19)</f>
        <v>0</v>
      </c>
    </row>
    <row r="20" spans="1:9" x14ac:dyDescent="0.2">
      <c r="A20" s="32" t="s">
        <v>6</v>
      </c>
      <c r="B20" s="33">
        <v>0</v>
      </c>
      <c r="C20" s="33">
        <v>0</v>
      </c>
      <c r="D20" s="59">
        <v>0</v>
      </c>
      <c r="E20" s="59">
        <v>0</v>
      </c>
      <c r="F20" s="59">
        <f>SUM(B20:E20)</f>
        <v>0</v>
      </c>
    </row>
    <row r="21" spans="1:9" x14ac:dyDescent="0.2">
      <c r="A21" s="15"/>
      <c r="B21" s="33"/>
      <c r="C21" s="33"/>
      <c r="D21" s="59"/>
      <c r="E21" s="59"/>
      <c r="F21" s="59"/>
      <c r="G21" s="67"/>
      <c r="H21" s="67"/>
      <c r="I21" s="67"/>
    </row>
    <row r="22" spans="1:9" x14ac:dyDescent="0.2">
      <c r="A22" s="56" t="s">
        <v>67</v>
      </c>
      <c r="B22" s="22" t="s">
        <v>35</v>
      </c>
      <c r="C22" s="22" t="s">
        <v>36</v>
      </c>
      <c r="D22" s="65" t="s">
        <v>37</v>
      </c>
      <c r="E22" s="65" t="s">
        <v>38</v>
      </c>
      <c r="F22" s="65" t="s">
        <v>0</v>
      </c>
      <c r="G22" s="68" t="s">
        <v>40</v>
      </c>
      <c r="H22" s="65" t="s">
        <v>41</v>
      </c>
      <c r="I22" s="65" t="s">
        <v>39</v>
      </c>
    </row>
    <row r="23" spans="1:9" s="26" customFormat="1" x14ac:dyDescent="0.2">
      <c r="A23" s="36" t="s">
        <v>3</v>
      </c>
      <c r="B23" s="59" t="e">
        <f>#REF!</f>
        <v>#REF!</v>
      </c>
      <c r="C23" s="59" t="e">
        <f>#REF!</f>
        <v>#REF!</v>
      </c>
      <c r="D23" s="59" t="e">
        <f>#REF!</f>
        <v>#REF!</v>
      </c>
      <c r="E23" s="59" t="e">
        <f>#REF!</f>
        <v>#REF!</v>
      </c>
      <c r="F23" s="59" t="e">
        <f>SUM(B23:E23)</f>
        <v>#REF!</v>
      </c>
      <c r="G23" s="60" t="e">
        <f>#REF!</f>
        <v>#REF!</v>
      </c>
      <c r="H23" s="61" t="e">
        <f>SUM(#REF!)</f>
        <v>#REF!</v>
      </c>
      <c r="I23" s="61" t="e">
        <f>G23-H23</f>
        <v>#REF!</v>
      </c>
    </row>
    <row r="24" spans="1:9" s="26" customFormat="1" x14ac:dyDescent="0.2">
      <c r="A24" s="36" t="s">
        <v>5</v>
      </c>
      <c r="B24" s="59" t="e">
        <f>#REF!</f>
        <v>#REF!</v>
      </c>
      <c r="C24" s="59" t="e">
        <f>#REF!</f>
        <v>#REF!</v>
      </c>
      <c r="D24" s="59" t="e">
        <f>#REF!</f>
        <v>#REF!</v>
      </c>
      <c r="E24" s="59" t="e">
        <f>#REF!</f>
        <v>#REF!</v>
      </c>
      <c r="F24" s="59" t="e">
        <f>SUM(B24:E24)</f>
        <v>#REF!</v>
      </c>
      <c r="G24" s="72"/>
      <c r="H24" s="72"/>
      <c r="I24" s="72"/>
    </row>
    <row r="25" spans="1:9" s="26" customFormat="1" x14ac:dyDescent="0.2">
      <c r="A25" s="36" t="s">
        <v>4</v>
      </c>
      <c r="B25" s="59" t="e">
        <f>#REF!</f>
        <v>#REF!</v>
      </c>
      <c r="C25" s="59" t="e">
        <f>#REF!</f>
        <v>#REF!</v>
      </c>
      <c r="D25" s="59" t="e">
        <f>#REF!</f>
        <v>#REF!</v>
      </c>
      <c r="E25" s="59" t="e">
        <f>#REF!</f>
        <v>#REF!</v>
      </c>
      <c r="F25" s="59" t="e">
        <f>SUM(B25:E25)</f>
        <v>#REF!</v>
      </c>
      <c r="G25" s="72"/>
      <c r="H25" s="72"/>
      <c r="I25" s="72"/>
    </row>
    <row r="26" spans="1:9" s="26" customFormat="1" x14ac:dyDescent="0.2">
      <c r="A26" s="36" t="s">
        <v>6</v>
      </c>
      <c r="B26" s="59" t="e">
        <f>#REF!</f>
        <v>#REF!</v>
      </c>
      <c r="C26" s="59" t="e">
        <f>#REF!</f>
        <v>#REF!</v>
      </c>
      <c r="D26" s="59" t="e">
        <f>#REF!</f>
        <v>#REF!</v>
      </c>
      <c r="E26" s="59" t="e">
        <f>#REF!</f>
        <v>#REF!</v>
      </c>
      <c r="F26" s="59" t="e">
        <f>SUM(B26:E26)</f>
        <v>#REF!</v>
      </c>
      <c r="G26" s="72"/>
      <c r="H26" s="72"/>
      <c r="I26" s="72"/>
    </row>
    <row r="27" spans="1:9" x14ac:dyDescent="0.2">
      <c r="A27" s="15"/>
      <c r="B27" s="59"/>
      <c r="C27" s="59"/>
      <c r="D27" s="59"/>
      <c r="E27" s="59"/>
      <c r="F27" s="59"/>
      <c r="G27" s="67"/>
      <c r="H27" s="67"/>
      <c r="I27" s="67"/>
    </row>
    <row r="28" spans="1:9" x14ac:dyDescent="0.2">
      <c r="A28" s="7" t="s">
        <v>2</v>
      </c>
      <c r="B28" s="22" t="s">
        <v>35</v>
      </c>
      <c r="C28" s="22" t="s">
        <v>36</v>
      </c>
      <c r="D28" s="65" t="s">
        <v>37</v>
      </c>
      <c r="E28" s="65" t="s">
        <v>38</v>
      </c>
      <c r="F28" s="65" t="s">
        <v>0</v>
      </c>
      <c r="G28" s="68" t="s">
        <v>40</v>
      </c>
      <c r="H28" s="65" t="s">
        <v>41</v>
      </c>
      <c r="I28" s="65" t="s">
        <v>39</v>
      </c>
    </row>
    <row r="29" spans="1:9" x14ac:dyDescent="0.2">
      <c r="A29" s="53" t="s">
        <v>3</v>
      </c>
      <c r="B29" s="54" t="e">
        <f>+B23+B17+B11+B5</f>
        <v>#REF!</v>
      </c>
      <c r="C29" s="54" t="e">
        <f t="shared" ref="C29:E29" si="0">+C23+C17+C11+C5</f>
        <v>#REF!</v>
      </c>
      <c r="D29" s="54" t="e">
        <f t="shared" si="0"/>
        <v>#REF!</v>
      </c>
      <c r="E29" s="54" t="e">
        <f t="shared" si="0"/>
        <v>#REF!</v>
      </c>
      <c r="F29" s="73" t="e">
        <f>SUM(B29:E29)</f>
        <v>#REF!</v>
      </c>
      <c r="G29" s="70" t="e">
        <f>SUM(G3:G27)</f>
        <v>#REF!</v>
      </c>
      <c r="H29" s="70" t="e">
        <f>SUM(H3:H27)</f>
        <v>#REF!</v>
      </c>
      <c r="I29" s="136" t="e">
        <f>G29-H29</f>
        <v>#REF!</v>
      </c>
    </row>
    <row r="30" spans="1:9" x14ac:dyDescent="0.2">
      <c r="A30" s="53" t="s">
        <v>5</v>
      </c>
      <c r="B30" s="54" t="e">
        <f t="shared" ref="B30:E30" si="1">+B24+B18+B12+B6</f>
        <v>#REF!</v>
      </c>
      <c r="C30" s="54" t="e">
        <f t="shared" si="1"/>
        <v>#REF!</v>
      </c>
      <c r="D30" s="54" t="e">
        <f t="shared" si="1"/>
        <v>#REF!</v>
      </c>
      <c r="E30" s="54" t="e">
        <f t="shared" si="1"/>
        <v>#REF!</v>
      </c>
      <c r="F30" s="73" t="e">
        <f>SUM(B30:E30)</f>
        <v>#REF!</v>
      </c>
    </row>
    <row r="31" spans="1:9" x14ac:dyDescent="0.2">
      <c r="A31" s="53" t="s">
        <v>4</v>
      </c>
      <c r="B31" s="54" t="e">
        <f t="shared" ref="B31:E31" si="2">+B25+B19+B13+B7</f>
        <v>#REF!</v>
      </c>
      <c r="C31" s="54" t="e">
        <f t="shared" si="2"/>
        <v>#REF!</v>
      </c>
      <c r="D31" s="54" t="e">
        <f t="shared" si="2"/>
        <v>#REF!</v>
      </c>
      <c r="E31" s="54" t="e">
        <f t="shared" si="2"/>
        <v>#REF!</v>
      </c>
      <c r="F31" s="73" t="e">
        <f>SUM(B31:E31)</f>
        <v>#REF!</v>
      </c>
    </row>
    <row r="32" spans="1:9" x14ac:dyDescent="0.2">
      <c r="A32" s="53" t="s">
        <v>6</v>
      </c>
      <c r="B32" s="54" t="e">
        <f t="shared" ref="B32:E32" si="3">+B26+B20+B14+B8</f>
        <v>#REF!</v>
      </c>
      <c r="C32" s="54" t="e">
        <f t="shared" si="3"/>
        <v>#REF!</v>
      </c>
      <c r="D32" s="54" t="e">
        <f t="shared" si="3"/>
        <v>#REF!</v>
      </c>
      <c r="E32" s="54" t="e">
        <f t="shared" si="3"/>
        <v>#REF!</v>
      </c>
      <c r="F32" s="73" t="e">
        <f>SUM(B32:E32)</f>
        <v>#REF!</v>
      </c>
      <c r="G32" s="74"/>
    </row>
    <row r="33" spans="1:9" x14ac:dyDescent="0.2">
      <c r="A33" s="24"/>
    </row>
    <row r="34" spans="1:9" x14ac:dyDescent="0.2">
      <c r="A34" s="20" t="s">
        <v>31</v>
      </c>
    </row>
    <row r="35" spans="1:9" x14ac:dyDescent="0.2">
      <c r="A35" s="294" t="s">
        <v>19</v>
      </c>
      <c r="B35" s="294"/>
      <c r="C35" s="294"/>
      <c r="D35" s="294"/>
      <c r="E35" s="294"/>
      <c r="F35" s="294"/>
      <c r="G35" s="294"/>
      <c r="H35" s="294"/>
      <c r="I35" s="294"/>
    </row>
    <row r="36" spans="1:9" x14ac:dyDescent="0.2">
      <c r="A36" s="291" t="s">
        <v>20</v>
      </c>
      <c r="B36" s="291"/>
      <c r="C36" s="291"/>
      <c r="D36" s="291"/>
      <c r="E36" s="291"/>
      <c r="F36" s="291"/>
      <c r="G36" s="291"/>
      <c r="H36" s="291"/>
      <c r="I36" s="291"/>
    </row>
    <row r="37" spans="1:9" x14ac:dyDescent="0.2">
      <c r="A37" s="294" t="s">
        <v>21</v>
      </c>
      <c r="B37" s="294"/>
      <c r="C37" s="294"/>
      <c r="D37" s="294"/>
      <c r="E37" s="294"/>
      <c r="F37" s="294"/>
      <c r="G37" s="294"/>
      <c r="H37" s="294"/>
      <c r="I37" s="294"/>
    </row>
    <row r="38" spans="1:9" ht="25.5" customHeight="1" x14ac:dyDescent="0.2">
      <c r="A38" s="291" t="s">
        <v>22</v>
      </c>
      <c r="B38" s="291"/>
      <c r="C38" s="291"/>
      <c r="D38" s="291"/>
      <c r="E38" s="291"/>
      <c r="F38" s="291"/>
      <c r="G38" s="291"/>
      <c r="H38" s="291"/>
      <c r="I38" s="291"/>
    </row>
    <row r="39" spans="1:9" s="8" customFormat="1" ht="27" customHeight="1" x14ac:dyDescent="0.2">
      <c r="A39" s="289" t="s">
        <v>23</v>
      </c>
      <c r="B39" s="289"/>
      <c r="C39" s="289"/>
      <c r="D39" s="289"/>
      <c r="E39" s="289"/>
      <c r="F39" s="289"/>
      <c r="G39" s="289"/>
      <c r="H39" s="289"/>
      <c r="I39" s="289"/>
    </row>
    <row r="40" spans="1:9" x14ac:dyDescent="0.2">
      <c r="A40" s="289" t="s">
        <v>58</v>
      </c>
      <c r="B40" s="289"/>
      <c r="C40" s="289"/>
      <c r="D40" s="289"/>
      <c r="E40" s="289"/>
      <c r="F40" s="289"/>
      <c r="G40" s="289"/>
      <c r="H40" s="289"/>
      <c r="I40" s="289"/>
    </row>
    <row r="41" spans="1:9" ht="25.5" customHeight="1" x14ac:dyDescent="0.2">
      <c r="A41" s="289" t="s">
        <v>34</v>
      </c>
      <c r="B41" s="289"/>
      <c r="C41" s="289"/>
      <c r="D41" s="289"/>
      <c r="E41" s="289"/>
      <c r="F41" s="289"/>
      <c r="G41" s="289"/>
      <c r="H41" s="289"/>
      <c r="I41" s="289"/>
    </row>
    <row r="42" spans="1:9" x14ac:dyDescent="0.2">
      <c r="A42" s="290" t="s">
        <v>30</v>
      </c>
      <c r="B42" s="290"/>
      <c r="C42" s="290"/>
      <c r="D42" s="290"/>
      <c r="E42" s="290"/>
      <c r="F42" s="290"/>
      <c r="G42" s="290"/>
      <c r="H42" s="290"/>
      <c r="I42" s="290"/>
    </row>
    <row r="44" spans="1:9" ht="14.25" x14ac:dyDescent="0.2">
      <c r="A44" s="39" t="s">
        <v>62</v>
      </c>
    </row>
  </sheetData>
  <mergeCells count="9">
    <mergeCell ref="A42:I42"/>
    <mergeCell ref="A39:I39"/>
    <mergeCell ref="A38:I38"/>
    <mergeCell ref="A1:F1"/>
    <mergeCell ref="A36:I36"/>
    <mergeCell ref="A35:I35"/>
    <mergeCell ref="A40:I40"/>
    <mergeCell ref="A37:I37"/>
    <mergeCell ref="A41:I41"/>
  </mergeCells>
  <phoneticPr fontId="3" type="noConversion"/>
  <printOptions horizontalCentered="1"/>
  <pageMargins left="0.5" right="0.5" top="1" bottom="0.89" header="0.5" footer="0.5"/>
  <pageSetup scale="85" orientation="portrait" r:id="rId1"/>
  <headerFooter alignWithMargins="0">
    <oddFooter>Page &amp;P of &amp;N</oddFooter>
  </headerFooter>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K91"/>
  <sheetViews>
    <sheetView zoomScale="85" zoomScaleNormal="85" workbookViewId="0"/>
  </sheetViews>
  <sheetFormatPr defaultColWidth="9.140625" defaultRowHeight="12.75" x14ac:dyDescent="0.2"/>
  <cols>
    <col min="1" max="1" width="12.28515625" style="211" customWidth="1"/>
    <col min="2" max="2" width="11" style="211" customWidth="1"/>
    <col min="3" max="3" width="15.28515625" style="211" bestFit="1" customWidth="1"/>
    <col min="4" max="7" width="16.28515625" style="211" customWidth="1"/>
    <col min="8" max="8" width="19.85546875" style="211" bestFit="1" customWidth="1"/>
    <col min="9" max="9" width="19.85546875" style="211" customWidth="1"/>
    <col min="10" max="10" width="21.7109375" style="211" customWidth="1"/>
    <col min="11" max="11" width="19.85546875" style="211" bestFit="1" customWidth="1"/>
    <col min="12" max="12" width="9.140625" style="211"/>
    <col min="13" max="13" width="15.28515625" style="211" bestFit="1" customWidth="1"/>
    <col min="14" max="16384" width="9.140625" style="211"/>
  </cols>
  <sheetData>
    <row r="1" spans="1:8" ht="51" x14ac:dyDescent="0.2">
      <c r="A1" s="209" t="s">
        <v>18</v>
      </c>
      <c r="B1" s="210" t="s">
        <v>8</v>
      </c>
      <c r="C1" s="209" t="s">
        <v>7</v>
      </c>
      <c r="D1" s="209" t="s">
        <v>1</v>
      </c>
      <c r="E1" s="209" t="s">
        <v>24</v>
      </c>
      <c r="F1" s="210" t="s">
        <v>0</v>
      </c>
      <c r="H1" s="209"/>
    </row>
    <row r="2" spans="1:8" ht="12.75" customHeight="1" x14ac:dyDescent="0.2">
      <c r="A2" s="212">
        <v>1</v>
      </c>
      <c r="B2" s="213">
        <v>38608</v>
      </c>
      <c r="C2" s="205">
        <v>183000</v>
      </c>
      <c r="D2" s="205">
        <v>0</v>
      </c>
      <c r="E2" s="205">
        <v>0</v>
      </c>
      <c r="F2" s="29">
        <f>SUM(C2:E2)</f>
        <v>183000</v>
      </c>
    </row>
    <row r="3" spans="1:8" ht="12.75" customHeight="1" x14ac:dyDescent="0.2">
      <c r="A3" s="212">
        <v>2</v>
      </c>
      <c r="B3" s="213">
        <v>38611</v>
      </c>
      <c r="C3" s="205">
        <v>378000</v>
      </c>
      <c r="D3" s="205">
        <v>0</v>
      </c>
      <c r="E3" s="205">
        <v>0</v>
      </c>
      <c r="F3" s="29">
        <f t="shared" ref="F3:F25" si="0">SUM(C3:E3)</f>
        <v>378000</v>
      </c>
    </row>
    <row r="4" spans="1:8" x14ac:dyDescent="0.2">
      <c r="A4" s="212">
        <v>3</v>
      </c>
      <c r="B4" s="213">
        <v>38693</v>
      </c>
      <c r="C4" s="205">
        <v>685000</v>
      </c>
      <c r="D4" s="205">
        <v>0</v>
      </c>
      <c r="E4" s="205">
        <v>0</v>
      </c>
      <c r="F4" s="29">
        <f t="shared" si="0"/>
        <v>685000</v>
      </c>
    </row>
    <row r="5" spans="1:8" x14ac:dyDescent="0.2">
      <c r="A5" s="212">
        <v>4</v>
      </c>
      <c r="B5" s="213">
        <v>38786</v>
      </c>
      <c r="C5" s="205">
        <v>611000</v>
      </c>
      <c r="D5" s="205">
        <v>0</v>
      </c>
      <c r="E5" s="205">
        <v>0</v>
      </c>
      <c r="F5" s="29">
        <f t="shared" si="0"/>
        <v>611000</v>
      </c>
    </row>
    <row r="6" spans="1:8" ht="12.75" customHeight="1" x14ac:dyDescent="0.2">
      <c r="A6" s="212">
        <v>5</v>
      </c>
      <c r="B6" s="213">
        <v>38894</v>
      </c>
      <c r="C6" s="205">
        <v>1397000</v>
      </c>
      <c r="D6" s="205">
        <v>0</v>
      </c>
      <c r="E6" s="205">
        <v>0</v>
      </c>
      <c r="F6" s="29">
        <f t="shared" si="0"/>
        <v>1397000</v>
      </c>
    </row>
    <row r="7" spans="1:8" x14ac:dyDescent="0.2">
      <c r="A7" s="212">
        <v>6</v>
      </c>
      <c r="B7" s="213">
        <v>38972</v>
      </c>
      <c r="C7" s="205">
        <v>1291000</v>
      </c>
      <c r="D7" s="205">
        <v>0</v>
      </c>
      <c r="E7" s="205">
        <v>0</v>
      </c>
      <c r="F7" s="29">
        <f t="shared" si="0"/>
        <v>1291000</v>
      </c>
    </row>
    <row r="8" spans="1:8" x14ac:dyDescent="0.2">
      <c r="A8" s="212">
        <v>7</v>
      </c>
      <c r="B8" s="213">
        <v>39302</v>
      </c>
      <c r="C8" s="205">
        <v>439000</v>
      </c>
      <c r="D8" s="205">
        <v>0</v>
      </c>
      <c r="E8" s="205">
        <v>0</v>
      </c>
      <c r="F8" s="29">
        <f t="shared" si="0"/>
        <v>439000</v>
      </c>
    </row>
    <row r="9" spans="1:8" x14ac:dyDescent="0.2">
      <c r="A9" s="212">
        <v>8</v>
      </c>
      <c r="B9" s="214" t="s">
        <v>93</v>
      </c>
      <c r="C9" s="205">
        <v>0</v>
      </c>
      <c r="D9" s="205">
        <v>0</v>
      </c>
      <c r="E9" s="205">
        <v>0</v>
      </c>
      <c r="F9" s="29">
        <f t="shared" si="0"/>
        <v>0</v>
      </c>
    </row>
    <row r="10" spans="1:8" x14ac:dyDescent="0.2">
      <c r="A10" s="212">
        <v>9</v>
      </c>
      <c r="B10" s="214" t="s">
        <v>93</v>
      </c>
      <c r="C10" s="205">
        <v>0</v>
      </c>
      <c r="D10" s="205">
        <v>0</v>
      </c>
      <c r="E10" s="205">
        <v>0</v>
      </c>
      <c r="F10" s="29">
        <f t="shared" si="0"/>
        <v>0</v>
      </c>
    </row>
    <row r="11" spans="1:8" x14ac:dyDescent="0.2">
      <c r="A11" s="212">
        <v>10</v>
      </c>
      <c r="B11" s="214" t="s">
        <v>93</v>
      </c>
      <c r="C11" s="205">
        <v>0</v>
      </c>
      <c r="D11" s="205">
        <v>0</v>
      </c>
      <c r="E11" s="205">
        <v>0</v>
      </c>
      <c r="F11" s="29">
        <f t="shared" si="0"/>
        <v>0</v>
      </c>
    </row>
    <row r="12" spans="1:8" x14ac:dyDescent="0.2">
      <c r="A12" s="212">
        <v>11</v>
      </c>
      <c r="B12" s="214" t="s">
        <v>93</v>
      </c>
      <c r="C12" s="205">
        <v>0</v>
      </c>
      <c r="D12" s="205">
        <v>0</v>
      </c>
      <c r="E12" s="205">
        <v>0</v>
      </c>
      <c r="F12" s="29">
        <f t="shared" si="0"/>
        <v>0</v>
      </c>
      <c r="H12" s="215"/>
    </row>
    <row r="13" spans="1:8" x14ac:dyDescent="0.2">
      <c r="A13" s="212">
        <v>12</v>
      </c>
      <c r="B13" s="214" t="s">
        <v>93</v>
      </c>
      <c r="C13" s="205">
        <v>0</v>
      </c>
      <c r="D13" s="205">
        <v>0</v>
      </c>
      <c r="E13" s="205">
        <v>0</v>
      </c>
      <c r="F13" s="29">
        <f t="shared" si="0"/>
        <v>0</v>
      </c>
      <c r="H13" s="215"/>
    </row>
    <row r="14" spans="1:8" x14ac:dyDescent="0.2">
      <c r="A14" s="212">
        <v>13</v>
      </c>
      <c r="B14" s="214" t="s">
        <v>93</v>
      </c>
      <c r="C14" s="205">
        <v>0</v>
      </c>
      <c r="D14" s="205">
        <v>0</v>
      </c>
      <c r="E14" s="205">
        <v>0</v>
      </c>
      <c r="F14" s="29">
        <f t="shared" si="0"/>
        <v>0</v>
      </c>
      <c r="H14" s="215"/>
    </row>
    <row r="15" spans="1:8" x14ac:dyDescent="0.2">
      <c r="A15" s="212">
        <v>14</v>
      </c>
      <c r="B15" s="214" t="s">
        <v>93</v>
      </c>
      <c r="C15" s="205">
        <v>0</v>
      </c>
      <c r="D15" s="205">
        <v>0</v>
      </c>
      <c r="E15" s="205">
        <v>0</v>
      </c>
      <c r="F15" s="29">
        <f t="shared" si="0"/>
        <v>0</v>
      </c>
      <c r="H15" s="215"/>
    </row>
    <row r="16" spans="1:8" x14ac:dyDescent="0.2">
      <c r="A16" s="212">
        <v>15</v>
      </c>
      <c r="B16" s="214" t="s">
        <v>93</v>
      </c>
      <c r="C16" s="205">
        <v>0</v>
      </c>
      <c r="D16" s="205">
        <v>0</v>
      </c>
      <c r="E16" s="205">
        <v>0</v>
      </c>
      <c r="F16" s="29">
        <f t="shared" si="0"/>
        <v>0</v>
      </c>
      <c r="H16" s="215"/>
    </row>
    <row r="17" spans="1:8" x14ac:dyDescent="0.2">
      <c r="A17" s="212">
        <v>16</v>
      </c>
      <c r="B17" s="214" t="s">
        <v>93</v>
      </c>
      <c r="C17" s="205">
        <v>0</v>
      </c>
      <c r="D17" s="205">
        <v>0</v>
      </c>
      <c r="E17" s="205">
        <v>0</v>
      </c>
      <c r="F17" s="29">
        <f t="shared" si="0"/>
        <v>0</v>
      </c>
      <c r="H17" s="215"/>
    </row>
    <row r="18" spans="1:8" x14ac:dyDescent="0.2">
      <c r="A18" s="212">
        <v>17</v>
      </c>
      <c r="B18" s="214" t="s">
        <v>93</v>
      </c>
      <c r="C18" s="205">
        <v>0</v>
      </c>
      <c r="D18" s="205">
        <v>0</v>
      </c>
      <c r="E18" s="205">
        <v>0</v>
      </c>
      <c r="F18" s="29">
        <f t="shared" si="0"/>
        <v>0</v>
      </c>
      <c r="H18" s="215"/>
    </row>
    <row r="19" spans="1:8" x14ac:dyDescent="0.2">
      <c r="A19" s="212">
        <v>18</v>
      </c>
      <c r="B19" s="214" t="s">
        <v>93</v>
      </c>
      <c r="C19" s="205">
        <v>0</v>
      </c>
      <c r="D19" s="205">
        <v>0</v>
      </c>
      <c r="E19" s="205">
        <v>0</v>
      </c>
      <c r="F19" s="29">
        <f t="shared" si="0"/>
        <v>0</v>
      </c>
    </row>
    <row r="20" spans="1:8" x14ac:dyDescent="0.2">
      <c r="A20" s="212">
        <v>19</v>
      </c>
      <c r="B20" s="214" t="s">
        <v>93</v>
      </c>
      <c r="C20" s="205">
        <v>0</v>
      </c>
      <c r="D20" s="205">
        <v>0</v>
      </c>
      <c r="E20" s="205">
        <v>0</v>
      </c>
      <c r="F20" s="29">
        <f t="shared" si="0"/>
        <v>0</v>
      </c>
    </row>
    <row r="21" spans="1:8" x14ac:dyDescent="0.2">
      <c r="A21" s="212">
        <v>20</v>
      </c>
      <c r="B21" s="214" t="s">
        <v>93</v>
      </c>
      <c r="C21" s="205">
        <v>0</v>
      </c>
      <c r="D21" s="205">
        <v>0</v>
      </c>
      <c r="E21" s="205">
        <v>0</v>
      </c>
      <c r="F21" s="29">
        <f t="shared" si="0"/>
        <v>0</v>
      </c>
    </row>
    <row r="22" spans="1:8" x14ac:dyDescent="0.2">
      <c r="A22" s="212">
        <v>21</v>
      </c>
      <c r="B22" s="214" t="s">
        <v>93</v>
      </c>
      <c r="C22" s="205">
        <v>0</v>
      </c>
      <c r="D22" s="205">
        <v>0</v>
      </c>
      <c r="E22" s="205">
        <v>0</v>
      </c>
      <c r="F22" s="29">
        <f t="shared" si="0"/>
        <v>0</v>
      </c>
    </row>
    <row r="23" spans="1:8" x14ac:dyDescent="0.2">
      <c r="A23" s="212">
        <v>22</v>
      </c>
      <c r="B23" s="214" t="s">
        <v>93</v>
      </c>
      <c r="C23" s="205">
        <v>0</v>
      </c>
      <c r="D23" s="205">
        <v>0</v>
      </c>
      <c r="E23" s="205">
        <v>0</v>
      </c>
      <c r="F23" s="29">
        <f t="shared" si="0"/>
        <v>0</v>
      </c>
    </row>
    <row r="24" spans="1:8" x14ac:dyDescent="0.2">
      <c r="A24" s="212">
        <v>23</v>
      </c>
      <c r="B24" s="214" t="s">
        <v>93</v>
      </c>
      <c r="C24" s="205">
        <v>0</v>
      </c>
      <c r="D24" s="205">
        <v>0</v>
      </c>
      <c r="E24" s="205">
        <v>0</v>
      </c>
      <c r="F24" s="29">
        <f t="shared" si="0"/>
        <v>0</v>
      </c>
    </row>
    <row r="25" spans="1:8" x14ac:dyDescent="0.2">
      <c r="A25" s="212">
        <v>24</v>
      </c>
      <c r="B25" s="214" t="s">
        <v>93</v>
      </c>
      <c r="C25" s="205">
        <v>0</v>
      </c>
      <c r="D25" s="205">
        <v>0</v>
      </c>
      <c r="E25" s="205">
        <v>0</v>
      </c>
      <c r="F25" s="29">
        <f t="shared" si="0"/>
        <v>0</v>
      </c>
    </row>
    <row r="26" spans="1:8" x14ac:dyDescent="0.2">
      <c r="B26" s="209" t="s">
        <v>0</v>
      </c>
      <c r="C26" s="216">
        <f>SUM(C2:C25)</f>
        <v>4984000</v>
      </c>
      <c r="D26" s="216">
        <f>SUM(D2:D25)</f>
        <v>0</v>
      </c>
      <c r="E26" s="216">
        <f>SUM(E2:E25)</f>
        <v>0</v>
      </c>
      <c r="F26" s="216">
        <f>SUM(F2:F25)</f>
        <v>4984000</v>
      </c>
    </row>
    <row r="27" spans="1:8" x14ac:dyDescent="0.2">
      <c r="B27" s="209"/>
      <c r="C27" s="216"/>
      <c r="D27" s="216"/>
      <c r="E27" s="216"/>
      <c r="F27" s="216"/>
    </row>
    <row r="28" spans="1:8" x14ac:dyDescent="0.2">
      <c r="A28" s="209" t="s">
        <v>90</v>
      </c>
      <c r="B28" s="214" t="s">
        <v>93</v>
      </c>
      <c r="C28" s="217">
        <v>0</v>
      </c>
      <c r="D28" s="217">
        <v>0</v>
      </c>
      <c r="E28" s="217">
        <v>0</v>
      </c>
      <c r="F28" s="216">
        <f>SUM(C28:E28)</f>
        <v>0</v>
      </c>
    </row>
    <row r="29" spans="1:8" x14ac:dyDescent="0.2">
      <c r="A29" s="209" t="s">
        <v>91</v>
      </c>
      <c r="B29" s="214" t="s">
        <v>93</v>
      </c>
      <c r="C29" s="217">
        <v>0</v>
      </c>
      <c r="D29" s="217">
        <v>0</v>
      </c>
      <c r="E29" s="217">
        <v>0</v>
      </c>
      <c r="F29" s="216">
        <f>SUM(C29:E29)</f>
        <v>0</v>
      </c>
    </row>
    <row r="30" spans="1:8" x14ac:dyDescent="0.2">
      <c r="B30" s="209"/>
      <c r="C30" s="216"/>
      <c r="D30" s="216"/>
      <c r="E30" s="216"/>
      <c r="F30" s="216"/>
    </row>
    <row r="31" spans="1:8" x14ac:dyDescent="0.2">
      <c r="C31" s="209" t="s">
        <v>43</v>
      </c>
      <c r="D31" s="209" t="s">
        <v>42</v>
      </c>
    </row>
    <row r="32" spans="1:8" x14ac:dyDescent="0.2">
      <c r="B32" s="218" t="s">
        <v>26</v>
      </c>
      <c r="C32" s="219">
        <v>39991</v>
      </c>
      <c r="D32" s="219">
        <v>39991</v>
      </c>
    </row>
    <row r="33" spans="1:11" x14ac:dyDescent="0.2">
      <c r="B33" s="218" t="s">
        <v>84</v>
      </c>
      <c r="C33" s="219">
        <v>40086</v>
      </c>
      <c r="D33" s="219">
        <v>40086</v>
      </c>
    </row>
    <row r="34" spans="1:11" ht="13.5" thickBot="1" x14ac:dyDescent="0.25">
      <c r="B34" s="218"/>
      <c r="C34" s="220"/>
      <c r="D34" s="212"/>
    </row>
    <row r="35" spans="1:11" ht="13.5" thickBot="1" x14ac:dyDescent="0.25">
      <c r="A35" s="309" t="s">
        <v>25</v>
      </c>
      <c r="B35" s="310"/>
      <c r="C35" s="310"/>
      <c r="D35" s="310"/>
      <c r="E35" s="310"/>
      <c r="F35" s="310"/>
      <c r="G35" s="310"/>
      <c r="H35" s="310"/>
      <c r="I35" s="310"/>
      <c r="J35" s="310"/>
      <c r="K35" s="311"/>
    </row>
    <row r="36" spans="1:11" ht="51.75" thickBot="1" x14ac:dyDescent="0.25">
      <c r="A36" s="221" t="s">
        <v>9</v>
      </c>
      <c r="B36" s="222" t="s">
        <v>10</v>
      </c>
      <c r="C36" s="222" t="s">
        <v>11</v>
      </c>
      <c r="D36" s="222" t="s">
        <v>12</v>
      </c>
      <c r="E36" s="222" t="s">
        <v>13</v>
      </c>
      <c r="F36" s="222" t="s">
        <v>14</v>
      </c>
      <c r="G36" s="222" t="s">
        <v>32</v>
      </c>
      <c r="H36" s="222" t="s">
        <v>16</v>
      </c>
      <c r="I36" s="222" t="s">
        <v>85</v>
      </c>
      <c r="J36" s="222" t="s">
        <v>33</v>
      </c>
      <c r="K36" s="223" t="s">
        <v>15</v>
      </c>
    </row>
    <row r="37" spans="1:11" x14ac:dyDescent="0.2">
      <c r="A37" s="274"/>
      <c r="B37" s="275">
        <f>$D$32</f>
        <v>39991</v>
      </c>
      <c r="C37" s="275">
        <f>DATE(YEAR(B37),IF(MONTH(B37)&lt;=3,3,IF(MONTH(B37)&lt;=6,6,IF(MONTH(B37)&lt;=9,9,12))),IF(OR(MONTH(B37)&lt;=3,MONTH(B37)&gt;=10),31,30))</f>
        <v>39994</v>
      </c>
      <c r="D37" s="276">
        <f>C37-B37+1</f>
        <v>4</v>
      </c>
      <c r="E37" s="259">
        <f>VLOOKUP(C37,'[1]FERC Interest Rate'!$A:$B,2,TRUE)</f>
        <v>3.3700000000000001E-2</v>
      </c>
      <c r="F37" s="254">
        <f>$C$26</f>
        <v>4984000</v>
      </c>
      <c r="G37" s="277">
        <v>0</v>
      </c>
      <c r="H37" s="277">
        <v>0</v>
      </c>
      <c r="I37" s="254">
        <f>F37*E37*(D37/(DATE(YEAR(C37),12,31)-DATE(YEAR(C37),1,1)+1))</f>
        <v>1840.6663013698633</v>
      </c>
      <c r="J37" s="254">
        <v>0</v>
      </c>
      <c r="K37" s="255">
        <f>F37+I37-H37-J37</f>
        <v>4985840.6663013697</v>
      </c>
    </row>
    <row r="38" spans="1:11" x14ac:dyDescent="0.2">
      <c r="A38" s="224"/>
      <c r="B38" s="225">
        <f>C37+1</f>
        <v>39995</v>
      </c>
      <c r="C38" s="225">
        <f>EOMONTH(C37,3)</f>
        <v>40086</v>
      </c>
      <c r="D38" s="226">
        <f t="shared" ref="D38:D57" si="1">C38-B38+1</f>
        <v>92</v>
      </c>
      <c r="E38" s="160">
        <f>VLOOKUP(C38,'[1]FERC Interest Rate'!$A:$B,2,TRUE)</f>
        <v>3.2500000000000001E-2</v>
      </c>
      <c r="F38" s="148">
        <f>K37</f>
        <v>4985840.6663013697</v>
      </c>
      <c r="G38" s="227">
        <f>F38*E38*(D38/(DATE(YEAR(C38),12,31)-DATE(YEAR(C38),1,1)+1))</f>
        <v>40842.913951345472</v>
      </c>
      <c r="H38" s="227">
        <f t="shared" ref="H38:H57" si="2">$C$26/20</f>
        <v>249200</v>
      </c>
      <c r="I38" s="161">
        <v>0</v>
      </c>
      <c r="J38" s="148">
        <f t="shared" ref="J38:J57" si="3">SUM($I$37:$I$58)/20</f>
        <v>92.033315068493167</v>
      </c>
      <c r="K38" s="130">
        <f t="shared" ref="K38:K57" si="4">F38+I38-H38-J38</f>
        <v>4736548.6329863016</v>
      </c>
    </row>
    <row r="39" spans="1:11" x14ac:dyDescent="0.2">
      <c r="A39" s="224"/>
      <c r="B39" s="225">
        <f t="shared" ref="B39:B57" si="5">C38+1</f>
        <v>40087</v>
      </c>
      <c r="C39" s="225">
        <f>EOMONTH(C38,3)</f>
        <v>40178</v>
      </c>
      <c r="D39" s="226">
        <f t="shared" si="1"/>
        <v>92</v>
      </c>
      <c r="E39" s="160">
        <f>VLOOKUP(C39,'[1]FERC Interest Rate'!$A:$B,2,TRUE)</f>
        <v>3.2500000000000001E-2</v>
      </c>
      <c r="F39" s="148">
        <f t="shared" ref="F39:F57" si="6">K38</f>
        <v>4736548.6329863016</v>
      </c>
      <c r="G39" s="227">
        <f t="shared" ref="G39:G57" si="7">F39*E39*(D39/(DATE(YEAR(C39),12,31)-DATE(YEAR(C39),1,1)+1))</f>
        <v>38800.768253778202</v>
      </c>
      <c r="H39" s="227">
        <f t="shared" si="2"/>
        <v>249200</v>
      </c>
      <c r="I39" s="161">
        <v>0</v>
      </c>
      <c r="J39" s="148">
        <f t="shared" si="3"/>
        <v>92.033315068493167</v>
      </c>
      <c r="K39" s="130">
        <f t="shared" si="4"/>
        <v>4487256.5996712334</v>
      </c>
    </row>
    <row r="40" spans="1:11" x14ac:dyDescent="0.2">
      <c r="A40" s="224"/>
      <c r="B40" s="225">
        <f t="shared" si="5"/>
        <v>40179</v>
      </c>
      <c r="C40" s="225">
        <f t="shared" ref="C40:C57" si="8">EOMONTH(C39,3)</f>
        <v>40268</v>
      </c>
      <c r="D40" s="226">
        <f t="shared" si="1"/>
        <v>90</v>
      </c>
      <c r="E40" s="160">
        <f>VLOOKUP(C40,'[1]FERC Interest Rate'!$A:$B,2,TRUE)</f>
        <v>3.2500000000000001E-2</v>
      </c>
      <c r="F40" s="148">
        <f t="shared" si="6"/>
        <v>4487256.5996712334</v>
      </c>
      <c r="G40" s="227">
        <f t="shared" si="7"/>
        <v>35959.522065858509</v>
      </c>
      <c r="H40" s="227">
        <f t="shared" si="2"/>
        <v>249200</v>
      </c>
      <c r="I40" s="161">
        <v>0</v>
      </c>
      <c r="J40" s="148">
        <f t="shared" si="3"/>
        <v>92.033315068493167</v>
      </c>
      <c r="K40" s="130">
        <f t="shared" si="4"/>
        <v>4237964.5663561653</v>
      </c>
    </row>
    <row r="41" spans="1:11" x14ac:dyDescent="0.2">
      <c r="A41" s="224"/>
      <c r="B41" s="225">
        <f t="shared" si="5"/>
        <v>40269</v>
      </c>
      <c r="C41" s="225">
        <f t="shared" si="8"/>
        <v>40359</v>
      </c>
      <c r="D41" s="226">
        <f t="shared" si="1"/>
        <v>91</v>
      </c>
      <c r="E41" s="160">
        <f>VLOOKUP(C41,'[1]FERC Interest Rate'!$A:$B,2,TRUE)</f>
        <v>3.2500000000000001E-2</v>
      </c>
      <c r="F41" s="148">
        <f t="shared" si="6"/>
        <v>4237964.5663561653</v>
      </c>
      <c r="G41" s="227">
        <f t="shared" si="7"/>
        <v>34339.123849310577</v>
      </c>
      <c r="H41" s="227">
        <f t="shared" si="2"/>
        <v>249200</v>
      </c>
      <c r="I41" s="161">
        <v>0</v>
      </c>
      <c r="J41" s="148">
        <f t="shared" si="3"/>
        <v>92.033315068493167</v>
      </c>
      <c r="K41" s="130">
        <f t="shared" si="4"/>
        <v>3988672.5330410968</v>
      </c>
    </row>
    <row r="42" spans="1:11" x14ac:dyDescent="0.2">
      <c r="A42" s="224"/>
      <c r="B42" s="225">
        <f t="shared" si="5"/>
        <v>40360</v>
      </c>
      <c r="C42" s="225">
        <f t="shared" si="8"/>
        <v>40451</v>
      </c>
      <c r="D42" s="226">
        <f t="shared" si="1"/>
        <v>92</v>
      </c>
      <c r="E42" s="160">
        <f>VLOOKUP(C42,'[1]FERC Interest Rate'!$A:$B,2,TRUE)</f>
        <v>3.2500000000000001E-2</v>
      </c>
      <c r="F42" s="148">
        <f t="shared" si="6"/>
        <v>3988672.5330410968</v>
      </c>
      <c r="G42" s="227">
        <f t="shared" si="7"/>
        <v>32674.331161076385</v>
      </c>
      <c r="H42" s="227">
        <f t="shared" si="2"/>
        <v>249200</v>
      </c>
      <c r="I42" s="148">
        <v>0</v>
      </c>
      <c r="J42" s="148">
        <f t="shared" si="3"/>
        <v>92.033315068493167</v>
      </c>
      <c r="K42" s="130">
        <f t="shared" si="4"/>
        <v>3739380.4997260282</v>
      </c>
    </row>
    <row r="43" spans="1:11" x14ac:dyDescent="0.2">
      <c r="A43" s="224"/>
      <c r="B43" s="225">
        <f t="shared" si="5"/>
        <v>40452</v>
      </c>
      <c r="C43" s="225">
        <f t="shared" si="8"/>
        <v>40543</v>
      </c>
      <c r="D43" s="226">
        <f t="shared" si="1"/>
        <v>92</v>
      </c>
      <c r="E43" s="160">
        <f>VLOOKUP(C43,'[1]FERC Interest Rate'!$A:$B,2,TRUE)</f>
        <v>3.2500000000000001E-2</v>
      </c>
      <c r="F43" s="148">
        <f t="shared" si="6"/>
        <v>3739380.4997260282</v>
      </c>
      <c r="G43" s="227">
        <f t="shared" si="7"/>
        <v>30632.185463509111</v>
      </c>
      <c r="H43" s="227">
        <f t="shared" si="2"/>
        <v>249200</v>
      </c>
      <c r="I43" s="148">
        <v>0</v>
      </c>
      <c r="J43" s="148">
        <f t="shared" si="3"/>
        <v>92.033315068493167</v>
      </c>
      <c r="K43" s="130">
        <f t="shared" si="4"/>
        <v>3490088.4664109596</v>
      </c>
    </row>
    <row r="44" spans="1:11" x14ac:dyDescent="0.2">
      <c r="A44" s="224"/>
      <c r="B44" s="225">
        <f t="shared" si="5"/>
        <v>40544</v>
      </c>
      <c r="C44" s="225">
        <f t="shared" si="8"/>
        <v>40633</v>
      </c>
      <c r="D44" s="226">
        <f t="shared" si="1"/>
        <v>90</v>
      </c>
      <c r="E44" s="160">
        <f>VLOOKUP(C44,'[1]FERC Interest Rate'!$A:$B,2,TRUE)</f>
        <v>3.2500000000000001E-2</v>
      </c>
      <c r="F44" s="148">
        <f t="shared" si="6"/>
        <v>3490088.4664109596</v>
      </c>
      <c r="G44" s="227">
        <f t="shared" si="7"/>
        <v>27968.517162334403</v>
      </c>
      <c r="H44" s="227">
        <f t="shared" si="2"/>
        <v>249200</v>
      </c>
      <c r="I44" s="148">
        <v>0</v>
      </c>
      <c r="J44" s="148">
        <f t="shared" si="3"/>
        <v>92.033315068493167</v>
      </c>
      <c r="K44" s="130">
        <f t="shared" si="4"/>
        <v>3240796.433095891</v>
      </c>
    </row>
    <row r="45" spans="1:11" x14ac:dyDescent="0.2">
      <c r="A45" s="224"/>
      <c r="B45" s="225">
        <f t="shared" si="5"/>
        <v>40634</v>
      </c>
      <c r="C45" s="225">
        <f t="shared" si="8"/>
        <v>40724</v>
      </c>
      <c r="D45" s="226">
        <f t="shared" si="1"/>
        <v>91</v>
      </c>
      <c r="E45" s="160">
        <f>VLOOKUP(C45,'[1]FERC Interest Rate'!$A:$B,2,TRUE)</f>
        <v>3.2500000000000001E-2</v>
      </c>
      <c r="F45" s="148">
        <f t="shared" si="6"/>
        <v>3240796.433095891</v>
      </c>
      <c r="G45" s="227">
        <f t="shared" si="7"/>
        <v>26259.330002413968</v>
      </c>
      <c r="H45" s="227">
        <f t="shared" si="2"/>
        <v>249200</v>
      </c>
      <c r="I45" s="148">
        <v>0</v>
      </c>
      <c r="J45" s="148">
        <f t="shared" si="3"/>
        <v>92.033315068493167</v>
      </c>
      <c r="K45" s="130">
        <f t="shared" si="4"/>
        <v>2991504.3997808225</v>
      </c>
    </row>
    <row r="46" spans="1:11" x14ac:dyDescent="0.2">
      <c r="A46" s="224"/>
      <c r="B46" s="225">
        <f t="shared" si="5"/>
        <v>40725</v>
      </c>
      <c r="C46" s="225">
        <f t="shared" si="8"/>
        <v>40816</v>
      </c>
      <c r="D46" s="226">
        <f t="shared" si="1"/>
        <v>92</v>
      </c>
      <c r="E46" s="160">
        <f>VLOOKUP(C46,'[1]FERC Interest Rate'!$A:$B,2,TRUE)</f>
        <v>3.2500000000000001E-2</v>
      </c>
      <c r="F46" s="148">
        <f t="shared" si="6"/>
        <v>2991504.3997808225</v>
      </c>
      <c r="G46" s="227">
        <f t="shared" si="7"/>
        <v>24505.748370807287</v>
      </c>
      <c r="H46" s="227">
        <f t="shared" si="2"/>
        <v>249200</v>
      </c>
      <c r="I46" s="148">
        <v>0</v>
      </c>
      <c r="J46" s="148">
        <f t="shared" si="3"/>
        <v>92.033315068493167</v>
      </c>
      <c r="K46" s="130">
        <f t="shared" si="4"/>
        <v>2742212.3664657539</v>
      </c>
    </row>
    <row r="47" spans="1:11" x14ac:dyDescent="0.2">
      <c r="A47" s="224"/>
      <c r="B47" s="225">
        <f t="shared" si="5"/>
        <v>40817</v>
      </c>
      <c r="C47" s="225">
        <f t="shared" si="8"/>
        <v>40908</v>
      </c>
      <c r="D47" s="226">
        <f t="shared" si="1"/>
        <v>92</v>
      </c>
      <c r="E47" s="160">
        <f>VLOOKUP(C47,'[1]FERC Interest Rate'!$A:$B,2,TRUE)</f>
        <v>3.2500000000000001E-2</v>
      </c>
      <c r="F47" s="148">
        <f t="shared" si="6"/>
        <v>2742212.3664657539</v>
      </c>
      <c r="G47" s="227">
        <f t="shared" si="7"/>
        <v>22463.602673240013</v>
      </c>
      <c r="H47" s="227">
        <f t="shared" si="2"/>
        <v>249200</v>
      </c>
      <c r="I47" s="148">
        <v>0</v>
      </c>
      <c r="J47" s="148">
        <f t="shared" si="3"/>
        <v>92.033315068493167</v>
      </c>
      <c r="K47" s="130">
        <f t="shared" si="4"/>
        <v>2492920.3331506853</v>
      </c>
    </row>
    <row r="48" spans="1:11" x14ac:dyDescent="0.2">
      <c r="A48" s="224"/>
      <c r="B48" s="225">
        <f t="shared" si="5"/>
        <v>40909</v>
      </c>
      <c r="C48" s="225">
        <f t="shared" si="8"/>
        <v>40999</v>
      </c>
      <c r="D48" s="226">
        <f t="shared" si="1"/>
        <v>91</v>
      </c>
      <c r="E48" s="160">
        <f>VLOOKUP(C48,'[1]FERC Interest Rate'!$A:$B,2,TRUE)</f>
        <v>3.2500000000000001E-2</v>
      </c>
      <c r="F48" s="148">
        <f t="shared" si="6"/>
        <v>2492920.3331506853</v>
      </c>
      <c r="G48" s="227">
        <f t="shared" si="7"/>
        <v>20144.294768560525</v>
      </c>
      <c r="H48" s="227">
        <f t="shared" si="2"/>
        <v>249200</v>
      </c>
      <c r="I48" s="148">
        <v>0</v>
      </c>
      <c r="J48" s="148">
        <f t="shared" si="3"/>
        <v>92.033315068493167</v>
      </c>
      <c r="K48" s="130">
        <f t="shared" si="4"/>
        <v>2243628.2998356167</v>
      </c>
    </row>
    <row r="49" spans="1:11" x14ac:dyDescent="0.2">
      <c r="A49" s="224"/>
      <c r="B49" s="225">
        <f t="shared" si="5"/>
        <v>41000</v>
      </c>
      <c r="C49" s="225">
        <f t="shared" si="8"/>
        <v>41090</v>
      </c>
      <c r="D49" s="226">
        <f t="shared" si="1"/>
        <v>91</v>
      </c>
      <c r="E49" s="160">
        <f>VLOOKUP(C49,'[1]FERC Interest Rate'!$A:$B,2,TRUE)</f>
        <v>3.2500000000000001E-2</v>
      </c>
      <c r="F49" s="148">
        <f t="shared" si="6"/>
        <v>2243628.2998356167</v>
      </c>
      <c r="G49" s="227">
        <f t="shared" si="7"/>
        <v>18129.865291704471</v>
      </c>
      <c r="H49" s="227">
        <f t="shared" si="2"/>
        <v>249200</v>
      </c>
      <c r="I49" s="148">
        <v>0</v>
      </c>
      <c r="J49" s="148">
        <f t="shared" si="3"/>
        <v>92.033315068493167</v>
      </c>
      <c r="K49" s="130">
        <f t="shared" si="4"/>
        <v>1994336.2665205481</v>
      </c>
    </row>
    <row r="50" spans="1:11" x14ac:dyDescent="0.2">
      <c r="A50" s="224"/>
      <c r="B50" s="225">
        <f t="shared" si="5"/>
        <v>41091</v>
      </c>
      <c r="C50" s="225">
        <f t="shared" si="8"/>
        <v>41182</v>
      </c>
      <c r="D50" s="226">
        <f t="shared" si="1"/>
        <v>92</v>
      </c>
      <c r="E50" s="160">
        <f>VLOOKUP(C50,'[1]FERC Interest Rate'!$A:$B,2,TRUE)</f>
        <v>3.2500000000000001E-2</v>
      </c>
      <c r="F50" s="148">
        <f t="shared" si="6"/>
        <v>1994336.2665205481</v>
      </c>
      <c r="G50" s="227">
        <f t="shared" si="7"/>
        <v>16292.528516110489</v>
      </c>
      <c r="H50" s="227">
        <f t="shared" si="2"/>
        <v>249200</v>
      </c>
      <c r="I50" s="148">
        <v>0</v>
      </c>
      <c r="J50" s="148">
        <f t="shared" si="3"/>
        <v>92.033315068493167</v>
      </c>
      <c r="K50" s="130">
        <f t="shared" si="4"/>
        <v>1745044.2332054796</v>
      </c>
    </row>
    <row r="51" spans="1:11" x14ac:dyDescent="0.2">
      <c r="A51" s="224"/>
      <c r="B51" s="225">
        <f t="shared" si="5"/>
        <v>41183</v>
      </c>
      <c r="C51" s="225">
        <f t="shared" si="8"/>
        <v>41274</v>
      </c>
      <c r="D51" s="226">
        <f t="shared" si="1"/>
        <v>92</v>
      </c>
      <c r="E51" s="160">
        <f>VLOOKUP(C51,'[1]FERC Interest Rate'!$A:$B,2,TRUE)</f>
        <v>3.2500000000000001E-2</v>
      </c>
      <c r="F51" s="148">
        <f t="shared" si="6"/>
        <v>1745044.2332054796</v>
      </c>
      <c r="G51" s="227">
        <f t="shared" si="7"/>
        <v>14255.962451596679</v>
      </c>
      <c r="H51" s="227">
        <f t="shared" si="2"/>
        <v>249200</v>
      </c>
      <c r="I51" s="148">
        <v>0</v>
      </c>
      <c r="J51" s="148">
        <f t="shared" si="3"/>
        <v>92.033315068493167</v>
      </c>
      <c r="K51" s="130">
        <f t="shared" si="4"/>
        <v>1495752.199890411</v>
      </c>
    </row>
    <row r="52" spans="1:11" x14ac:dyDescent="0.2">
      <c r="A52" s="224"/>
      <c r="B52" s="225">
        <f t="shared" si="5"/>
        <v>41275</v>
      </c>
      <c r="C52" s="225">
        <f t="shared" si="8"/>
        <v>41364</v>
      </c>
      <c r="D52" s="226">
        <f t="shared" si="1"/>
        <v>90</v>
      </c>
      <c r="E52" s="160">
        <f>VLOOKUP(C52,'[1]FERC Interest Rate'!$A:$B,2,TRUE)</f>
        <v>3.2500000000000001E-2</v>
      </c>
      <c r="F52" s="148">
        <f t="shared" si="6"/>
        <v>1495752.199890411</v>
      </c>
      <c r="G52" s="227">
        <f t="shared" si="7"/>
        <v>11986.50735528617</v>
      </c>
      <c r="H52" s="227">
        <f t="shared" si="2"/>
        <v>249200</v>
      </c>
      <c r="I52" s="148">
        <v>0</v>
      </c>
      <c r="J52" s="148">
        <f t="shared" si="3"/>
        <v>92.033315068493167</v>
      </c>
      <c r="K52" s="130">
        <f t="shared" si="4"/>
        <v>1246460.1665753424</v>
      </c>
    </row>
    <row r="53" spans="1:11" x14ac:dyDescent="0.2">
      <c r="A53" s="224"/>
      <c r="B53" s="225">
        <f t="shared" si="5"/>
        <v>41365</v>
      </c>
      <c r="C53" s="225">
        <f t="shared" si="8"/>
        <v>41455</v>
      </c>
      <c r="D53" s="226">
        <f t="shared" si="1"/>
        <v>91</v>
      </c>
      <c r="E53" s="160">
        <f>VLOOKUP(C53,'[1]FERC Interest Rate'!$A:$B,2,TRUE)</f>
        <v>3.2500000000000001E-2</v>
      </c>
      <c r="F53" s="148">
        <f t="shared" si="6"/>
        <v>1246460.1665753424</v>
      </c>
      <c r="G53" s="227">
        <f t="shared" si="7"/>
        <v>10099.742308620755</v>
      </c>
      <c r="H53" s="227">
        <f t="shared" si="2"/>
        <v>249200</v>
      </c>
      <c r="I53" s="148">
        <v>0</v>
      </c>
      <c r="J53" s="148">
        <f t="shared" si="3"/>
        <v>92.033315068493167</v>
      </c>
      <c r="K53" s="130">
        <f t="shared" si="4"/>
        <v>997168.13326027396</v>
      </c>
    </row>
    <row r="54" spans="1:11" x14ac:dyDescent="0.2">
      <c r="A54" s="224"/>
      <c r="B54" s="225">
        <f t="shared" si="5"/>
        <v>41456</v>
      </c>
      <c r="C54" s="225">
        <f t="shared" si="8"/>
        <v>41547</v>
      </c>
      <c r="D54" s="226">
        <f t="shared" si="1"/>
        <v>92</v>
      </c>
      <c r="E54" s="160">
        <f>VLOOKUP(C54,'[1]FERC Interest Rate'!$A:$B,2,TRUE)</f>
        <v>3.2500000000000001E-2</v>
      </c>
      <c r="F54" s="148">
        <f t="shared" si="6"/>
        <v>997168.13326027396</v>
      </c>
      <c r="G54" s="227">
        <f t="shared" si="7"/>
        <v>8168.5827902690944</v>
      </c>
      <c r="H54" s="227">
        <f t="shared" si="2"/>
        <v>249200</v>
      </c>
      <c r="I54" s="148">
        <v>0</v>
      </c>
      <c r="J54" s="148">
        <f t="shared" si="3"/>
        <v>92.033315068493167</v>
      </c>
      <c r="K54" s="130">
        <f t="shared" si="4"/>
        <v>747876.0999452055</v>
      </c>
    </row>
    <row r="55" spans="1:11" x14ac:dyDescent="0.2">
      <c r="A55" s="224"/>
      <c r="B55" s="225">
        <f t="shared" si="5"/>
        <v>41548</v>
      </c>
      <c r="C55" s="225">
        <f t="shared" si="8"/>
        <v>41639</v>
      </c>
      <c r="D55" s="226">
        <f t="shared" si="1"/>
        <v>92</v>
      </c>
      <c r="E55" s="160">
        <f>VLOOKUP(C55,'[1]FERC Interest Rate'!$A:$B,2,TRUE)</f>
        <v>3.2500000000000001E-2</v>
      </c>
      <c r="F55" s="148">
        <f t="shared" si="6"/>
        <v>747876.0999452055</v>
      </c>
      <c r="G55" s="227">
        <f t="shared" si="7"/>
        <v>6126.4370927018208</v>
      </c>
      <c r="H55" s="227">
        <f t="shared" si="2"/>
        <v>249200</v>
      </c>
      <c r="I55" s="148">
        <v>0</v>
      </c>
      <c r="J55" s="148">
        <f t="shared" si="3"/>
        <v>92.033315068493167</v>
      </c>
      <c r="K55" s="130">
        <f t="shared" si="4"/>
        <v>498584.06663013698</v>
      </c>
    </row>
    <row r="56" spans="1:11" x14ac:dyDescent="0.2">
      <c r="A56" s="224"/>
      <c r="B56" s="225">
        <f t="shared" si="5"/>
        <v>41640</v>
      </c>
      <c r="C56" s="225">
        <f t="shared" si="8"/>
        <v>41729</v>
      </c>
      <c r="D56" s="226">
        <f t="shared" si="1"/>
        <v>90</v>
      </c>
      <c r="E56" s="160">
        <f>VLOOKUP(C56,'[1]FERC Interest Rate'!$A:$B,2,TRUE)</f>
        <v>3.2500000000000001E-2</v>
      </c>
      <c r="F56" s="148">
        <f t="shared" si="6"/>
        <v>498584.06663013698</v>
      </c>
      <c r="G56" s="227">
        <f t="shared" si="7"/>
        <v>3995.5024517620564</v>
      </c>
      <c r="H56" s="227">
        <f t="shared" si="2"/>
        <v>249200</v>
      </c>
      <c r="I56" s="148">
        <v>0</v>
      </c>
      <c r="J56" s="148">
        <f t="shared" si="3"/>
        <v>92.033315068493167</v>
      </c>
      <c r="K56" s="130">
        <f t="shared" si="4"/>
        <v>249292.03331506849</v>
      </c>
    </row>
    <row r="57" spans="1:11" x14ac:dyDescent="0.2">
      <c r="A57" s="228"/>
      <c r="B57" s="225">
        <f t="shared" si="5"/>
        <v>41730</v>
      </c>
      <c r="C57" s="225">
        <f t="shared" si="8"/>
        <v>41820</v>
      </c>
      <c r="D57" s="226">
        <f t="shared" si="1"/>
        <v>91</v>
      </c>
      <c r="E57" s="160">
        <f>VLOOKUP(C57,'[1]FERC Interest Rate'!$A:$B,2,TRUE)</f>
        <v>3.2500000000000001E-2</v>
      </c>
      <c r="F57" s="148">
        <f t="shared" si="6"/>
        <v>249292.03331506849</v>
      </c>
      <c r="G57" s="227">
        <f t="shared" si="7"/>
        <v>2019.948461724151</v>
      </c>
      <c r="H57" s="227">
        <f t="shared" si="2"/>
        <v>249200</v>
      </c>
      <c r="I57" s="148">
        <v>0</v>
      </c>
      <c r="J57" s="148">
        <f t="shared" si="3"/>
        <v>92.033315068493167</v>
      </c>
      <c r="K57" s="130">
        <f t="shared" si="4"/>
        <v>-3.993250174971763E-12</v>
      </c>
    </row>
    <row r="58" spans="1:11" ht="13.5" thickBot="1" x14ac:dyDescent="0.25">
      <c r="A58" s="229"/>
      <c r="B58" s="230"/>
      <c r="C58" s="230"/>
      <c r="D58" s="231"/>
      <c r="E58" s="232"/>
      <c r="F58" s="233"/>
      <c r="G58" s="233"/>
      <c r="H58" s="146"/>
      <c r="I58" s="234"/>
      <c r="J58" s="234"/>
      <c r="K58" s="235"/>
    </row>
    <row r="59" spans="1:11" x14ac:dyDescent="0.2">
      <c r="A59" s="236"/>
      <c r="B59" s="237"/>
      <c r="C59" s="237"/>
      <c r="D59" s="238"/>
      <c r="E59" s="236"/>
      <c r="F59" s="239"/>
      <c r="G59" s="239"/>
      <c r="H59" s="240"/>
      <c r="I59" s="240"/>
      <c r="J59" s="241"/>
    </row>
    <row r="60" spans="1:11" ht="13.5" thickBot="1" x14ac:dyDescent="0.25"/>
    <row r="61" spans="1:11" ht="13.5" thickBot="1" x14ac:dyDescent="0.25">
      <c r="A61" s="309" t="s">
        <v>71</v>
      </c>
      <c r="B61" s="310"/>
      <c r="C61" s="310"/>
      <c r="D61" s="310"/>
      <c r="E61" s="310"/>
      <c r="F61" s="310"/>
      <c r="G61" s="310"/>
      <c r="H61" s="310"/>
      <c r="I61" s="310"/>
      <c r="J61" s="310"/>
      <c r="K61" s="311"/>
    </row>
    <row r="62" spans="1:11" ht="51.75" thickBot="1" x14ac:dyDescent="0.25">
      <c r="A62" s="221" t="s">
        <v>9</v>
      </c>
      <c r="B62" s="222" t="s">
        <v>10</v>
      </c>
      <c r="C62" s="222" t="s">
        <v>11</v>
      </c>
      <c r="D62" s="222" t="s">
        <v>12</v>
      </c>
      <c r="E62" s="222" t="s">
        <v>13</v>
      </c>
      <c r="F62" s="222" t="s">
        <v>14</v>
      </c>
      <c r="G62" s="222" t="s">
        <v>32</v>
      </c>
      <c r="H62" s="222" t="s">
        <v>16</v>
      </c>
      <c r="I62" s="222" t="s">
        <v>85</v>
      </c>
      <c r="J62" s="222" t="s">
        <v>33</v>
      </c>
      <c r="K62" s="223" t="s">
        <v>15</v>
      </c>
    </row>
    <row r="63" spans="1:11" x14ac:dyDescent="0.2">
      <c r="A63" s="242"/>
      <c r="B63" s="243">
        <f>$B$2</f>
        <v>38608</v>
      </c>
      <c r="C63" s="243">
        <f>DATE(YEAR(B63),IF(MONTH(B63)&lt;=3,3,IF(MONTH(B63)&lt;=6,6,IF(MONTH(B63)&lt;=9,9,12))),IF(OR(MONTH(B63)&lt;=3,MONTH(B63)&gt;=10),31,30))</f>
        <v>38625</v>
      </c>
      <c r="D63" s="244">
        <f>C63-B63+1</f>
        <v>18</v>
      </c>
      <c r="E63" s="160">
        <f>VLOOKUP(C63,'[1]FERC Interest Rate'!$A:$B,2,TRUE)</f>
        <v>5.7700000000000001E-2</v>
      </c>
      <c r="F63" s="161">
        <f>$E$2</f>
        <v>0</v>
      </c>
      <c r="G63" s="227">
        <v>0</v>
      </c>
      <c r="H63" s="245">
        <v>0</v>
      </c>
      <c r="I63" s="161">
        <f>F63*E63*(D63/(DATE(YEAR(C63),12,31)-DATE(YEAR(C63),1,1)+1))</f>
        <v>0</v>
      </c>
      <c r="J63" s="161">
        <v>0</v>
      </c>
      <c r="K63" s="130">
        <f>F63+I63-H63-J63</f>
        <v>0</v>
      </c>
    </row>
    <row r="64" spans="1:11" x14ac:dyDescent="0.2">
      <c r="A64" s="224"/>
      <c r="B64" s="225">
        <f>C63+1</f>
        <v>38626</v>
      </c>
      <c r="C64" s="225">
        <f>EOMONTH(C63,3)</f>
        <v>38717</v>
      </c>
      <c r="D64" s="226">
        <f t="shared" ref="D64:D90" si="9">C64-B64+1</f>
        <v>92</v>
      </c>
      <c r="E64" s="160">
        <f>VLOOKUP(C64,'[1]FERC Interest Rate'!$A:$B,2,TRUE)</f>
        <v>6.2300000000000001E-2</v>
      </c>
      <c r="F64" s="148">
        <f>K63</f>
        <v>0</v>
      </c>
      <c r="G64" s="227">
        <v>0</v>
      </c>
      <c r="H64" s="227">
        <v>0</v>
      </c>
      <c r="I64" s="161">
        <f t="shared" ref="I64:I70" si="10">F64*E64*(D64/(DATE(YEAR(C64),12,31)-DATE(YEAR(C64),1,1)+1))</f>
        <v>0</v>
      </c>
      <c r="J64" s="148">
        <v>0</v>
      </c>
      <c r="K64" s="130">
        <f t="shared" ref="K64:K90" si="11">F64+I64-H64-J64</f>
        <v>0</v>
      </c>
    </row>
    <row r="65" spans="1:11" x14ac:dyDescent="0.2">
      <c r="A65" s="224"/>
      <c r="B65" s="225">
        <f t="shared" ref="B65:B90" si="12">C64+1</f>
        <v>38718</v>
      </c>
      <c r="C65" s="225">
        <f t="shared" ref="C65:C90" si="13">EOMONTH(C64,3)</f>
        <v>38807</v>
      </c>
      <c r="D65" s="226">
        <f t="shared" si="9"/>
        <v>90</v>
      </c>
      <c r="E65" s="160">
        <f>VLOOKUP(C65,'[1]FERC Interest Rate'!$A:$B,2,TRUE)</f>
        <v>6.7799999999999999E-2</v>
      </c>
      <c r="F65" s="148">
        <f t="shared" ref="F65:F90" si="14">K64</f>
        <v>0</v>
      </c>
      <c r="G65" s="227">
        <v>0</v>
      </c>
      <c r="H65" s="227">
        <v>0</v>
      </c>
      <c r="I65" s="161">
        <f t="shared" si="10"/>
        <v>0</v>
      </c>
      <c r="J65" s="148">
        <v>0</v>
      </c>
      <c r="K65" s="130">
        <f t="shared" si="11"/>
        <v>0</v>
      </c>
    </row>
    <row r="66" spans="1:11" x14ac:dyDescent="0.2">
      <c r="A66" s="224"/>
      <c r="B66" s="225">
        <f t="shared" si="12"/>
        <v>38808</v>
      </c>
      <c r="C66" s="225">
        <f t="shared" si="13"/>
        <v>38898</v>
      </c>
      <c r="D66" s="226">
        <f t="shared" si="9"/>
        <v>91</v>
      </c>
      <c r="E66" s="160">
        <f>VLOOKUP(C66,'[1]FERC Interest Rate'!$A:$B,2,TRUE)</f>
        <v>7.2999999999999995E-2</v>
      </c>
      <c r="F66" s="148">
        <f t="shared" si="14"/>
        <v>0</v>
      </c>
      <c r="G66" s="227">
        <v>0</v>
      </c>
      <c r="H66" s="227">
        <v>0</v>
      </c>
      <c r="I66" s="161">
        <f t="shared" si="10"/>
        <v>0</v>
      </c>
      <c r="J66" s="148">
        <v>0</v>
      </c>
      <c r="K66" s="130">
        <f t="shared" si="11"/>
        <v>0</v>
      </c>
    </row>
    <row r="67" spans="1:11" x14ac:dyDescent="0.2">
      <c r="A67" s="224"/>
      <c r="B67" s="225">
        <f t="shared" si="12"/>
        <v>38899</v>
      </c>
      <c r="C67" s="225">
        <f t="shared" si="13"/>
        <v>38990</v>
      </c>
      <c r="D67" s="226">
        <f t="shared" si="9"/>
        <v>92</v>
      </c>
      <c r="E67" s="160">
        <f>VLOOKUP(C67,'[1]FERC Interest Rate'!$A:$B,2,TRUE)</f>
        <v>7.7399999999999997E-2</v>
      </c>
      <c r="F67" s="148">
        <f t="shared" si="14"/>
        <v>0</v>
      </c>
      <c r="G67" s="227">
        <v>0</v>
      </c>
      <c r="H67" s="227">
        <v>0</v>
      </c>
      <c r="I67" s="161">
        <f t="shared" si="10"/>
        <v>0</v>
      </c>
      <c r="J67" s="148">
        <v>0</v>
      </c>
      <c r="K67" s="130">
        <f t="shared" si="11"/>
        <v>0</v>
      </c>
    </row>
    <row r="68" spans="1:11" x14ac:dyDescent="0.2">
      <c r="A68" s="224"/>
      <c r="B68" s="225">
        <f t="shared" si="12"/>
        <v>38991</v>
      </c>
      <c r="C68" s="225">
        <f t="shared" si="13"/>
        <v>39082</v>
      </c>
      <c r="D68" s="226">
        <f t="shared" si="9"/>
        <v>92</v>
      </c>
      <c r="E68" s="160">
        <f>VLOOKUP(C68,'[1]FERC Interest Rate'!$A:$B,2,TRUE)</f>
        <v>8.1699999999999995E-2</v>
      </c>
      <c r="F68" s="148">
        <f t="shared" si="14"/>
        <v>0</v>
      </c>
      <c r="G68" s="227">
        <v>0</v>
      </c>
      <c r="H68" s="227">
        <v>0</v>
      </c>
      <c r="I68" s="161">
        <f t="shared" si="10"/>
        <v>0</v>
      </c>
      <c r="J68" s="148">
        <v>0</v>
      </c>
      <c r="K68" s="130">
        <f t="shared" si="11"/>
        <v>0</v>
      </c>
    </row>
    <row r="69" spans="1:11" x14ac:dyDescent="0.2">
      <c r="A69" s="224"/>
      <c r="B69" s="225">
        <f t="shared" si="12"/>
        <v>39083</v>
      </c>
      <c r="C69" s="225">
        <f t="shared" si="13"/>
        <v>39172</v>
      </c>
      <c r="D69" s="226">
        <f t="shared" si="9"/>
        <v>90</v>
      </c>
      <c r="E69" s="160">
        <f>VLOOKUP(C69,'[1]FERC Interest Rate'!$A:$B,2,TRUE)</f>
        <v>8.2500000000000004E-2</v>
      </c>
      <c r="F69" s="148">
        <f t="shared" si="14"/>
        <v>0</v>
      </c>
      <c r="G69" s="227">
        <v>0</v>
      </c>
      <c r="H69" s="227">
        <v>0</v>
      </c>
      <c r="I69" s="161">
        <f t="shared" si="10"/>
        <v>0</v>
      </c>
      <c r="J69" s="148">
        <v>0</v>
      </c>
      <c r="K69" s="130">
        <f t="shared" si="11"/>
        <v>0</v>
      </c>
    </row>
    <row r="70" spans="1:11" x14ac:dyDescent="0.2">
      <c r="A70" s="224"/>
      <c r="B70" s="225">
        <f t="shared" si="12"/>
        <v>39173</v>
      </c>
      <c r="C70" s="225">
        <f t="shared" si="13"/>
        <v>39263</v>
      </c>
      <c r="D70" s="226">
        <f t="shared" si="9"/>
        <v>91</v>
      </c>
      <c r="E70" s="160">
        <f>VLOOKUP(C70,'[1]FERC Interest Rate'!$A:$B,2,TRUE)</f>
        <v>8.2500000000000004E-2</v>
      </c>
      <c r="F70" s="148">
        <f t="shared" si="14"/>
        <v>0</v>
      </c>
      <c r="G70" s="227">
        <v>0</v>
      </c>
      <c r="H70" s="227">
        <v>0</v>
      </c>
      <c r="I70" s="161">
        <f t="shared" si="10"/>
        <v>0</v>
      </c>
      <c r="J70" s="148">
        <v>0</v>
      </c>
      <c r="K70" s="130">
        <f t="shared" si="11"/>
        <v>0</v>
      </c>
    </row>
    <row r="71" spans="1:11" x14ac:dyDescent="0.2">
      <c r="A71" s="224"/>
      <c r="B71" s="225">
        <f t="shared" si="12"/>
        <v>39264</v>
      </c>
      <c r="C71" s="225">
        <f t="shared" si="13"/>
        <v>39355</v>
      </c>
      <c r="D71" s="226">
        <f t="shared" si="9"/>
        <v>92</v>
      </c>
      <c r="E71" s="160">
        <f>VLOOKUP(C71,'[1]FERC Interest Rate'!$A:$B,2,TRUE)</f>
        <v>8.2500000000000004E-2</v>
      </c>
      <c r="F71" s="148">
        <f>K70</f>
        <v>0</v>
      </c>
      <c r="G71" s="227">
        <f t="shared" ref="G71:G88" si="15">F71*E71*(D71/(DATE(YEAR(C71),12,31)-DATE(YEAR(C71),1,1)+1))</f>
        <v>0</v>
      </c>
      <c r="H71" s="227">
        <f>$F$63/20</f>
        <v>0</v>
      </c>
      <c r="I71" s="148">
        <v>0</v>
      </c>
      <c r="J71" s="148">
        <f>SUM($I$63:$I$91)/20</f>
        <v>0</v>
      </c>
      <c r="K71" s="130">
        <f t="shared" si="11"/>
        <v>0</v>
      </c>
    </row>
    <row r="72" spans="1:11" x14ac:dyDescent="0.2">
      <c r="A72" s="224"/>
      <c r="B72" s="225">
        <f t="shared" si="12"/>
        <v>39356</v>
      </c>
      <c r="C72" s="225">
        <f t="shared" si="13"/>
        <v>39447</v>
      </c>
      <c r="D72" s="226">
        <f t="shared" si="9"/>
        <v>92</v>
      </c>
      <c r="E72" s="160">
        <f>VLOOKUP(C72,'[1]FERC Interest Rate'!$A:$B,2,TRUE)</f>
        <v>8.2500000000000004E-2</v>
      </c>
      <c r="F72" s="148">
        <f>K71</f>
        <v>0</v>
      </c>
      <c r="G72" s="227">
        <f t="shared" si="15"/>
        <v>0</v>
      </c>
      <c r="H72" s="227">
        <f t="shared" ref="H72:H90" si="16">$F$63/20</f>
        <v>0</v>
      </c>
      <c r="I72" s="148">
        <v>0</v>
      </c>
      <c r="J72" s="148">
        <f t="shared" ref="J72:J90" si="17">SUM($I$63:$I$91)/20</f>
        <v>0</v>
      </c>
      <c r="K72" s="130">
        <f t="shared" si="11"/>
        <v>0</v>
      </c>
    </row>
    <row r="73" spans="1:11" x14ac:dyDescent="0.2">
      <c r="A73" s="224"/>
      <c r="B73" s="225">
        <f t="shared" si="12"/>
        <v>39448</v>
      </c>
      <c r="C73" s="225">
        <f t="shared" si="13"/>
        <v>39538</v>
      </c>
      <c r="D73" s="226">
        <f t="shared" si="9"/>
        <v>91</v>
      </c>
      <c r="E73" s="160">
        <f>VLOOKUP(C73,'[1]FERC Interest Rate'!$A:$B,2,TRUE)</f>
        <v>7.7600000000000002E-2</v>
      </c>
      <c r="F73" s="148">
        <f t="shared" si="14"/>
        <v>0</v>
      </c>
      <c r="G73" s="227">
        <f t="shared" si="15"/>
        <v>0</v>
      </c>
      <c r="H73" s="227">
        <f t="shared" si="16"/>
        <v>0</v>
      </c>
      <c r="I73" s="148">
        <v>0</v>
      </c>
      <c r="J73" s="148">
        <f t="shared" si="17"/>
        <v>0</v>
      </c>
      <c r="K73" s="130">
        <f t="shared" si="11"/>
        <v>0</v>
      </c>
    </row>
    <row r="74" spans="1:11" x14ac:dyDescent="0.2">
      <c r="A74" s="224"/>
      <c r="B74" s="225">
        <f t="shared" si="12"/>
        <v>39539</v>
      </c>
      <c r="C74" s="225">
        <f t="shared" si="13"/>
        <v>39629</v>
      </c>
      <c r="D74" s="226">
        <f t="shared" si="9"/>
        <v>91</v>
      </c>
      <c r="E74" s="160">
        <f>VLOOKUP(C74,'[1]FERC Interest Rate'!$A:$B,2,TRUE)</f>
        <v>6.7699999999999996E-2</v>
      </c>
      <c r="F74" s="148">
        <f t="shared" si="14"/>
        <v>0</v>
      </c>
      <c r="G74" s="227">
        <f t="shared" si="15"/>
        <v>0</v>
      </c>
      <c r="H74" s="227">
        <f t="shared" si="16"/>
        <v>0</v>
      </c>
      <c r="I74" s="148">
        <v>0</v>
      </c>
      <c r="J74" s="148">
        <f t="shared" si="17"/>
        <v>0</v>
      </c>
      <c r="K74" s="130">
        <f t="shared" si="11"/>
        <v>0</v>
      </c>
    </row>
    <row r="75" spans="1:11" x14ac:dyDescent="0.2">
      <c r="A75" s="224"/>
      <c r="B75" s="225">
        <f t="shared" si="12"/>
        <v>39630</v>
      </c>
      <c r="C75" s="225">
        <f t="shared" si="13"/>
        <v>39721</v>
      </c>
      <c r="D75" s="226">
        <f t="shared" si="9"/>
        <v>92</v>
      </c>
      <c r="E75" s="160">
        <f>VLOOKUP(C75,'[1]FERC Interest Rate'!$A:$B,2,TRUE)</f>
        <v>5.2999999999999999E-2</v>
      </c>
      <c r="F75" s="148">
        <f t="shared" si="14"/>
        <v>0</v>
      </c>
      <c r="G75" s="227">
        <f t="shared" si="15"/>
        <v>0</v>
      </c>
      <c r="H75" s="227">
        <f t="shared" si="16"/>
        <v>0</v>
      </c>
      <c r="I75" s="148">
        <v>0</v>
      </c>
      <c r="J75" s="148">
        <f t="shared" si="17"/>
        <v>0</v>
      </c>
      <c r="K75" s="130">
        <f t="shared" si="11"/>
        <v>0</v>
      </c>
    </row>
    <row r="76" spans="1:11" x14ac:dyDescent="0.2">
      <c r="A76" s="224"/>
      <c r="B76" s="225">
        <f t="shared" si="12"/>
        <v>39722</v>
      </c>
      <c r="C76" s="225">
        <f t="shared" si="13"/>
        <v>39813</v>
      </c>
      <c r="D76" s="226">
        <f t="shared" si="9"/>
        <v>92</v>
      </c>
      <c r="E76" s="160">
        <f>VLOOKUP(C76,'[1]FERC Interest Rate'!$A:$B,2,TRUE)</f>
        <v>0.05</v>
      </c>
      <c r="F76" s="148">
        <f t="shared" si="14"/>
        <v>0</v>
      </c>
      <c r="G76" s="227">
        <f t="shared" si="15"/>
        <v>0</v>
      </c>
      <c r="H76" s="227">
        <f t="shared" si="16"/>
        <v>0</v>
      </c>
      <c r="I76" s="148">
        <v>0</v>
      </c>
      <c r="J76" s="148">
        <f t="shared" si="17"/>
        <v>0</v>
      </c>
      <c r="K76" s="130">
        <f t="shared" si="11"/>
        <v>0</v>
      </c>
    </row>
    <row r="77" spans="1:11" x14ac:dyDescent="0.2">
      <c r="A77" s="224"/>
      <c r="B77" s="225">
        <f t="shared" si="12"/>
        <v>39814</v>
      </c>
      <c r="C77" s="225">
        <f t="shared" si="13"/>
        <v>39903</v>
      </c>
      <c r="D77" s="226">
        <f t="shared" si="9"/>
        <v>90</v>
      </c>
      <c r="E77" s="160">
        <f>VLOOKUP(C77,'[1]FERC Interest Rate'!$A:$B,2,TRUE)</f>
        <v>4.5199999999999997E-2</v>
      </c>
      <c r="F77" s="148">
        <f t="shared" si="14"/>
        <v>0</v>
      </c>
      <c r="G77" s="227">
        <f t="shared" si="15"/>
        <v>0</v>
      </c>
      <c r="H77" s="227">
        <f t="shared" si="16"/>
        <v>0</v>
      </c>
      <c r="I77" s="148">
        <v>0</v>
      </c>
      <c r="J77" s="148">
        <f t="shared" si="17"/>
        <v>0</v>
      </c>
      <c r="K77" s="130">
        <f t="shared" si="11"/>
        <v>0</v>
      </c>
    </row>
    <row r="78" spans="1:11" x14ac:dyDescent="0.2">
      <c r="A78" s="224"/>
      <c r="B78" s="225">
        <f t="shared" si="12"/>
        <v>39904</v>
      </c>
      <c r="C78" s="225">
        <f t="shared" si="13"/>
        <v>39994</v>
      </c>
      <c r="D78" s="226">
        <f t="shared" si="9"/>
        <v>91</v>
      </c>
      <c r="E78" s="160">
        <f>VLOOKUP(C78,'[1]FERC Interest Rate'!$A:$B,2,TRUE)</f>
        <v>3.3700000000000001E-2</v>
      </c>
      <c r="F78" s="148">
        <f t="shared" si="14"/>
        <v>0</v>
      </c>
      <c r="G78" s="227">
        <f t="shared" si="15"/>
        <v>0</v>
      </c>
      <c r="H78" s="227">
        <f t="shared" si="16"/>
        <v>0</v>
      </c>
      <c r="I78" s="148">
        <v>0</v>
      </c>
      <c r="J78" s="148">
        <f t="shared" si="17"/>
        <v>0</v>
      </c>
      <c r="K78" s="130">
        <f t="shared" si="11"/>
        <v>0</v>
      </c>
    </row>
    <row r="79" spans="1:11" x14ac:dyDescent="0.2">
      <c r="A79" s="224"/>
      <c r="B79" s="225">
        <f t="shared" si="12"/>
        <v>39995</v>
      </c>
      <c r="C79" s="225">
        <f t="shared" si="13"/>
        <v>40086</v>
      </c>
      <c r="D79" s="226">
        <f t="shared" si="9"/>
        <v>92</v>
      </c>
      <c r="E79" s="160">
        <f>VLOOKUP(C79,'[1]FERC Interest Rate'!$A:$B,2,TRUE)</f>
        <v>3.2500000000000001E-2</v>
      </c>
      <c r="F79" s="148">
        <f t="shared" si="14"/>
        <v>0</v>
      </c>
      <c r="G79" s="227">
        <f t="shared" si="15"/>
        <v>0</v>
      </c>
      <c r="H79" s="227">
        <f t="shared" si="16"/>
        <v>0</v>
      </c>
      <c r="I79" s="148">
        <v>0</v>
      </c>
      <c r="J79" s="148">
        <f t="shared" si="17"/>
        <v>0</v>
      </c>
      <c r="K79" s="130">
        <f t="shared" si="11"/>
        <v>0</v>
      </c>
    </row>
    <row r="80" spans="1:11" x14ac:dyDescent="0.2">
      <c r="A80" s="224"/>
      <c r="B80" s="225">
        <f t="shared" si="12"/>
        <v>40087</v>
      </c>
      <c r="C80" s="225">
        <f t="shared" si="13"/>
        <v>40178</v>
      </c>
      <c r="D80" s="226">
        <f t="shared" si="9"/>
        <v>92</v>
      </c>
      <c r="E80" s="160">
        <f>VLOOKUP(C80,'[1]FERC Interest Rate'!$A:$B,2,TRUE)</f>
        <v>3.2500000000000001E-2</v>
      </c>
      <c r="F80" s="148">
        <f t="shared" si="14"/>
        <v>0</v>
      </c>
      <c r="G80" s="227">
        <f t="shared" si="15"/>
        <v>0</v>
      </c>
      <c r="H80" s="227">
        <f t="shared" si="16"/>
        <v>0</v>
      </c>
      <c r="I80" s="148">
        <v>0</v>
      </c>
      <c r="J80" s="148">
        <f t="shared" si="17"/>
        <v>0</v>
      </c>
      <c r="K80" s="130">
        <f t="shared" si="11"/>
        <v>0</v>
      </c>
    </row>
    <row r="81" spans="1:11" x14ac:dyDescent="0.2">
      <c r="A81" s="224"/>
      <c r="B81" s="225">
        <f t="shared" si="12"/>
        <v>40179</v>
      </c>
      <c r="C81" s="225">
        <f t="shared" si="13"/>
        <v>40268</v>
      </c>
      <c r="D81" s="226">
        <f t="shared" si="9"/>
        <v>90</v>
      </c>
      <c r="E81" s="160">
        <f>VLOOKUP(C81,'[1]FERC Interest Rate'!$A:$B,2,TRUE)</f>
        <v>3.2500000000000001E-2</v>
      </c>
      <c r="F81" s="148">
        <f t="shared" si="14"/>
        <v>0</v>
      </c>
      <c r="G81" s="227">
        <f t="shared" si="15"/>
        <v>0</v>
      </c>
      <c r="H81" s="227">
        <f t="shared" si="16"/>
        <v>0</v>
      </c>
      <c r="I81" s="148">
        <v>0</v>
      </c>
      <c r="J81" s="148">
        <f t="shared" si="17"/>
        <v>0</v>
      </c>
      <c r="K81" s="130">
        <f t="shared" si="11"/>
        <v>0</v>
      </c>
    </row>
    <row r="82" spans="1:11" x14ac:dyDescent="0.2">
      <c r="A82" s="224"/>
      <c r="B82" s="225">
        <f t="shared" si="12"/>
        <v>40269</v>
      </c>
      <c r="C82" s="225">
        <f t="shared" si="13"/>
        <v>40359</v>
      </c>
      <c r="D82" s="226">
        <f t="shared" si="9"/>
        <v>91</v>
      </c>
      <c r="E82" s="160">
        <f>VLOOKUP(C82,'[1]FERC Interest Rate'!$A:$B,2,TRUE)</f>
        <v>3.2500000000000001E-2</v>
      </c>
      <c r="F82" s="148">
        <f t="shared" si="14"/>
        <v>0</v>
      </c>
      <c r="G82" s="227">
        <f t="shared" si="15"/>
        <v>0</v>
      </c>
      <c r="H82" s="227">
        <f t="shared" si="16"/>
        <v>0</v>
      </c>
      <c r="I82" s="148">
        <v>0</v>
      </c>
      <c r="J82" s="148">
        <f t="shared" si="17"/>
        <v>0</v>
      </c>
      <c r="K82" s="130">
        <f t="shared" si="11"/>
        <v>0</v>
      </c>
    </row>
    <row r="83" spans="1:11" x14ac:dyDescent="0.2">
      <c r="A83" s="228"/>
      <c r="B83" s="225">
        <f t="shared" si="12"/>
        <v>40360</v>
      </c>
      <c r="C83" s="225">
        <f t="shared" si="13"/>
        <v>40451</v>
      </c>
      <c r="D83" s="226">
        <f t="shared" si="9"/>
        <v>92</v>
      </c>
      <c r="E83" s="160">
        <f>VLOOKUP(C83,'[1]FERC Interest Rate'!$A:$B,2,TRUE)</f>
        <v>3.2500000000000001E-2</v>
      </c>
      <c r="F83" s="148">
        <f t="shared" si="14"/>
        <v>0</v>
      </c>
      <c r="G83" s="227">
        <f t="shared" si="15"/>
        <v>0</v>
      </c>
      <c r="H83" s="227">
        <f t="shared" si="16"/>
        <v>0</v>
      </c>
      <c r="I83" s="148">
        <v>0</v>
      </c>
      <c r="J83" s="148">
        <f t="shared" si="17"/>
        <v>0</v>
      </c>
      <c r="K83" s="130">
        <f t="shared" si="11"/>
        <v>0</v>
      </c>
    </row>
    <row r="84" spans="1:11" x14ac:dyDescent="0.2">
      <c r="A84" s="228"/>
      <c r="B84" s="225">
        <f t="shared" si="12"/>
        <v>40452</v>
      </c>
      <c r="C84" s="225">
        <f t="shared" si="13"/>
        <v>40543</v>
      </c>
      <c r="D84" s="226">
        <f t="shared" si="9"/>
        <v>92</v>
      </c>
      <c r="E84" s="160">
        <f>VLOOKUP(C84,'[1]FERC Interest Rate'!$A:$B,2,TRUE)</f>
        <v>3.2500000000000001E-2</v>
      </c>
      <c r="F84" s="148">
        <f t="shared" si="14"/>
        <v>0</v>
      </c>
      <c r="G84" s="227">
        <f t="shared" si="15"/>
        <v>0</v>
      </c>
      <c r="H84" s="227">
        <f t="shared" si="16"/>
        <v>0</v>
      </c>
      <c r="I84" s="148">
        <v>0</v>
      </c>
      <c r="J84" s="148">
        <f t="shared" si="17"/>
        <v>0</v>
      </c>
      <c r="K84" s="130">
        <f t="shared" si="11"/>
        <v>0</v>
      </c>
    </row>
    <row r="85" spans="1:11" x14ac:dyDescent="0.2">
      <c r="A85" s="228"/>
      <c r="B85" s="225">
        <f t="shared" si="12"/>
        <v>40544</v>
      </c>
      <c r="C85" s="225">
        <f t="shared" si="13"/>
        <v>40633</v>
      </c>
      <c r="D85" s="226">
        <f t="shared" si="9"/>
        <v>90</v>
      </c>
      <c r="E85" s="160">
        <f>VLOOKUP(C85,'[1]FERC Interest Rate'!$A:$B,2,TRUE)</f>
        <v>3.2500000000000001E-2</v>
      </c>
      <c r="F85" s="148">
        <f t="shared" si="14"/>
        <v>0</v>
      </c>
      <c r="G85" s="227">
        <f t="shared" si="15"/>
        <v>0</v>
      </c>
      <c r="H85" s="227">
        <f t="shared" si="16"/>
        <v>0</v>
      </c>
      <c r="I85" s="148">
        <v>0</v>
      </c>
      <c r="J85" s="148">
        <f t="shared" si="17"/>
        <v>0</v>
      </c>
      <c r="K85" s="130">
        <f t="shared" si="11"/>
        <v>0</v>
      </c>
    </row>
    <row r="86" spans="1:11" x14ac:dyDescent="0.2">
      <c r="A86" s="228"/>
      <c r="B86" s="225">
        <f t="shared" si="12"/>
        <v>40634</v>
      </c>
      <c r="C86" s="225">
        <f t="shared" si="13"/>
        <v>40724</v>
      </c>
      <c r="D86" s="226">
        <f t="shared" si="9"/>
        <v>91</v>
      </c>
      <c r="E86" s="160">
        <f>VLOOKUP(C86,'[1]FERC Interest Rate'!$A:$B,2,TRUE)</f>
        <v>3.2500000000000001E-2</v>
      </c>
      <c r="F86" s="148">
        <f t="shared" si="14"/>
        <v>0</v>
      </c>
      <c r="G86" s="227">
        <f t="shared" si="15"/>
        <v>0</v>
      </c>
      <c r="H86" s="227">
        <f t="shared" si="16"/>
        <v>0</v>
      </c>
      <c r="I86" s="148">
        <v>0</v>
      </c>
      <c r="J86" s="148">
        <f t="shared" si="17"/>
        <v>0</v>
      </c>
      <c r="K86" s="130">
        <f t="shared" si="11"/>
        <v>0</v>
      </c>
    </row>
    <row r="87" spans="1:11" x14ac:dyDescent="0.2">
      <c r="A87" s="228"/>
      <c r="B87" s="225">
        <f t="shared" si="12"/>
        <v>40725</v>
      </c>
      <c r="C87" s="225">
        <f t="shared" si="13"/>
        <v>40816</v>
      </c>
      <c r="D87" s="226">
        <f t="shared" si="9"/>
        <v>92</v>
      </c>
      <c r="E87" s="160">
        <f>VLOOKUP(C87,'[1]FERC Interest Rate'!$A:$B,2,TRUE)</f>
        <v>3.2500000000000001E-2</v>
      </c>
      <c r="F87" s="148">
        <f t="shared" si="14"/>
        <v>0</v>
      </c>
      <c r="G87" s="227">
        <f t="shared" si="15"/>
        <v>0</v>
      </c>
      <c r="H87" s="227">
        <f t="shared" si="16"/>
        <v>0</v>
      </c>
      <c r="I87" s="148">
        <v>0</v>
      </c>
      <c r="J87" s="148">
        <f t="shared" si="17"/>
        <v>0</v>
      </c>
      <c r="K87" s="130">
        <f t="shared" si="11"/>
        <v>0</v>
      </c>
    </row>
    <row r="88" spans="1:11" x14ac:dyDescent="0.2">
      <c r="A88" s="228"/>
      <c r="B88" s="225">
        <f t="shared" si="12"/>
        <v>40817</v>
      </c>
      <c r="C88" s="225">
        <f t="shared" si="13"/>
        <v>40908</v>
      </c>
      <c r="D88" s="226">
        <f t="shared" si="9"/>
        <v>92</v>
      </c>
      <c r="E88" s="160">
        <f>VLOOKUP(C88,'[1]FERC Interest Rate'!$A:$B,2,TRUE)</f>
        <v>3.2500000000000001E-2</v>
      </c>
      <c r="F88" s="148">
        <f t="shared" si="14"/>
        <v>0</v>
      </c>
      <c r="G88" s="227">
        <f t="shared" si="15"/>
        <v>0</v>
      </c>
      <c r="H88" s="227">
        <f t="shared" si="16"/>
        <v>0</v>
      </c>
      <c r="I88" s="148">
        <v>0</v>
      </c>
      <c r="J88" s="148">
        <f t="shared" si="17"/>
        <v>0</v>
      </c>
      <c r="K88" s="130">
        <f t="shared" si="11"/>
        <v>0</v>
      </c>
    </row>
    <row r="89" spans="1:11" x14ac:dyDescent="0.2">
      <c r="A89" s="228"/>
      <c r="B89" s="225">
        <f t="shared" si="12"/>
        <v>40909</v>
      </c>
      <c r="C89" s="225">
        <f t="shared" si="13"/>
        <v>40999</v>
      </c>
      <c r="D89" s="226">
        <f t="shared" si="9"/>
        <v>91</v>
      </c>
      <c r="E89" s="160">
        <f>VLOOKUP(C89,'[1]FERC Interest Rate'!$A:$B,2,TRUE)</f>
        <v>3.2500000000000001E-2</v>
      </c>
      <c r="F89" s="148">
        <f t="shared" si="14"/>
        <v>0</v>
      </c>
      <c r="G89" s="227">
        <f>F89*E89*(D89/(DATE(YEAR(C89),12,31)-DATE(YEAR(C89),1,1)+1))</f>
        <v>0</v>
      </c>
      <c r="H89" s="227">
        <f t="shared" si="16"/>
        <v>0</v>
      </c>
      <c r="I89" s="148">
        <v>0</v>
      </c>
      <c r="J89" s="148">
        <f t="shared" si="17"/>
        <v>0</v>
      </c>
      <c r="K89" s="130">
        <f t="shared" si="11"/>
        <v>0</v>
      </c>
    </row>
    <row r="90" spans="1:11" x14ac:dyDescent="0.2">
      <c r="A90" s="228"/>
      <c r="B90" s="225">
        <f t="shared" si="12"/>
        <v>41000</v>
      </c>
      <c r="C90" s="225">
        <f t="shared" si="13"/>
        <v>41090</v>
      </c>
      <c r="D90" s="226">
        <f t="shared" si="9"/>
        <v>91</v>
      </c>
      <c r="E90" s="160">
        <f>VLOOKUP(C90,'[1]FERC Interest Rate'!$A:$B,2,TRUE)</f>
        <v>3.2500000000000001E-2</v>
      </c>
      <c r="F90" s="148">
        <f t="shared" si="14"/>
        <v>0</v>
      </c>
      <c r="G90" s="227">
        <f>F90*E90*(D90/(DATE(YEAR(C90),12,31)-DATE(YEAR(C90),1,1)+1))</f>
        <v>0</v>
      </c>
      <c r="H90" s="227">
        <f t="shared" si="16"/>
        <v>0</v>
      </c>
      <c r="I90" s="148">
        <v>0</v>
      </c>
      <c r="J90" s="148">
        <f t="shared" si="17"/>
        <v>0</v>
      </c>
      <c r="K90" s="130">
        <f t="shared" si="11"/>
        <v>0</v>
      </c>
    </row>
    <row r="91" spans="1:11" ht="13.5" thickBot="1" x14ac:dyDescent="0.25">
      <c r="A91" s="229"/>
      <c r="B91" s="246"/>
      <c r="C91" s="246"/>
      <c r="D91" s="231"/>
      <c r="E91" s="232"/>
      <c r="F91" s="233"/>
      <c r="G91" s="233"/>
      <c r="H91" s="146"/>
      <c r="I91" s="234"/>
      <c r="J91" s="234"/>
      <c r="K91" s="235"/>
    </row>
  </sheetData>
  <mergeCells count="2">
    <mergeCell ref="A35:K35"/>
    <mergeCell ref="A61:K61"/>
  </mergeCells>
  <pageMargins left="0.75" right="0.75" top="1" bottom="1" header="0.5" footer="0.5"/>
  <pageSetup scale="66" fitToHeight="0" orientation="landscape" r:id="rId1"/>
  <headerFooter alignWithMargins="0">
    <oddHeader>&amp;RTO11 Draft Annual Update
Attachment 4
WP Schedule 22
Page &amp;P of &amp;N</oddHeader>
    <oddFooter>&amp;R&amp;A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7">
    <tabColor theme="0" tint="-4.9989318521683403E-2"/>
    <pageSetUpPr fitToPage="1"/>
  </sheetPr>
  <dimension ref="A1:L55"/>
  <sheetViews>
    <sheetView view="pageBreakPreview" zoomScale="85" zoomScaleNormal="100" zoomScaleSheetLayoutView="85" workbookViewId="0">
      <selection activeCell="G46" sqref="G46"/>
    </sheetView>
  </sheetViews>
  <sheetFormatPr defaultRowHeight="12.75" x14ac:dyDescent="0.2"/>
  <cols>
    <col min="1" max="1" width="37" customWidth="1"/>
    <col min="2" max="5" width="14"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12" s="38" customFormat="1" ht="15.75" x14ac:dyDescent="0.25">
      <c r="A1" s="292" t="s">
        <v>65</v>
      </c>
      <c r="B1" s="293"/>
      <c r="C1" s="293"/>
      <c r="D1" s="293"/>
      <c r="E1" s="293"/>
      <c r="F1" s="293"/>
      <c r="G1" s="66"/>
      <c r="H1" s="66"/>
      <c r="I1" s="66"/>
    </row>
    <row r="2" spans="1:12" x14ac:dyDescent="0.2">
      <c r="A2" s="18"/>
      <c r="B2" s="67"/>
      <c r="C2" s="67"/>
      <c r="D2" s="67"/>
      <c r="E2" s="67"/>
      <c r="F2" s="67"/>
      <c r="G2" s="67"/>
      <c r="H2" s="67"/>
      <c r="I2" s="67"/>
    </row>
    <row r="3" spans="1:12" x14ac:dyDescent="0.2">
      <c r="A3" s="45" t="s">
        <v>55</v>
      </c>
      <c r="B3" s="65" t="s">
        <v>35</v>
      </c>
      <c r="C3" s="65" t="s">
        <v>36</v>
      </c>
      <c r="D3" s="65" t="s">
        <v>37</v>
      </c>
      <c r="E3" s="65" t="s">
        <v>38</v>
      </c>
      <c r="F3" s="65" t="s">
        <v>0</v>
      </c>
      <c r="G3" s="68" t="s">
        <v>40</v>
      </c>
      <c r="H3" s="65" t="s">
        <v>41</v>
      </c>
      <c r="I3" s="65" t="s">
        <v>39</v>
      </c>
    </row>
    <row r="4" spans="1:12" x14ac:dyDescent="0.2">
      <c r="A4" s="32" t="s">
        <v>3</v>
      </c>
      <c r="B4" s="59" t="e">
        <f>#REF!</f>
        <v>#REF!</v>
      </c>
      <c r="C4" s="59">
        <v>0</v>
      </c>
      <c r="D4" s="59">
        <v>0</v>
      </c>
      <c r="E4" s="59">
        <v>0</v>
      </c>
      <c r="F4" s="59" t="e">
        <f>SUM(B4:E4)</f>
        <v>#REF!</v>
      </c>
      <c r="G4" s="60" t="e">
        <f>#REF!</f>
        <v>#REF!</v>
      </c>
      <c r="H4" s="61" t="e">
        <f>SUM(#REF!)-0.02</f>
        <v>#REF!</v>
      </c>
      <c r="I4" s="77" t="e">
        <f>ROUND(G4-H4,2)</f>
        <v>#REF!</v>
      </c>
    </row>
    <row r="5" spans="1:12" x14ac:dyDescent="0.2">
      <c r="A5" s="32" t="s">
        <v>5</v>
      </c>
      <c r="B5" s="59" t="e">
        <f>#REF!+#REF!</f>
        <v>#REF!</v>
      </c>
      <c r="C5" s="59">
        <v>0</v>
      </c>
      <c r="D5" s="59">
        <v>0</v>
      </c>
      <c r="E5" s="59">
        <v>0</v>
      </c>
      <c r="F5" s="59" t="e">
        <f>SUM(B5:E5)</f>
        <v>#REF!</v>
      </c>
    </row>
    <row r="6" spans="1:12" x14ac:dyDescent="0.2">
      <c r="A6" s="32" t="s">
        <v>4</v>
      </c>
      <c r="B6" s="59" t="e">
        <f>#REF!</f>
        <v>#REF!</v>
      </c>
      <c r="C6" s="59">
        <v>0</v>
      </c>
      <c r="D6" s="59">
        <v>0</v>
      </c>
      <c r="E6" s="59">
        <v>0</v>
      </c>
      <c r="F6" s="59" t="e">
        <f>SUM(B6:E6)</f>
        <v>#REF!</v>
      </c>
    </row>
    <row r="7" spans="1:12" x14ac:dyDescent="0.2">
      <c r="A7" s="32" t="s">
        <v>6</v>
      </c>
      <c r="B7" s="59" t="e">
        <f>#REF!+#REF!</f>
        <v>#REF!</v>
      </c>
      <c r="C7" s="59">
        <v>0</v>
      </c>
      <c r="D7" s="59">
        <v>0</v>
      </c>
      <c r="E7" s="59">
        <v>0</v>
      </c>
      <c r="F7" s="59" t="e">
        <f>SUM(B7:E7)</f>
        <v>#REF!</v>
      </c>
    </row>
    <row r="8" spans="1:12" x14ac:dyDescent="0.2">
      <c r="A8" s="15"/>
      <c r="B8" s="59"/>
      <c r="C8" s="59"/>
      <c r="D8" s="59"/>
      <c r="E8" s="59"/>
      <c r="F8" s="59"/>
      <c r="G8" s="67"/>
      <c r="H8" s="67"/>
      <c r="I8" s="67"/>
      <c r="K8" s="31"/>
      <c r="L8" s="31"/>
    </row>
    <row r="9" spans="1:12" x14ac:dyDescent="0.2">
      <c r="A9" s="45" t="s">
        <v>56</v>
      </c>
      <c r="B9" s="65" t="s">
        <v>35</v>
      </c>
      <c r="C9" s="65" t="s">
        <v>36</v>
      </c>
      <c r="D9" s="65" t="s">
        <v>37</v>
      </c>
      <c r="E9" s="65" t="s">
        <v>38</v>
      </c>
      <c r="F9" s="65" t="s">
        <v>0</v>
      </c>
      <c r="G9" s="68" t="s">
        <v>40</v>
      </c>
      <c r="H9" s="65" t="s">
        <v>41</v>
      </c>
      <c r="I9" s="65" t="s">
        <v>39</v>
      </c>
    </row>
    <row r="10" spans="1:12" x14ac:dyDescent="0.2">
      <c r="A10" s="32" t="s">
        <v>3</v>
      </c>
      <c r="B10" s="59" t="e">
        <f>#REF!</f>
        <v>#REF!</v>
      </c>
      <c r="C10" s="59" t="e">
        <f>#REF!</f>
        <v>#REF!</v>
      </c>
      <c r="D10" s="59" t="e">
        <f>#REF!</f>
        <v>#REF!</v>
      </c>
      <c r="E10" s="59">
        <v>0</v>
      </c>
      <c r="F10" s="59" t="e">
        <f>SUM(B10:E10)</f>
        <v>#REF!</v>
      </c>
      <c r="G10" s="60" t="e">
        <f>#REF!</f>
        <v>#REF!</v>
      </c>
      <c r="H10" s="61" t="e">
        <f>SUM(#REF!)</f>
        <v>#REF!</v>
      </c>
      <c r="I10" s="77" t="e">
        <f>G10-H10</f>
        <v>#REF!</v>
      </c>
    </row>
    <row r="11" spans="1:12" x14ac:dyDescent="0.2">
      <c r="A11" s="32" t="s">
        <v>5</v>
      </c>
      <c r="B11" s="59" t="e">
        <f>#REF!+#REF!</f>
        <v>#REF!</v>
      </c>
      <c r="C11" s="59" t="e">
        <f>#REF!+#REF!</f>
        <v>#REF!</v>
      </c>
      <c r="D11" s="59">
        <v>0</v>
      </c>
      <c r="E11" s="59">
        <v>0</v>
      </c>
      <c r="F11" s="59" t="e">
        <f>SUM(B11:E11)</f>
        <v>#REF!</v>
      </c>
    </row>
    <row r="12" spans="1:12" x14ac:dyDescent="0.2">
      <c r="A12" s="32" t="s">
        <v>4</v>
      </c>
      <c r="B12" s="59" t="e">
        <f>#REF!</f>
        <v>#REF!</v>
      </c>
      <c r="C12" s="59" t="e">
        <f>#REF!</f>
        <v>#REF!</v>
      </c>
      <c r="D12" s="59">
        <v>0</v>
      </c>
      <c r="E12" s="59">
        <v>0</v>
      </c>
      <c r="F12" s="59" t="e">
        <f>SUM(B12:E12)</f>
        <v>#REF!</v>
      </c>
    </row>
    <row r="13" spans="1:12" x14ac:dyDescent="0.2">
      <c r="A13" s="32" t="s">
        <v>6</v>
      </c>
      <c r="B13" s="59" t="e">
        <f>#REF!+#REF!</f>
        <v>#REF!</v>
      </c>
      <c r="C13" s="59" t="e">
        <f>#REF!+#REF!</f>
        <v>#REF!</v>
      </c>
      <c r="D13" s="59" t="e">
        <f>#REF!+#REF!</f>
        <v>#REF!</v>
      </c>
      <c r="E13" s="59">
        <v>0</v>
      </c>
      <c r="F13" s="59" t="e">
        <f>SUM(B13:E13)</f>
        <v>#REF!</v>
      </c>
    </row>
    <row r="14" spans="1:12" x14ac:dyDescent="0.2">
      <c r="A14" s="15"/>
      <c r="B14" s="59"/>
      <c r="C14" s="59"/>
      <c r="D14" s="59"/>
      <c r="E14" s="59"/>
      <c r="F14" s="59"/>
      <c r="G14" s="67"/>
      <c r="H14" s="67"/>
      <c r="I14" s="67"/>
    </row>
    <row r="15" spans="1:12" s="26" customFormat="1" x14ac:dyDescent="0.2">
      <c r="A15" s="45" t="s">
        <v>57</v>
      </c>
      <c r="B15" s="65" t="s">
        <v>35</v>
      </c>
      <c r="C15" s="65" t="s">
        <v>36</v>
      </c>
      <c r="D15" s="65" t="s">
        <v>37</v>
      </c>
      <c r="E15" s="65" t="s">
        <v>38</v>
      </c>
      <c r="F15" s="65" t="s">
        <v>0</v>
      </c>
      <c r="G15" s="68" t="s">
        <v>40</v>
      </c>
      <c r="H15" s="65" t="s">
        <v>41</v>
      </c>
      <c r="I15" s="65" t="s">
        <v>39</v>
      </c>
    </row>
    <row r="16" spans="1:12" s="26" customFormat="1" x14ac:dyDescent="0.2">
      <c r="A16" s="36" t="s">
        <v>3</v>
      </c>
      <c r="B16" s="59" t="e">
        <f>#REF!</f>
        <v>#REF!</v>
      </c>
      <c r="C16" s="59" t="e">
        <f>#REF!</f>
        <v>#REF!</v>
      </c>
      <c r="D16" s="59" t="e">
        <f>#REF!</f>
        <v>#REF!</v>
      </c>
      <c r="E16" s="59" t="e">
        <f>#REF!</f>
        <v>#REF!</v>
      </c>
      <c r="F16" s="59" t="e">
        <f>SUM(B16:E16)</f>
        <v>#REF!</v>
      </c>
      <c r="G16" s="60" t="e">
        <f>#REF!</f>
        <v>#REF!</v>
      </c>
      <c r="H16" s="61" t="e">
        <f>SUM(#REF!)</f>
        <v>#REF!</v>
      </c>
      <c r="I16" s="77" t="e">
        <f>G16-H16</f>
        <v>#REF!</v>
      </c>
    </row>
    <row r="17" spans="1:9" s="26" customFormat="1" x14ac:dyDescent="0.2">
      <c r="A17" s="36" t="s">
        <v>5</v>
      </c>
      <c r="B17" s="59" t="e">
        <f>#REF!+#REF!</f>
        <v>#REF!</v>
      </c>
      <c r="C17" s="59" t="e">
        <f>#REF!+#REF!</f>
        <v>#REF!</v>
      </c>
      <c r="D17" s="59" t="e">
        <f>#REF!+#REF!</f>
        <v>#REF!</v>
      </c>
      <c r="E17" s="59" t="e">
        <f>#REF!+#REF!</f>
        <v>#REF!</v>
      </c>
      <c r="F17" s="59" t="e">
        <f>SUM(B17:E17)</f>
        <v>#REF!</v>
      </c>
      <c r="G17" s="72"/>
      <c r="H17" s="72"/>
      <c r="I17" s="72"/>
    </row>
    <row r="18" spans="1:9" s="26" customFormat="1" x14ac:dyDescent="0.2">
      <c r="A18" s="36" t="s">
        <v>4</v>
      </c>
      <c r="B18" s="59" t="e">
        <f>#REF!</f>
        <v>#REF!</v>
      </c>
      <c r="C18" s="59" t="e">
        <f>#REF!</f>
        <v>#REF!</v>
      </c>
      <c r="D18" s="59" t="e">
        <f>#REF!</f>
        <v>#REF!</v>
      </c>
      <c r="E18" s="59">
        <v>0</v>
      </c>
      <c r="F18" s="59" t="e">
        <f>SUM(B18:E18)</f>
        <v>#REF!</v>
      </c>
      <c r="G18" s="72"/>
      <c r="H18" s="72"/>
      <c r="I18" s="72"/>
    </row>
    <row r="19" spans="1:9" s="26" customFormat="1" x14ac:dyDescent="0.2">
      <c r="A19" s="36" t="s">
        <v>6</v>
      </c>
      <c r="B19" s="59" t="e">
        <f>#REF!+#REF!</f>
        <v>#REF!</v>
      </c>
      <c r="C19" s="59" t="e">
        <f>#REF!+#REF!</f>
        <v>#REF!</v>
      </c>
      <c r="D19" s="59" t="e">
        <f>#REF!+#REF!</f>
        <v>#REF!</v>
      </c>
      <c r="E19" s="59" t="e">
        <f>#REF!+#REF!</f>
        <v>#REF!</v>
      </c>
      <c r="F19" s="59" t="e">
        <f>SUM(B19:E19)</f>
        <v>#REF!</v>
      </c>
      <c r="G19" s="72"/>
      <c r="H19" s="72"/>
      <c r="I19" s="72"/>
    </row>
    <row r="20" spans="1:9" x14ac:dyDescent="0.2">
      <c r="A20" s="15"/>
      <c r="B20" s="59"/>
      <c r="C20" s="59"/>
      <c r="D20" s="59"/>
      <c r="E20" s="59"/>
      <c r="F20" s="59"/>
      <c r="G20" s="67"/>
      <c r="H20" s="67"/>
      <c r="I20" s="67"/>
    </row>
    <row r="21" spans="1:9" x14ac:dyDescent="0.2">
      <c r="A21" s="45" t="s">
        <v>59</v>
      </c>
      <c r="B21" s="65" t="s">
        <v>35</v>
      </c>
      <c r="C21" s="65" t="s">
        <v>36</v>
      </c>
      <c r="D21" s="65" t="s">
        <v>37</v>
      </c>
      <c r="E21" s="65" t="s">
        <v>38</v>
      </c>
      <c r="F21" s="65" t="s">
        <v>0</v>
      </c>
      <c r="G21" s="68" t="s">
        <v>40</v>
      </c>
      <c r="H21" s="65" t="s">
        <v>41</v>
      </c>
      <c r="I21" s="65" t="s">
        <v>39</v>
      </c>
    </row>
    <row r="22" spans="1:9" x14ac:dyDescent="0.2">
      <c r="A22" s="32" t="s">
        <v>3</v>
      </c>
      <c r="B22" s="59" t="e">
        <f>#REF!</f>
        <v>#REF!</v>
      </c>
      <c r="C22" s="59" t="e">
        <f>#REF!</f>
        <v>#REF!</v>
      </c>
      <c r="D22" s="59" t="e">
        <f>#REF!</f>
        <v>#REF!</v>
      </c>
      <c r="E22" s="59" t="e">
        <f>#REF!</f>
        <v>#REF!</v>
      </c>
      <c r="F22" s="59" t="e">
        <f>SUM(B22:E22)</f>
        <v>#REF!</v>
      </c>
      <c r="G22" s="60" t="e">
        <f>#REF!</f>
        <v>#REF!</v>
      </c>
      <c r="H22" s="61" t="e">
        <f>SUM(#REF!)</f>
        <v>#REF!</v>
      </c>
      <c r="I22" s="61" t="e">
        <f>G22-H22</f>
        <v>#REF!</v>
      </c>
    </row>
    <row r="23" spans="1:9" x14ac:dyDescent="0.2">
      <c r="A23" s="32" t="s">
        <v>5</v>
      </c>
      <c r="B23" s="59" t="e">
        <f>#REF!+#REF!</f>
        <v>#REF!</v>
      </c>
      <c r="C23" s="59" t="e">
        <f>#REF!+#REF!</f>
        <v>#REF!</v>
      </c>
      <c r="D23" s="59" t="e">
        <f>#REF!+#REF!</f>
        <v>#REF!</v>
      </c>
      <c r="E23" s="59" t="e">
        <f>#REF!+#REF!</f>
        <v>#REF!</v>
      </c>
      <c r="F23" s="59" t="e">
        <f>SUM(B23:E23)</f>
        <v>#REF!</v>
      </c>
    </row>
    <row r="24" spans="1:9" x14ac:dyDescent="0.2">
      <c r="A24" s="32" t="s">
        <v>4</v>
      </c>
      <c r="B24" s="59" t="e">
        <f>#REF!+#REF!</f>
        <v>#REF!</v>
      </c>
      <c r="C24" s="59" t="e">
        <f>#REF!+#REF!</f>
        <v>#REF!</v>
      </c>
      <c r="D24" s="59" t="e">
        <f>#REF!+#REF!</f>
        <v>#REF!</v>
      </c>
      <c r="E24" s="59" t="e">
        <f>#REF!+#REF!</f>
        <v>#REF!</v>
      </c>
      <c r="F24" s="59" t="e">
        <f>SUM(B24:E24)</f>
        <v>#REF!</v>
      </c>
    </row>
    <row r="25" spans="1:9" x14ac:dyDescent="0.2">
      <c r="A25" s="32" t="s">
        <v>6</v>
      </c>
      <c r="B25" s="59" t="e">
        <f>SUM(#REF!+#REF!)+(#REF!+#REF!)</f>
        <v>#REF!</v>
      </c>
      <c r="C25" s="59" t="e">
        <f>SUM(#REF!+#REF!)+(#REF!+#REF!)</f>
        <v>#REF!</v>
      </c>
      <c r="D25" s="59" t="e">
        <f>SUM(#REF!+#REF!)+(#REF!+#REF!)</f>
        <v>#REF!</v>
      </c>
      <c r="E25" s="59" t="e">
        <f>SUM(#REF!+#REF!)+(#REF!+#REF!)</f>
        <v>#REF!</v>
      </c>
      <c r="F25" s="59" t="e">
        <f>SUM(B25:E25)</f>
        <v>#REF!</v>
      </c>
    </row>
    <row r="26" spans="1:9" x14ac:dyDescent="0.2">
      <c r="A26" s="15"/>
      <c r="B26" s="59"/>
      <c r="C26" s="59"/>
      <c r="D26" s="59"/>
      <c r="E26" s="59"/>
      <c r="F26" s="59"/>
      <c r="G26" s="67"/>
      <c r="H26" s="67"/>
      <c r="I26" s="67"/>
    </row>
    <row r="27" spans="1:9" ht="14.25" x14ac:dyDescent="0.2">
      <c r="A27" s="45" t="s">
        <v>74</v>
      </c>
      <c r="B27" s="65" t="s">
        <v>35</v>
      </c>
      <c r="C27" s="65" t="s">
        <v>36</v>
      </c>
      <c r="D27" s="65" t="s">
        <v>37</v>
      </c>
      <c r="E27" s="65" t="s">
        <v>38</v>
      </c>
      <c r="F27" s="65" t="s">
        <v>0</v>
      </c>
      <c r="G27" s="68" t="s">
        <v>40</v>
      </c>
      <c r="H27" s="65" t="s">
        <v>41</v>
      </c>
      <c r="I27" s="65" t="s">
        <v>39</v>
      </c>
    </row>
    <row r="28" spans="1:9" x14ac:dyDescent="0.2">
      <c r="A28" s="32" t="s">
        <v>3</v>
      </c>
      <c r="B28" s="59" t="e">
        <f>#REF!</f>
        <v>#REF!</v>
      </c>
      <c r="C28" s="59" t="e">
        <f>#REF!</f>
        <v>#REF!</v>
      </c>
      <c r="D28" s="59" t="e">
        <f>#REF!</f>
        <v>#REF!</v>
      </c>
      <c r="E28" s="59" t="e">
        <f>#REF!</f>
        <v>#REF!</v>
      </c>
      <c r="F28" s="59" t="e">
        <f>SUM(B28:E28)</f>
        <v>#REF!</v>
      </c>
      <c r="G28" s="60" t="e">
        <f>#REF!</f>
        <v>#REF!</v>
      </c>
      <c r="H28" s="61" t="e">
        <f>SUM(#REF!)</f>
        <v>#REF!</v>
      </c>
      <c r="I28" s="61" t="e">
        <f>G28-H28</f>
        <v>#REF!</v>
      </c>
    </row>
    <row r="29" spans="1:9" x14ac:dyDescent="0.2">
      <c r="A29" s="32" t="s">
        <v>5</v>
      </c>
      <c r="B29" s="59" t="e">
        <f>#REF!</f>
        <v>#REF!</v>
      </c>
      <c r="C29" s="59" t="e">
        <f>#REF!</f>
        <v>#REF!</v>
      </c>
      <c r="D29" s="59" t="e">
        <f>#REF!</f>
        <v>#REF!</v>
      </c>
      <c r="E29" s="59" t="e">
        <f>#REF!</f>
        <v>#REF!</v>
      </c>
      <c r="F29" s="59" t="e">
        <f>SUM(B29:E29)</f>
        <v>#REF!</v>
      </c>
    </row>
    <row r="30" spans="1:9" x14ac:dyDescent="0.2">
      <c r="A30" s="32" t="s">
        <v>4</v>
      </c>
      <c r="B30" s="59" t="e">
        <f>#REF!</f>
        <v>#REF!</v>
      </c>
      <c r="C30" s="59" t="e">
        <f>#REF!</f>
        <v>#REF!</v>
      </c>
      <c r="D30" s="59" t="e">
        <f>#REF!</f>
        <v>#REF!</v>
      </c>
      <c r="E30" s="59" t="e">
        <f>#REF!</f>
        <v>#REF!</v>
      </c>
      <c r="F30" s="59" t="e">
        <f>SUM(B30:E30)</f>
        <v>#REF!</v>
      </c>
    </row>
    <row r="31" spans="1:9" x14ac:dyDescent="0.2">
      <c r="A31" s="32" t="s">
        <v>6</v>
      </c>
      <c r="B31" s="59" t="e">
        <f>#REF!+#REF!</f>
        <v>#REF!</v>
      </c>
      <c r="C31" s="59" t="e">
        <f>#REF!+#REF!</f>
        <v>#REF!</v>
      </c>
      <c r="D31" s="59" t="e">
        <f>#REF!+#REF!</f>
        <v>#REF!</v>
      </c>
      <c r="E31" s="59" t="e">
        <f>#REF!+#REF!</f>
        <v>#REF!</v>
      </c>
      <c r="F31" s="59" t="e">
        <f>SUM(B31:E31)</f>
        <v>#REF!</v>
      </c>
    </row>
    <row r="32" spans="1:9" x14ac:dyDescent="0.2">
      <c r="A32" s="15"/>
      <c r="B32" s="59"/>
      <c r="C32" s="59"/>
      <c r="D32" s="59"/>
      <c r="E32" s="59"/>
      <c r="F32" s="59"/>
      <c r="G32" s="67"/>
      <c r="H32" s="67"/>
      <c r="I32" s="67"/>
    </row>
    <row r="33" spans="1:9" ht="14.25" x14ac:dyDescent="0.2">
      <c r="A33" s="45" t="s">
        <v>63</v>
      </c>
      <c r="B33" s="65" t="s">
        <v>35</v>
      </c>
      <c r="C33" s="65" t="s">
        <v>36</v>
      </c>
      <c r="D33" s="65" t="s">
        <v>37</v>
      </c>
      <c r="E33" s="65" t="s">
        <v>38</v>
      </c>
      <c r="F33" s="65" t="s">
        <v>0</v>
      </c>
      <c r="G33" s="68" t="s">
        <v>40</v>
      </c>
      <c r="H33" s="65" t="s">
        <v>41</v>
      </c>
      <c r="I33" s="65" t="s">
        <v>39</v>
      </c>
    </row>
    <row r="34" spans="1:9" x14ac:dyDescent="0.2">
      <c r="A34" s="36" t="s">
        <v>3</v>
      </c>
      <c r="B34" s="59" t="e">
        <f>#REF!</f>
        <v>#REF!</v>
      </c>
      <c r="C34" s="59" t="e">
        <f>#REF!</f>
        <v>#REF!</v>
      </c>
      <c r="D34" s="59" t="e">
        <f>#REF!</f>
        <v>#REF!</v>
      </c>
      <c r="E34" s="59" t="e">
        <f>#REF!</f>
        <v>#REF!</v>
      </c>
      <c r="F34" s="59" t="e">
        <f>SUM(B34:E34)</f>
        <v>#REF!</v>
      </c>
      <c r="G34" s="60" t="e">
        <f>#REF!</f>
        <v>#REF!</v>
      </c>
      <c r="H34" s="61" t="e">
        <f>SUM(#REF!)</f>
        <v>#REF!</v>
      </c>
      <c r="I34" s="61" t="e">
        <f>G34-H34</f>
        <v>#REF!</v>
      </c>
    </row>
    <row r="35" spans="1:9" x14ac:dyDescent="0.2">
      <c r="A35" s="32" t="s">
        <v>5</v>
      </c>
      <c r="B35" s="59" t="e">
        <f>#REF!</f>
        <v>#REF!</v>
      </c>
      <c r="C35" s="59" t="e">
        <f>#REF!</f>
        <v>#REF!</v>
      </c>
      <c r="D35" s="59" t="e">
        <f>#REF!</f>
        <v>#REF!</v>
      </c>
      <c r="E35" s="59" t="e">
        <f>#REF!</f>
        <v>#REF!</v>
      </c>
      <c r="F35" s="59" t="e">
        <f>SUM(B35:E35)</f>
        <v>#REF!</v>
      </c>
    </row>
    <row r="36" spans="1:9" x14ac:dyDescent="0.2">
      <c r="A36" s="32" t="s">
        <v>4</v>
      </c>
      <c r="B36" s="59">
        <v>0</v>
      </c>
      <c r="C36" s="59">
        <v>0</v>
      </c>
      <c r="D36" s="59">
        <v>0</v>
      </c>
      <c r="E36" s="59">
        <v>0</v>
      </c>
      <c r="F36" s="59">
        <f>SUM(B36:E36)</f>
        <v>0</v>
      </c>
    </row>
    <row r="37" spans="1:9" x14ac:dyDescent="0.2">
      <c r="A37" s="32" t="s">
        <v>6</v>
      </c>
      <c r="B37" s="59">
        <v>0</v>
      </c>
      <c r="C37" s="59">
        <v>0</v>
      </c>
      <c r="D37" s="59">
        <v>0</v>
      </c>
      <c r="E37" s="59">
        <v>0</v>
      </c>
      <c r="F37" s="59">
        <f>SUM(B37:E37)</f>
        <v>0</v>
      </c>
    </row>
    <row r="38" spans="1:9" x14ac:dyDescent="0.2">
      <c r="A38" s="15"/>
      <c r="B38" s="59"/>
      <c r="C38" s="59"/>
      <c r="D38" s="59"/>
      <c r="E38" s="59"/>
      <c r="F38" s="59"/>
      <c r="G38" s="67"/>
      <c r="H38" s="67"/>
      <c r="I38" s="67"/>
    </row>
    <row r="39" spans="1:9" x14ac:dyDescent="0.2">
      <c r="A39" s="7" t="s">
        <v>2</v>
      </c>
      <c r="B39" s="65" t="s">
        <v>35</v>
      </c>
      <c r="C39" s="65" t="s">
        <v>36</v>
      </c>
      <c r="D39" s="65" t="s">
        <v>37</v>
      </c>
      <c r="E39" s="65" t="s">
        <v>38</v>
      </c>
      <c r="F39" s="65" t="s">
        <v>0</v>
      </c>
      <c r="G39" s="68" t="s">
        <v>40</v>
      </c>
      <c r="H39" s="65" t="s">
        <v>41</v>
      </c>
      <c r="I39" s="65" t="s">
        <v>39</v>
      </c>
    </row>
    <row r="40" spans="1:9" x14ac:dyDescent="0.2">
      <c r="A40" s="53" t="s">
        <v>3</v>
      </c>
      <c r="B40" s="73" t="e">
        <f t="shared" ref="B40:E43" si="0">B34+B28+B22+B16+B10+B4</f>
        <v>#REF!</v>
      </c>
      <c r="C40" s="73" t="e">
        <f t="shared" si="0"/>
        <v>#REF!</v>
      </c>
      <c r="D40" s="73" t="e">
        <f t="shared" si="0"/>
        <v>#REF!</v>
      </c>
      <c r="E40" s="73" t="e">
        <f t="shared" si="0"/>
        <v>#REF!</v>
      </c>
      <c r="F40" s="73" t="e">
        <f>SUM(B40:E40)</f>
        <v>#REF!</v>
      </c>
      <c r="G40" s="73" t="e">
        <f>G34+G28+G22+G16+G10+G4</f>
        <v>#REF!</v>
      </c>
      <c r="H40" s="73" t="e">
        <f>H34+H28+H22+H16+H10+H4</f>
        <v>#REF!</v>
      </c>
      <c r="I40" s="70" t="e">
        <f>G40-H40</f>
        <v>#REF!</v>
      </c>
    </row>
    <row r="41" spans="1:9" x14ac:dyDescent="0.2">
      <c r="A41" s="53" t="s">
        <v>5</v>
      </c>
      <c r="B41" s="73" t="e">
        <f t="shared" si="0"/>
        <v>#REF!</v>
      </c>
      <c r="C41" s="73" t="e">
        <f t="shared" si="0"/>
        <v>#REF!</v>
      </c>
      <c r="D41" s="73" t="e">
        <f t="shared" si="0"/>
        <v>#REF!</v>
      </c>
      <c r="E41" s="73" t="e">
        <f t="shared" si="0"/>
        <v>#REF!</v>
      </c>
      <c r="F41" s="73" t="e">
        <f>SUM(B41:E41)</f>
        <v>#REF!</v>
      </c>
    </row>
    <row r="42" spans="1:9" x14ac:dyDescent="0.2">
      <c r="A42" s="53" t="s">
        <v>4</v>
      </c>
      <c r="B42" s="73" t="e">
        <f t="shared" si="0"/>
        <v>#REF!</v>
      </c>
      <c r="C42" s="73" t="e">
        <f t="shared" si="0"/>
        <v>#REF!</v>
      </c>
      <c r="D42" s="73" t="e">
        <f t="shared" si="0"/>
        <v>#REF!</v>
      </c>
      <c r="E42" s="73" t="e">
        <f t="shared" si="0"/>
        <v>#REF!</v>
      </c>
      <c r="F42" s="73" t="e">
        <f>SUM(B42:E42)</f>
        <v>#REF!</v>
      </c>
      <c r="G42" s="78"/>
      <c r="H42" s="79"/>
    </row>
    <row r="43" spans="1:9" x14ac:dyDescent="0.2">
      <c r="A43" s="53" t="s">
        <v>6</v>
      </c>
      <c r="B43" s="73" t="e">
        <f t="shared" si="0"/>
        <v>#REF!</v>
      </c>
      <c r="C43" s="73" t="e">
        <f t="shared" si="0"/>
        <v>#REF!</v>
      </c>
      <c r="D43" s="73" t="e">
        <f t="shared" si="0"/>
        <v>#REF!</v>
      </c>
      <c r="E43" s="73" t="e">
        <f t="shared" si="0"/>
        <v>#REF!</v>
      </c>
      <c r="F43" s="73" t="e">
        <f>SUM(B43:E43)</f>
        <v>#REF!</v>
      </c>
    </row>
    <row r="44" spans="1:9" x14ac:dyDescent="0.2">
      <c r="A44" s="24"/>
    </row>
    <row r="45" spans="1:9" x14ac:dyDescent="0.2">
      <c r="A45" s="20" t="s">
        <v>31</v>
      </c>
    </row>
    <row r="46" spans="1:9" x14ac:dyDescent="0.2">
      <c r="A46" s="294" t="s">
        <v>19</v>
      </c>
      <c r="B46" s="294"/>
      <c r="C46" s="294"/>
      <c r="D46" s="294"/>
      <c r="E46" s="294"/>
      <c r="F46" s="294"/>
      <c r="G46" s="294"/>
      <c r="H46" s="294"/>
      <c r="I46" s="294"/>
    </row>
    <row r="47" spans="1:9" x14ac:dyDescent="0.2">
      <c r="A47" s="291" t="s">
        <v>20</v>
      </c>
      <c r="B47" s="291"/>
      <c r="C47" s="291"/>
      <c r="D47" s="291"/>
      <c r="E47" s="291"/>
      <c r="F47" s="291"/>
      <c r="G47" s="291"/>
      <c r="H47" s="291"/>
      <c r="I47" s="291"/>
    </row>
    <row r="48" spans="1:9" x14ac:dyDescent="0.2">
      <c r="A48" s="294" t="s">
        <v>21</v>
      </c>
      <c r="B48" s="294"/>
      <c r="C48" s="294"/>
      <c r="D48" s="294"/>
      <c r="E48" s="294"/>
      <c r="F48" s="294"/>
      <c r="G48" s="294"/>
      <c r="H48" s="294"/>
      <c r="I48" s="294"/>
    </row>
    <row r="49" spans="1:9" ht="25.5" customHeight="1" x14ac:dyDescent="0.2">
      <c r="A49" s="291" t="s">
        <v>22</v>
      </c>
      <c r="B49" s="291"/>
      <c r="C49" s="291"/>
      <c r="D49" s="291"/>
      <c r="E49" s="291"/>
      <c r="F49" s="291"/>
      <c r="G49" s="291"/>
      <c r="H49" s="291"/>
      <c r="I49" s="291"/>
    </row>
    <row r="50" spans="1:9" s="8" customFormat="1" ht="27" customHeight="1" x14ac:dyDescent="0.2">
      <c r="A50" s="289" t="s">
        <v>23</v>
      </c>
      <c r="B50" s="289"/>
      <c r="C50" s="289"/>
      <c r="D50" s="289"/>
      <c r="E50" s="289"/>
      <c r="F50" s="289"/>
      <c r="G50" s="289"/>
      <c r="H50" s="289"/>
      <c r="I50" s="289"/>
    </row>
    <row r="51" spans="1:9" x14ac:dyDescent="0.2">
      <c r="A51" s="289" t="s">
        <v>58</v>
      </c>
      <c r="B51" s="289"/>
      <c r="C51" s="289"/>
      <c r="D51" s="289"/>
      <c r="E51" s="289"/>
      <c r="F51" s="289"/>
      <c r="G51" s="289"/>
      <c r="H51" s="289"/>
      <c r="I51" s="289"/>
    </row>
    <row r="52" spans="1:9" ht="25.5" customHeight="1" x14ac:dyDescent="0.2">
      <c r="A52" s="289" t="s">
        <v>34</v>
      </c>
      <c r="B52" s="289"/>
      <c r="C52" s="289"/>
      <c r="D52" s="289"/>
      <c r="E52" s="289"/>
      <c r="F52" s="289"/>
      <c r="G52" s="289"/>
      <c r="H52" s="289"/>
      <c r="I52" s="289"/>
    </row>
    <row r="53" spans="1:9" x14ac:dyDescent="0.2">
      <c r="A53" s="290" t="s">
        <v>30</v>
      </c>
      <c r="B53" s="290"/>
      <c r="C53" s="290"/>
      <c r="D53" s="290"/>
      <c r="E53" s="290"/>
      <c r="F53" s="290"/>
      <c r="G53" s="290"/>
      <c r="H53" s="290"/>
      <c r="I53" s="290"/>
    </row>
    <row r="55" spans="1:9" ht="14.25" x14ac:dyDescent="0.2">
      <c r="A55" s="39" t="s">
        <v>62</v>
      </c>
    </row>
  </sheetData>
  <mergeCells count="9">
    <mergeCell ref="A52:I52"/>
    <mergeCell ref="A53:I53"/>
    <mergeCell ref="A50:I50"/>
    <mergeCell ref="A49:I49"/>
    <mergeCell ref="A1:F1"/>
    <mergeCell ref="A47:I47"/>
    <mergeCell ref="A46:I46"/>
    <mergeCell ref="A51:I51"/>
    <mergeCell ref="A48:I48"/>
  </mergeCells>
  <phoneticPr fontId="3" type="noConversion"/>
  <printOptions horizontalCentered="1"/>
  <pageMargins left="0.5" right="0.5" top="1" bottom="0.89" header="0.5" footer="0.5"/>
  <pageSetup scale="89" orientation="portrait" r:id="rId1"/>
  <headerFooter alignWithMargins="0">
    <oddFooter>Page &amp;P of &amp;N</oddFooter>
  </headerFooter>
  <rowBreaks count="1" manualBreakCount="1">
    <brk id="7" max="5"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5">
    <tabColor theme="0" tint="-4.9989318521683403E-2"/>
    <pageSetUpPr fitToPage="1"/>
  </sheetPr>
  <dimension ref="A1:L74"/>
  <sheetViews>
    <sheetView view="pageBreakPreview" topLeftCell="A22" zoomScale="85" zoomScaleNormal="100" zoomScaleSheetLayoutView="85" workbookViewId="0">
      <selection activeCell="G46" sqref="G46"/>
    </sheetView>
  </sheetViews>
  <sheetFormatPr defaultRowHeight="12.75" x14ac:dyDescent="0.2"/>
  <cols>
    <col min="1" max="1" width="37" customWidth="1"/>
    <col min="2" max="5" width="14"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9" s="38" customFormat="1" ht="15.75" x14ac:dyDescent="0.25">
      <c r="A1" s="292" t="s">
        <v>72</v>
      </c>
      <c r="B1" s="293"/>
      <c r="C1" s="293"/>
      <c r="D1" s="293"/>
      <c r="E1" s="293"/>
      <c r="F1" s="293"/>
      <c r="G1" s="66"/>
      <c r="H1" s="66"/>
      <c r="I1" s="66"/>
    </row>
    <row r="2" spans="1:9" x14ac:dyDescent="0.2">
      <c r="A2" s="18"/>
      <c r="B2" s="67"/>
      <c r="C2" s="67"/>
      <c r="D2" s="67"/>
      <c r="E2" s="67"/>
      <c r="F2" s="67"/>
      <c r="G2" s="67"/>
      <c r="H2" s="67"/>
      <c r="I2" s="67"/>
    </row>
    <row r="3" spans="1:9" x14ac:dyDescent="0.2">
      <c r="A3" s="34"/>
      <c r="B3" s="80"/>
      <c r="C3" s="80"/>
      <c r="D3" s="80"/>
      <c r="E3" s="80"/>
      <c r="F3" s="80"/>
    </row>
    <row r="4" spans="1:9" x14ac:dyDescent="0.2">
      <c r="A4" s="45" t="s">
        <v>52</v>
      </c>
      <c r="B4" s="65" t="s">
        <v>35</v>
      </c>
      <c r="C4" s="65" t="s">
        <v>36</v>
      </c>
      <c r="D4" s="65" t="s">
        <v>37</v>
      </c>
      <c r="E4" s="65" t="s">
        <v>38</v>
      </c>
      <c r="F4" s="65" t="s">
        <v>0</v>
      </c>
      <c r="G4" s="68" t="s">
        <v>40</v>
      </c>
      <c r="H4" s="65" t="s">
        <v>41</v>
      </c>
      <c r="I4" s="65" t="s">
        <v>39</v>
      </c>
    </row>
    <row r="5" spans="1:9" x14ac:dyDescent="0.2">
      <c r="A5" s="32" t="s">
        <v>3</v>
      </c>
      <c r="B5" s="59" t="e">
        <f>#REF!+#REF!</f>
        <v>#REF!</v>
      </c>
      <c r="C5" s="59" t="e">
        <f>#REF!+#REF!</f>
        <v>#REF!</v>
      </c>
      <c r="D5" s="59" t="e">
        <f>#REF!+#REF!</f>
        <v>#REF!</v>
      </c>
      <c r="E5" s="59" t="e">
        <f>#REF!+#REF!</f>
        <v>#REF!</v>
      </c>
      <c r="F5" s="59" t="e">
        <f>SUM(B5:E5)</f>
        <v>#REF!</v>
      </c>
      <c r="G5" s="60" t="e">
        <f>#REF!</f>
        <v>#REF!</v>
      </c>
      <c r="H5" s="61" t="e">
        <f>SUM(#REF!)+SUM(#REF!)</f>
        <v>#REF!</v>
      </c>
      <c r="I5" s="61" t="e">
        <f>G5-H5</f>
        <v>#REF!</v>
      </c>
    </row>
    <row r="6" spans="1:9" x14ac:dyDescent="0.2">
      <c r="A6" s="32" t="s">
        <v>5</v>
      </c>
      <c r="B6" s="59" t="e">
        <f>#REF!+#REF!+#REF!+#REF!</f>
        <v>#REF!</v>
      </c>
      <c r="C6" s="59" t="e">
        <f>#REF!+#REF!+#REF!+#REF!</f>
        <v>#REF!</v>
      </c>
      <c r="D6" s="59" t="e">
        <f>#REF!+#REF!+#REF!+#REF!</f>
        <v>#REF!</v>
      </c>
      <c r="E6" s="59" t="e">
        <f>#REF!+#REF!+#REF!+#REF!</f>
        <v>#REF!</v>
      </c>
      <c r="F6" s="81" t="e">
        <f>SUM(B6:E6)</f>
        <v>#REF!</v>
      </c>
    </row>
    <row r="7" spans="1:9" x14ac:dyDescent="0.2">
      <c r="A7" s="32" t="s">
        <v>4</v>
      </c>
      <c r="B7" s="59" t="e">
        <f>#REF!</f>
        <v>#REF!</v>
      </c>
      <c r="C7" s="59" t="e">
        <f>#REF!</f>
        <v>#REF!</v>
      </c>
      <c r="D7" s="59" t="e">
        <f>#REF!</f>
        <v>#REF!</v>
      </c>
      <c r="E7" s="59" t="e">
        <f>#REF!</f>
        <v>#REF!</v>
      </c>
      <c r="F7" s="81" t="e">
        <f>SUM(B7:E7)</f>
        <v>#REF!</v>
      </c>
    </row>
    <row r="8" spans="1:9" x14ac:dyDescent="0.2">
      <c r="A8" s="32" t="s">
        <v>6</v>
      </c>
      <c r="B8" s="59" t="e">
        <f>#REF!+#REF!</f>
        <v>#REF!</v>
      </c>
      <c r="C8" s="59" t="e">
        <f>#REF!+#REF!</f>
        <v>#REF!</v>
      </c>
      <c r="D8" s="59" t="e">
        <f>#REF!+#REF!</f>
        <v>#REF!</v>
      </c>
      <c r="E8" s="59" t="e">
        <f>#REF!+#REF!</f>
        <v>#REF!</v>
      </c>
      <c r="F8" s="59" t="e">
        <f>SUM(B8:E8)</f>
        <v>#REF!</v>
      </c>
    </row>
    <row r="9" spans="1:9" x14ac:dyDescent="0.2">
      <c r="A9" s="32"/>
      <c r="B9" s="82"/>
      <c r="C9" s="82"/>
      <c r="D9" s="82"/>
      <c r="E9" s="82"/>
      <c r="F9" s="82"/>
      <c r="G9" s="83"/>
      <c r="H9" s="83"/>
      <c r="I9" s="83"/>
    </row>
    <row r="10" spans="1:9" x14ac:dyDescent="0.2">
      <c r="A10" s="45" t="s">
        <v>54</v>
      </c>
      <c r="B10" s="65" t="s">
        <v>35</v>
      </c>
      <c r="C10" s="65" t="s">
        <v>36</v>
      </c>
      <c r="D10" s="65" t="s">
        <v>37</v>
      </c>
      <c r="E10" s="65" t="s">
        <v>38</v>
      </c>
      <c r="F10" s="65" t="s">
        <v>0</v>
      </c>
      <c r="G10" s="68" t="s">
        <v>40</v>
      </c>
      <c r="H10" s="65" t="s">
        <v>41</v>
      </c>
      <c r="I10" s="65" t="s">
        <v>39</v>
      </c>
    </row>
    <row r="11" spans="1:9" x14ac:dyDescent="0.2">
      <c r="A11" s="32" t="s">
        <v>3</v>
      </c>
      <c r="B11" s="74" t="e">
        <f>#REF!</f>
        <v>#REF!</v>
      </c>
      <c r="C11" s="74" t="e">
        <f>#REF!</f>
        <v>#REF!</v>
      </c>
      <c r="D11" s="74">
        <v>0</v>
      </c>
      <c r="E11" s="74" t="e">
        <f>#REF!</f>
        <v>#REF!</v>
      </c>
      <c r="F11" s="74" t="e">
        <f>SUM(B11:E11)</f>
        <v>#REF!</v>
      </c>
      <c r="G11" s="70" t="e">
        <f>#REF!</f>
        <v>#REF!</v>
      </c>
      <c r="H11" s="77" t="e">
        <f>SUM(#REF!)</f>
        <v>#REF!</v>
      </c>
      <c r="I11" s="77" t="e">
        <f>G11-H11</f>
        <v>#REF!</v>
      </c>
    </row>
    <row r="12" spans="1:9" x14ac:dyDescent="0.2">
      <c r="A12" s="32" t="s">
        <v>5</v>
      </c>
      <c r="B12" s="74" t="e">
        <f>#REF!+#REF!</f>
        <v>#REF!</v>
      </c>
      <c r="C12" s="74" t="e">
        <f>#REF!+#REF!</f>
        <v>#REF!</v>
      </c>
      <c r="D12" s="74">
        <v>0</v>
      </c>
      <c r="E12" s="74" t="e">
        <f>#REF!+#REF!</f>
        <v>#REF!</v>
      </c>
      <c r="F12" s="84" t="e">
        <f>SUM(B12:E12)</f>
        <v>#REF!</v>
      </c>
    </row>
    <row r="13" spans="1:9" x14ac:dyDescent="0.2">
      <c r="A13" s="32" t="s">
        <v>4</v>
      </c>
      <c r="B13" s="74" t="e">
        <f>#REF!</f>
        <v>#REF!</v>
      </c>
      <c r="C13" s="74" t="e">
        <f>#REF!</f>
        <v>#REF!</v>
      </c>
      <c r="D13" s="74">
        <v>0</v>
      </c>
      <c r="E13" s="74">
        <v>0</v>
      </c>
      <c r="F13" s="84" t="e">
        <f>SUM(B13:E13)</f>
        <v>#REF!</v>
      </c>
    </row>
    <row r="14" spans="1:9" x14ac:dyDescent="0.2">
      <c r="A14" s="32" t="s">
        <v>6</v>
      </c>
      <c r="B14" s="74" t="e">
        <f>#REF!+#REF!</f>
        <v>#REF!</v>
      </c>
      <c r="C14" s="74" t="e">
        <f>#REF!+#REF!</f>
        <v>#REF!</v>
      </c>
      <c r="D14" s="74">
        <v>0</v>
      </c>
      <c r="E14" s="74" t="e">
        <f>#REF!+#REF!</f>
        <v>#REF!</v>
      </c>
      <c r="F14" s="74" t="e">
        <f>SUM(B14:E14)</f>
        <v>#REF!</v>
      </c>
    </row>
    <row r="15" spans="1:9" x14ac:dyDescent="0.2">
      <c r="A15" s="15"/>
      <c r="B15" s="59"/>
      <c r="C15" s="59"/>
      <c r="D15" s="59"/>
      <c r="E15" s="59"/>
      <c r="F15" s="59"/>
      <c r="G15" s="67"/>
      <c r="H15" s="67"/>
      <c r="I15" s="67"/>
    </row>
    <row r="16" spans="1:9" x14ac:dyDescent="0.2">
      <c r="A16" s="45" t="s">
        <v>76</v>
      </c>
      <c r="B16" s="65" t="s">
        <v>35</v>
      </c>
      <c r="C16" s="65" t="s">
        <v>36</v>
      </c>
      <c r="D16" s="65" t="s">
        <v>37</v>
      </c>
      <c r="E16" s="65" t="s">
        <v>38</v>
      </c>
      <c r="F16" s="65" t="s">
        <v>0</v>
      </c>
      <c r="G16" s="68" t="s">
        <v>40</v>
      </c>
      <c r="H16" s="65" t="s">
        <v>41</v>
      </c>
      <c r="I16" s="65" t="s">
        <v>39</v>
      </c>
    </row>
    <row r="17" spans="1:12" x14ac:dyDescent="0.2">
      <c r="A17" s="32" t="s">
        <v>3</v>
      </c>
      <c r="B17" s="59" t="e">
        <f>#REF!</f>
        <v>#REF!</v>
      </c>
      <c r="C17" s="59" t="e">
        <f>#REF!</f>
        <v>#REF!</v>
      </c>
      <c r="D17" s="59" t="e">
        <f>#REF!</f>
        <v>#REF!</v>
      </c>
      <c r="E17" s="59" t="e">
        <f>#REF!</f>
        <v>#REF!</v>
      </c>
      <c r="F17" s="59" t="e">
        <f>SUM(B17:E17)</f>
        <v>#REF!</v>
      </c>
      <c r="G17" s="60" t="e">
        <f>#REF!</f>
        <v>#REF!</v>
      </c>
      <c r="H17" s="61" t="e">
        <f>SUM(#REF!)</f>
        <v>#REF!</v>
      </c>
      <c r="I17" s="61" t="e">
        <f>G17-H17</f>
        <v>#REF!</v>
      </c>
    </row>
    <row r="18" spans="1:12" x14ac:dyDescent="0.2">
      <c r="A18" s="32" t="s">
        <v>5</v>
      </c>
      <c r="B18" s="59" t="e">
        <f>#REF!+#REF!</f>
        <v>#REF!</v>
      </c>
      <c r="C18" s="59" t="e">
        <f>#REF!+#REF!</f>
        <v>#REF!</v>
      </c>
      <c r="D18" s="59" t="e">
        <f>#REF!+#REF!</f>
        <v>#REF!</v>
      </c>
      <c r="E18" s="59" t="e">
        <f>#REF!+#REF!</f>
        <v>#REF!</v>
      </c>
      <c r="F18" s="81" t="e">
        <f>SUM(B18:E18)</f>
        <v>#REF!</v>
      </c>
    </row>
    <row r="19" spans="1:12" x14ac:dyDescent="0.2">
      <c r="A19" s="32" t="s">
        <v>4</v>
      </c>
      <c r="B19" s="59" t="e">
        <f>#REF!</f>
        <v>#REF!</v>
      </c>
      <c r="C19" s="59" t="e">
        <f>#REF!</f>
        <v>#REF!</v>
      </c>
      <c r="D19" s="59" t="e">
        <f>#REF!</f>
        <v>#REF!</v>
      </c>
      <c r="E19" s="59" t="e">
        <f>#REF!</f>
        <v>#REF!</v>
      </c>
      <c r="F19" s="81" t="e">
        <f>SUM(B19:E19)</f>
        <v>#REF!</v>
      </c>
    </row>
    <row r="20" spans="1:12" x14ac:dyDescent="0.2">
      <c r="A20" s="32" t="s">
        <v>6</v>
      </c>
      <c r="B20" s="59" t="e">
        <f>#REF!+#REF!</f>
        <v>#REF!</v>
      </c>
      <c r="C20" s="59" t="e">
        <f>#REF!+#REF!</f>
        <v>#REF!</v>
      </c>
      <c r="D20" s="59" t="e">
        <f>#REF!+#REF!</f>
        <v>#REF!</v>
      </c>
      <c r="E20" s="59" t="e">
        <f>#REF!+#REF!</f>
        <v>#REF!</v>
      </c>
      <c r="F20" s="59" t="e">
        <f>SUM(B20:E20)</f>
        <v>#REF!</v>
      </c>
    </row>
    <row r="21" spans="1:12" x14ac:dyDescent="0.2">
      <c r="A21" s="15"/>
      <c r="B21" s="59"/>
      <c r="C21" s="59"/>
      <c r="D21" s="59"/>
      <c r="E21" s="59"/>
      <c r="F21" s="59"/>
      <c r="G21" s="67"/>
      <c r="H21" s="67"/>
      <c r="I21" s="67"/>
      <c r="K21" s="31"/>
      <c r="L21" s="31"/>
    </row>
    <row r="22" spans="1:12" x14ac:dyDescent="0.2">
      <c r="A22" s="45" t="s">
        <v>77</v>
      </c>
      <c r="B22" s="65" t="s">
        <v>35</v>
      </c>
      <c r="C22" s="65" t="s">
        <v>36</v>
      </c>
      <c r="D22" s="65" t="s">
        <v>37</v>
      </c>
      <c r="E22" s="65" t="s">
        <v>38</v>
      </c>
      <c r="F22" s="65" t="s">
        <v>0</v>
      </c>
      <c r="G22" s="68" t="s">
        <v>40</v>
      </c>
      <c r="H22" s="65" t="s">
        <v>41</v>
      </c>
      <c r="I22" s="65" t="s">
        <v>39</v>
      </c>
    </row>
    <row r="23" spans="1:12" x14ac:dyDescent="0.2">
      <c r="A23" s="32" t="s">
        <v>3</v>
      </c>
      <c r="B23" s="59" t="e">
        <f>#REF!</f>
        <v>#REF!</v>
      </c>
      <c r="C23" s="59" t="e">
        <f>#REF!</f>
        <v>#REF!</v>
      </c>
      <c r="D23" s="59" t="e">
        <f>#REF!</f>
        <v>#REF!</v>
      </c>
      <c r="E23" s="59" t="e">
        <f>#REF!</f>
        <v>#REF!</v>
      </c>
      <c r="F23" s="59" t="e">
        <f>SUM(B23:E23)</f>
        <v>#REF!</v>
      </c>
      <c r="G23" s="60" t="e">
        <f>#REF!</f>
        <v>#REF!</v>
      </c>
      <c r="H23" s="61" t="e">
        <f>SUM(#REF!)</f>
        <v>#REF!</v>
      </c>
      <c r="I23" s="61" t="e">
        <f>G23-H23</f>
        <v>#REF!</v>
      </c>
    </row>
    <row r="24" spans="1:12" x14ac:dyDescent="0.2">
      <c r="A24" s="32" t="s">
        <v>5</v>
      </c>
      <c r="B24" s="59" t="e">
        <f>#REF!+#REF!</f>
        <v>#REF!</v>
      </c>
      <c r="C24" s="59" t="e">
        <f>#REF!+#REF!</f>
        <v>#REF!</v>
      </c>
      <c r="D24" s="59" t="e">
        <f>#REF!+#REF!</f>
        <v>#REF!</v>
      </c>
      <c r="E24" s="59" t="e">
        <f>#REF!+#REF!</f>
        <v>#REF!</v>
      </c>
      <c r="F24" s="81" t="e">
        <f>SUM(B24:E24)</f>
        <v>#REF!</v>
      </c>
    </row>
    <row r="25" spans="1:12" x14ac:dyDescent="0.2">
      <c r="A25" s="32" t="s">
        <v>4</v>
      </c>
      <c r="B25" s="59" t="e">
        <f>#REF!</f>
        <v>#REF!</v>
      </c>
      <c r="C25" s="59" t="e">
        <f>#REF!</f>
        <v>#REF!</v>
      </c>
      <c r="D25" s="59" t="e">
        <f>#REF!</f>
        <v>#REF!</v>
      </c>
      <c r="E25" s="59" t="e">
        <f>#REF!</f>
        <v>#REF!</v>
      </c>
      <c r="F25" s="81" t="e">
        <f>SUM(B25:E25)</f>
        <v>#REF!</v>
      </c>
    </row>
    <row r="26" spans="1:12" x14ac:dyDescent="0.2">
      <c r="A26" s="32" t="s">
        <v>6</v>
      </c>
      <c r="B26" s="59" t="e">
        <f>#REF!+#REF!</f>
        <v>#REF!</v>
      </c>
      <c r="C26" s="59" t="e">
        <f>#REF!+#REF!</f>
        <v>#REF!</v>
      </c>
      <c r="D26" s="59" t="e">
        <f>#REF!+#REF!</f>
        <v>#REF!</v>
      </c>
      <c r="E26" s="59" t="e">
        <f>#REF!+#REF!</f>
        <v>#REF!</v>
      </c>
      <c r="F26" s="59" t="e">
        <f>SUM(B26:E26)</f>
        <v>#REF!</v>
      </c>
    </row>
    <row r="27" spans="1:12" x14ac:dyDescent="0.2">
      <c r="A27" s="15"/>
      <c r="B27" s="59"/>
      <c r="C27" s="59"/>
      <c r="D27" s="59"/>
      <c r="E27" s="59"/>
      <c r="F27" s="59"/>
      <c r="G27" s="67"/>
      <c r="H27" s="67"/>
      <c r="I27" s="67"/>
    </row>
    <row r="28" spans="1:12" s="26" customFormat="1" x14ac:dyDescent="0.2">
      <c r="A28" s="45" t="s">
        <v>57</v>
      </c>
      <c r="B28" s="65" t="s">
        <v>35</v>
      </c>
      <c r="C28" s="65" t="s">
        <v>36</v>
      </c>
      <c r="D28" s="65" t="s">
        <v>37</v>
      </c>
      <c r="E28" s="65" t="s">
        <v>38</v>
      </c>
      <c r="F28" s="65" t="s">
        <v>0</v>
      </c>
      <c r="G28" s="68" t="s">
        <v>40</v>
      </c>
      <c r="H28" s="65" t="s">
        <v>41</v>
      </c>
      <c r="I28" s="65" t="s">
        <v>39</v>
      </c>
    </row>
    <row r="29" spans="1:12" s="26" customFormat="1" x14ac:dyDescent="0.2">
      <c r="A29" s="36" t="s">
        <v>3</v>
      </c>
      <c r="B29" s="59" t="e">
        <f>#REF!</f>
        <v>#REF!</v>
      </c>
      <c r="C29" s="59" t="e">
        <f>#REF!</f>
        <v>#REF!</v>
      </c>
      <c r="D29" s="59" t="e">
        <f>#REF!</f>
        <v>#REF!</v>
      </c>
      <c r="E29" s="59" t="e">
        <f>#REF!</f>
        <v>#REF!</v>
      </c>
      <c r="F29" s="59" t="e">
        <f>SUM(B29:E29)</f>
        <v>#REF!</v>
      </c>
      <c r="G29" s="60" t="e">
        <f>#REF!</f>
        <v>#REF!</v>
      </c>
      <c r="H29" s="61" t="e">
        <f>SUM(#REF!)</f>
        <v>#REF!</v>
      </c>
      <c r="I29" s="61" t="e">
        <f>G29-H29</f>
        <v>#REF!</v>
      </c>
    </row>
    <row r="30" spans="1:12" s="26" customFormat="1" x14ac:dyDescent="0.2">
      <c r="A30" s="36" t="s">
        <v>5</v>
      </c>
      <c r="B30" s="59" t="e">
        <f>#REF!+#REF!</f>
        <v>#REF!</v>
      </c>
      <c r="C30" s="59" t="e">
        <f>#REF!+#REF!</f>
        <v>#REF!</v>
      </c>
      <c r="D30" s="59" t="e">
        <f>#REF!+#REF!</f>
        <v>#REF!</v>
      </c>
      <c r="E30" s="59" t="e">
        <f>#REF!+#REF!</f>
        <v>#REF!</v>
      </c>
      <c r="F30" s="59" t="e">
        <f>SUM(B30:E30)</f>
        <v>#REF!</v>
      </c>
      <c r="G30" s="72"/>
      <c r="H30" s="72"/>
      <c r="I30" s="72"/>
    </row>
    <row r="31" spans="1:12" s="26" customFormat="1" x14ac:dyDescent="0.2">
      <c r="A31" s="36" t="s">
        <v>4</v>
      </c>
      <c r="B31" s="59" t="e">
        <f>#REF!</f>
        <v>#REF!</v>
      </c>
      <c r="C31" s="59" t="e">
        <f>#REF!</f>
        <v>#REF!</v>
      </c>
      <c r="D31" s="59" t="e">
        <f>#REF!</f>
        <v>#REF!</v>
      </c>
      <c r="E31" s="59" t="e">
        <f>#REF!</f>
        <v>#REF!</v>
      </c>
      <c r="F31" s="59" t="e">
        <f>SUM(B31:E31)</f>
        <v>#REF!</v>
      </c>
      <c r="G31" s="72"/>
      <c r="H31" s="72"/>
      <c r="I31" s="72"/>
    </row>
    <row r="32" spans="1:12" s="26" customFormat="1" x14ac:dyDescent="0.2">
      <c r="A32" s="36" t="s">
        <v>6</v>
      </c>
      <c r="B32" s="59" t="e">
        <f>#REF!+#REF!</f>
        <v>#REF!</v>
      </c>
      <c r="C32" s="59" t="e">
        <f>#REF!+#REF!</f>
        <v>#REF!</v>
      </c>
      <c r="D32" s="59" t="e">
        <f>#REF!+#REF!</f>
        <v>#REF!</v>
      </c>
      <c r="E32" s="59" t="e">
        <f>#REF!+#REF!</f>
        <v>#REF!</v>
      </c>
      <c r="F32" s="59" t="e">
        <f>SUM(B32:E32)</f>
        <v>#REF!</v>
      </c>
      <c r="G32" s="72"/>
      <c r="H32" s="72"/>
      <c r="I32" s="72"/>
    </row>
    <row r="33" spans="1:9" x14ac:dyDescent="0.2">
      <c r="A33" s="15"/>
      <c r="B33" s="59"/>
      <c r="C33" s="59"/>
      <c r="D33" s="59"/>
      <c r="E33" s="59"/>
      <c r="F33" s="59"/>
      <c r="G33" s="67"/>
      <c r="H33" s="67"/>
      <c r="I33" s="67"/>
    </row>
    <row r="34" spans="1:9" x14ac:dyDescent="0.2">
      <c r="A34" s="45" t="s">
        <v>59</v>
      </c>
      <c r="B34" s="65" t="s">
        <v>35</v>
      </c>
      <c r="C34" s="65" t="s">
        <v>36</v>
      </c>
      <c r="D34" s="65" t="s">
        <v>37</v>
      </c>
      <c r="E34" s="65" t="s">
        <v>38</v>
      </c>
      <c r="F34" s="65" t="s">
        <v>0</v>
      </c>
      <c r="G34" s="68" t="s">
        <v>40</v>
      </c>
      <c r="H34" s="65" t="s">
        <v>41</v>
      </c>
      <c r="I34" s="65" t="s">
        <v>39</v>
      </c>
    </row>
    <row r="35" spans="1:9" x14ac:dyDescent="0.2">
      <c r="A35" s="32" t="s">
        <v>3</v>
      </c>
      <c r="B35" s="59" t="e">
        <f>#REF!</f>
        <v>#REF!</v>
      </c>
      <c r="C35" s="59" t="e">
        <f>#REF!</f>
        <v>#REF!</v>
      </c>
      <c r="D35" s="59" t="e">
        <f>#REF!</f>
        <v>#REF!</v>
      </c>
      <c r="E35" s="59" t="e">
        <f>#REF!</f>
        <v>#REF!</v>
      </c>
      <c r="F35" s="59" t="e">
        <f>SUM(B35:E35)</f>
        <v>#REF!</v>
      </c>
      <c r="G35" s="60" t="e">
        <f>#REF!</f>
        <v>#REF!</v>
      </c>
      <c r="H35" s="61" t="e">
        <f>SUM(#REF!)</f>
        <v>#REF!</v>
      </c>
      <c r="I35" s="61" t="e">
        <f>G35-H35</f>
        <v>#REF!</v>
      </c>
    </row>
    <row r="36" spans="1:9" x14ac:dyDescent="0.2">
      <c r="A36" s="32" t="s">
        <v>5</v>
      </c>
      <c r="B36" s="59" t="e">
        <f>#REF!+#REF!</f>
        <v>#REF!</v>
      </c>
      <c r="C36" s="59" t="e">
        <f>#REF!+#REF!</f>
        <v>#REF!</v>
      </c>
      <c r="D36" s="59" t="e">
        <f>#REF!+#REF!</f>
        <v>#REF!</v>
      </c>
      <c r="E36" s="59" t="e">
        <f>#REF!+#REF!</f>
        <v>#REF!</v>
      </c>
      <c r="F36" s="81" t="e">
        <f>SUM(B36:E36)</f>
        <v>#REF!</v>
      </c>
    </row>
    <row r="37" spans="1:9" x14ac:dyDescent="0.2">
      <c r="A37" s="32" t="s">
        <v>4</v>
      </c>
      <c r="B37" s="59" t="e">
        <f>#REF!+#REF!</f>
        <v>#REF!</v>
      </c>
      <c r="C37" s="59" t="e">
        <f>#REF!+#REF!</f>
        <v>#REF!</v>
      </c>
      <c r="D37" s="59" t="e">
        <f>#REF!+#REF!</f>
        <v>#REF!</v>
      </c>
      <c r="E37" s="59" t="e">
        <f>#REF!+#REF!</f>
        <v>#REF!</v>
      </c>
      <c r="F37" s="81" t="e">
        <f>SUM(B37:E37)</f>
        <v>#REF!</v>
      </c>
    </row>
    <row r="38" spans="1:9" x14ac:dyDescent="0.2">
      <c r="A38" s="32" t="s">
        <v>6</v>
      </c>
      <c r="B38" s="59" t="e">
        <f>SUM(#REF!+#REF!)+(#REF!+#REF!)</f>
        <v>#REF!</v>
      </c>
      <c r="C38" s="59" t="e">
        <f>SUM(#REF!+#REF!)+(#REF!+#REF!)</f>
        <v>#REF!</v>
      </c>
      <c r="D38" s="59" t="e">
        <f>SUM(#REF!+#REF!)+(#REF!+#REF!)</f>
        <v>#REF!</v>
      </c>
      <c r="E38" s="59" t="e">
        <f>SUM(#REF!+#REF!)+(#REF!+#REF!)</f>
        <v>#REF!</v>
      </c>
      <c r="F38" s="59" t="e">
        <f>SUM(B38:E38)</f>
        <v>#REF!</v>
      </c>
    </row>
    <row r="39" spans="1:9" x14ac:dyDescent="0.2">
      <c r="A39" s="15"/>
      <c r="B39" s="59"/>
      <c r="C39" s="59"/>
      <c r="D39" s="59"/>
      <c r="E39" s="59"/>
      <c r="F39" s="59"/>
      <c r="G39" s="67"/>
      <c r="H39" s="67"/>
      <c r="I39" s="67"/>
    </row>
    <row r="40" spans="1:9" x14ac:dyDescent="0.2">
      <c r="A40" s="45" t="s">
        <v>53</v>
      </c>
      <c r="B40" s="65" t="s">
        <v>35</v>
      </c>
      <c r="C40" s="65" t="s">
        <v>36</v>
      </c>
      <c r="D40" s="65" t="s">
        <v>37</v>
      </c>
      <c r="E40" s="65" t="s">
        <v>38</v>
      </c>
      <c r="F40" s="65" t="s">
        <v>0</v>
      </c>
      <c r="G40" s="68" t="s">
        <v>40</v>
      </c>
      <c r="H40" s="65" t="s">
        <v>41</v>
      </c>
      <c r="I40" s="65" t="s">
        <v>39</v>
      </c>
    </row>
    <row r="41" spans="1:9" x14ac:dyDescent="0.2">
      <c r="A41" s="32" t="s">
        <v>3</v>
      </c>
      <c r="B41" s="59" t="e">
        <f>#REF!</f>
        <v>#REF!</v>
      </c>
      <c r="C41" s="59" t="e">
        <f>#REF!</f>
        <v>#REF!</v>
      </c>
      <c r="D41" s="59" t="e">
        <f>#REF!</f>
        <v>#REF!</v>
      </c>
      <c r="E41" s="59" t="e">
        <f>#REF!</f>
        <v>#REF!</v>
      </c>
      <c r="F41" s="59" t="e">
        <f>SUM(B41:E41)</f>
        <v>#REF!</v>
      </c>
      <c r="G41" s="60" t="e">
        <f>#REF!</f>
        <v>#REF!</v>
      </c>
      <c r="H41" s="61" t="e">
        <f>SUM(#REF!)</f>
        <v>#REF!</v>
      </c>
      <c r="I41" s="61" t="e">
        <f>G41-H41</f>
        <v>#REF!</v>
      </c>
    </row>
    <row r="42" spans="1:9" x14ac:dyDescent="0.2">
      <c r="A42" s="32" t="s">
        <v>5</v>
      </c>
      <c r="B42" s="59" t="e">
        <f>#REF!+#REF!</f>
        <v>#REF!</v>
      </c>
      <c r="C42" s="59" t="e">
        <f>#REF!+#REF!</f>
        <v>#REF!</v>
      </c>
      <c r="D42" s="59" t="e">
        <f>#REF!+#REF!</f>
        <v>#REF!</v>
      </c>
      <c r="E42" s="59" t="e">
        <f>#REF!+#REF!</f>
        <v>#REF!</v>
      </c>
      <c r="F42" s="81" t="e">
        <f>SUM(B42:E42)</f>
        <v>#REF!</v>
      </c>
    </row>
    <row r="43" spans="1:9" x14ac:dyDescent="0.2">
      <c r="A43" s="32" t="s">
        <v>4</v>
      </c>
      <c r="B43" s="59" t="e">
        <f>#REF!</f>
        <v>#REF!</v>
      </c>
      <c r="C43" s="59" t="e">
        <f>#REF!</f>
        <v>#REF!</v>
      </c>
      <c r="D43" s="59">
        <v>0</v>
      </c>
      <c r="E43" s="59">
        <v>0</v>
      </c>
      <c r="F43" s="81" t="e">
        <f>SUM(B43:E43)</f>
        <v>#REF!</v>
      </c>
    </row>
    <row r="44" spans="1:9" x14ac:dyDescent="0.2">
      <c r="A44" s="32" t="s">
        <v>6</v>
      </c>
      <c r="B44" s="59" t="e">
        <f>#REF!</f>
        <v>#REF!</v>
      </c>
      <c r="C44" s="59" t="e">
        <f>#REF!</f>
        <v>#REF!</v>
      </c>
      <c r="D44" s="59" t="e">
        <f>#REF!</f>
        <v>#REF!</v>
      </c>
      <c r="E44" s="59" t="e">
        <f>#REF!</f>
        <v>#REF!</v>
      </c>
      <c r="F44" s="59" t="e">
        <f>SUM(B44:E44)</f>
        <v>#REF!</v>
      </c>
    </row>
    <row r="45" spans="1:9" x14ac:dyDescent="0.2">
      <c r="A45" s="34"/>
      <c r="B45" s="80"/>
      <c r="C45" s="80"/>
      <c r="D45" s="80"/>
      <c r="E45" s="80"/>
      <c r="F45" s="80"/>
    </row>
    <row r="46" spans="1:9" ht="14.25" x14ac:dyDescent="0.2">
      <c r="A46" s="45" t="s">
        <v>61</v>
      </c>
      <c r="B46" s="65" t="s">
        <v>35</v>
      </c>
      <c r="C46" s="65" t="s">
        <v>36</v>
      </c>
      <c r="D46" s="65" t="s">
        <v>37</v>
      </c>
      <c r="E46" s="65" t="s">
        <v>38</v>
      </c>
      <c r="F46" s="65" t="s">
        <v>0</v>
      </c>
      <c r="G46" s="68" t="s">
        <v>40</v>
      </c>
      <c r="H46" s="65" t="s">
        <v>41</v>
      </c>
      <c r="I46" s="65" t="s">
        <v>39</v>
      </c>
    </row>
    <row r="47" spans="1:9" x14ac:dyDescent="0.2">
      <c r="A47" s="32" t="s">
        <v>3</v>
      </c>
      <c r="B47" s="59">
        <v>0</v>
      </c>
      <c r="C47" s="59" t="e">
        <f>#REF!</f>
        <v>#REF!</v>
      </c>
      <c r="D47" s="59" t="e">
        <f>#REF!</f>
        <v>#REF!</v>
      </c>
      <c r="E47" s="59" t="e">
        <f>#REF!</f>
        <v>#REF!</v>
      </c>
      <c r="F47" s="59" t="e">
        <f>SUM(B47:E47)</f>
        <v>#REF!</v>
      </c>
      <c r="G47" s="60" t="e">
        <f>#REF!</f>
        <v>#REF!</v>
      </c>
      <c r="H47" s="61" t="e">
        <f>SUM(#REF!)</f>
        <v>#REF!</v>
      </c>
      <c r="I47" s="61" t="e">
        <f>G47-H47</f>
        <v>#REF!</v>
      </c>
    </row>
    <row r="48" spans="1:9" x14ac:dyDescent="0.2">
      <c r="A48" s="32" t="s">
        <v>5</v>
      </c>
      <c r="B48" s="59">
        <v>0</v>
      </c>
      <c r="C48" s="59" t="e">
        <f>#REF!</f>
        <v>#REF!</v>
      </c>
      <c r="D48" s="59" t="e">
        <f>#REF!</f>
        <v>#REF!</v>
      </c>
      <c r="E48" s="59" t="e">
        <f>#REF!</f>
        <v>#REF!</v>
      </c>
      <c r="F48" s="81" t="e">
        <f>SUM(B48:E48)</f>
        <v>#REF!</v>
      </c>
    </row>
    <row r="49" spans="1:9" x14ac:dyDescent="0.2">
      <c r="A49" s="32" t="s">
        <v>4</v>
      </c>
      <c r="B49" s="59">
        <v>0</v>
      </c>
      <c r="C49" s="59" t="e">
        <f>#REF!</f>
        <v>#REF!</v>
      </c>
      <c r="D49" s="59" t="e">
        <f>#REF!</f>
        <v>#REF!</v>
      </c>
      <c r="E49" s="59" t="e">
        <f>#REF!</f>
        <v>#REF!</v>
      </c>
      <c r="F49" s="81" t="e">
        <f>SUM(B49:E49)</f>
        <v>#REF!</v>
      </c>
    </row>
    <row r="50" spans="1:9" x14ac:dyDescent="0.2">
      <c r="A50" s="32" t="s">
        <v>6</v>
      </c>
      <c r="B50" s="59">
        <v>0</v>
      </c>
      <c r="C50" s="59" t="e">
        <f>#REF!+#REF!</f>
        <v>#REF!</v>
      </c>
      <c r="D50" s="59" t="e">
        <f>#REF!+#REF!</f>
        <v>#REF!</v>
      </c>
      <c r="E50" s="59" t="e">
        <f>#REF!+#REF!</f>
        <v>#REF!</v>
      </c>
      <c r="F50" s="59" t="e">
        <f>SUM(B50:E50)</f>
        <v>#REF!</v>
      </c>
    </row>
    <row r="51" spans="1:9" x14ac:dyDescent="0.2">
      <c r="A51" s="46"/>
      <c r="B51" s="59"/>
      <c r="C51" s="59"/>
      <c r="D51" s="59"/>
      <c r="E51" s="59"/>
      <c r="F51" s="76"/>
      <c r="G51" s="67"/>
      <c r="H51" s="67"/>
      <c r="I51" s="67"/>
    </row>
    <row r="52" spans="1:9" ht="14.25" x14ac:dyDescent="0.2">
      <c r="A52" s="45" t="s">
        <v>63</v>
      </c>
      <c r="B52" s="65" t="s">
        <v>35</v>
      </c>
      <c r="C52" s="65" t="s">
        <v>36</v>
      </c>
      <c r="D52" s="65" t="s">
        <v>37</v>
      </c>
      <c r="E52" s="65" t="s">
        <v>38</v>
      </c>
      <c r="F52" s="65" t="s">
        <v>0</v>
      </c>
      <c r="G52" s="68" t="s">
        <v>40</v>
      </c>
      <c r="H52" s="65" t="s">
        <v>41</v>
      </c>
      <c r="I52" s="65" t="s">
        <v>39</v>
      </c>
    </row>
    <row r="53" spans="1:9" x14ac:dyDescent="0.2">
      <c r="A53" s="32" t="s">
        <v>3</v>
      </c>
      <c r="B53" s="59" t="e">
        <f>#REF!</f>
        <v>#REF!</v>
      </c>
      <c r="C53" s="59" t="e">
        <f>#REF!</f>
        <v>#REF!</v>
      </c>
      <c r="D53" s="59" t="e">
        <f>#REF!</f>
        <v>#REF!</v>
      </c>
      <c r="E53" s="59" t="e">
        <f>#REF!</f>
        <v>#REF!</v>
      </c>
      <c r="F53" s="59" t="e">
        <f>SUM(B53:E53)</f>
        <v>#REF!</v>
      </c>
      <c r="G53" s="60" t="e">
        <f>#REF!</f>
        <v>#REF!</v>
      </c>
      <c r="H53" s="61" t="e">
        <f>SUM(#REF!)</f>
        <v>#REF!</v>
      </c>
      <c r="I53" s="61" t="e">
        <f>G53-H53</f>
        <v>#REF!</v>
      </c>
    </row>
    <row r="54" spans="1:9" x14ac:dyDescent="0.2">
      <c r="A54" s="32" t="s">
        <v>5</v>
      </c>
      <c r="B54" s="59" t="e">
        <f>#REF!</f>
        <v>#REF!</v>
      </c>
      <c r="C54" s="59" t="e">
        <f>#REF!</f>
        <v>#REF!</v>
      </c>
      <c r="D54" s="59" t="e">
        <f>#REF!</f>
        <v>#REF!</v>
      </c>
      <c r="E54" s="59" t="e">
        <f>#REF!</f>
        <v>#REF!</v>
      </c>
      <c r="F54" s="59" t="e">
        <f>SUM(B54:E54)</f>
        <v>#REF!</v>
      </c>
    </row>
    <row r="55" spans="1:9" x14ac:dyDescent="0.2">
      <c r="A55" s="32" t="s">
        <v>4</v>
      </c>
      <c r="B55" s="59">
        <v>0</v>
      </c>
      <c r="C55" s="59">
        <v>0</v>
      </c>
      <c r="D55" s="59">
        <v>0</v>
      </c>
      <c r="E55" s="59">
        <v>0</v>
      </c>
      <c r="F55" s="59">
        <f>SUM(B55:E55)</f>
        <v>0</v>
      </c>
    </row>
    <row r="56" spans="1:9" x14ac:dyDescent="0.2">
      <c r="A56" s="32" t="s">
        <v>6</v>
      </c>
      <c r="B56" s="59">
        <v>0</v>
      </c>
      <c r="C56" s="59">
        <v>0</v>
      </c>
      <c r="D56" s="59">
        <v>0</v>
      </c>
      <c r="E56" s="59">
        <v>0</v>
      </c>
      <c r="F56" s="59">
        <f>SUM(B56:E56)</f>
        <v>0</v>
      </c>
    </row>
    <row r="57" spans="1:9" x14ac:dyDescent="0.2">
      <c r="A57" s="15"/>
      <c r="B57" s="59"/>
      <c r="C57" s="59"/>
      <c r="D57" s="59"/>
      <c r="E57" s="59"/>
      <c r="F57" s="59"/>
      <c r="G57" s="67"/>
      <c r="H57" s="67"/>
      <c r="I57" s="67"/>
    </row>
    <row r="58" spans="1:9" x14ac:dyDescent="0.2">
      <c r="A58" s="7" t="s">
        <v>2</v>
      </c>
      <c r="B58" s="65" t="s">
        <v>35</v>
      </c>
      <c r="C58" s="65" t="s">
        <v>36</v>
      </c>
      <c r="D58" s="65" t="s">
        <v>37</v>
      </c>
      <c r="E58" s="65" t="s">
        <v>38</v>
      </c>
      <c r="F58" s="65" t="s">
        <v>0</v>
      </c>
      <c r="G58" s="68" t="s">
        <v>40</v>
      </c>
      <c r="H58" s="65" t="s">
        <v>41</v>
      </c>
      <c r="I58" s="65" t="s">
        <v>39</v>
      </c>
    </row>
    <row r="59" spans="1:9" x14ac:dyDescent="0.2">
      <c r="A59" s="32" t="s">
        <v>3</v>
      </c>
      <c r="B59" s="74" t="e">
        <f t="shared" ref="B59:E62" si="0">B53++B47+B41+B35+B29+B23+B17+B11+B5</f>
        <v>#REF!</v>
      </c>
      <c r="C59" s="74" t="e">
        <f t="shared" si="0"/>
        <v>#REF!</v>
      </c>
      <c r="D59" s="74" t="e">
        <f t="shared" si="0"/>
        <v>#REF!</v>
      </c>
      <c r="E59" s="74" t="e">
        <f t="shared" si="0"/>
        <v>#REF!</v>
      </c>
      <c r="F59" s="74" t="e">
        <f>SUM(B59:E59)</f>
        <v>#REF!</v>
      </c>
      <c r="G59" s="70" t="e">
        <f>G53+G47+G41+G35+G29+G23+G17+G11+G5</f>
        <v>#REF!</v>
      </c>
      <c r="H59" s="70" t="e">
        <f>H53+H47+H41+H35+H29+H23+H17+H11+H5</f>
        <v>#REF!</v>
      </c>
      <c r="I59" s="70" t="e">
        <f>G59-H59</f>
        <v>#REF!</v>
      </c>
    </row>
    <row r="60" spans="1:9" x14ac:dyDescent="0.2">
      <c r="A60" s="32" t="s">
        <v>5</v>
      </c>
      <c r="B60" s="74" t="e">
        <f t="shared" si="0"/>
        <v>#REF!</v>
      </c>
      <c r="C60" s="74" t="e">
        <f t="shared" si="0"/>
        <v>#REF!</v>
      </c>
      <c r="D60" s="74" t="e">
        <f t="shared" si="0"/>
        <v>#REF!</v>
      </c>
      <c r="E60" s="74" t="e">
        <f t="shared" si="0"/>
        <v>#REF!</v>
      </c>
      <c r="F60" s="74" t="e">
        <f>SUM(B60:E60)</f>
        <v>#REF!</v>
      </c>
      <c r="G60" s="85"/>
      <c r="H60" s="85"/>
    </row>
    <row r="61" spans="1:9" x14ac:dyDescent="0.2">
      <c r="A61" s="32" t="s">
        <v>4</v>
      </c>
      <c r="B61" s="74" t="e">
        <f t="shared" si="0"/>
        <v>#REF!</v>
      </c>
      <c r="C61" s="74" t="e">
        <f t="shared" si="0"/>
        <v>#REF!</v>
      </c>
      <c r="D61" s="74" t="e">
        <f t="shared" si="0"/>
        <v>#REF!</v>
      </c>
      <c r="E61" s="74" t="e">
        <f t="shared" si="0"/>
        <v>#REF!</v>
      </c>
      <c r="F61" s="74" t="e">
        <f>SUM(B61:E61)</f>
        <v>#REF!</v>
      </c>
    </row>
    <row r="62" spans="1:9" x14ac:dyDescent="0.2">
      <c r="A62" s="32" t="s">
        <v>6</v>
      </c>
      <c r="B62" s="74" t="e">
        <f t="shared" si="0"/>
        <v>#REF!</v>
      </c>
      <c r="C62" s="74" t="e">
        <f t="shared" si="0"/>
        <v>#REF!</v>
      </c>
      <c r="D62" s="74" t="e">
        <f t="shared" si="0"/>
        <v>#REF!</v>
      </c>
      <c r="E62" s="74" t="e">
        <f t="shared" si="0"/>
        <v>#REF!</v>
      </c>
      <c r="F62" s="74" t="e">
        <f>SUM(B62:E62)</f>
        <v>#REF!</v>
      </c>
    </row>
    <row r="63" spans="1:9" x14ac:dyDescent="0.2">
      <c r="A63" s="24"/>
    </row>
    <row r="64" spans="1:9" x14ac:dyDescent="0.2">
      <c r="A64" s="20" t="s">
        <v>31</v>
      </c>
    </row>
    <row r="65" spans="1:9" x14ac:dyDescent="0.2">
      <c r="A65" s="294" t="s">
        <v>19</v>
      </c>
      <c r="B65" s="294"/>
      <c r="C65" s="294"/>
      <c r="D65" s="294"/>
      <c r="E65" s="294"/>
      <c r="F65" s="294"/>
      <c r="G65" s="294"/>
      <c r="H65" s="294"/>
      <c r="I65" s="294"/>
    </row>
    <row r="66" spans="1:9" x14ac:dyDescent="0.2">
      <c r="A66" s="291" t="s">
        <v>20</v>
      </c>
      <c r="B66" s="291"/>
      <c r="C66" s="291"/>
      <c r="D66" s="291"/>
      <c r="E66" s="291"/>
      <c r="F66" s="291"/>
      <c r="G66" s="291"/>
      <c r="H66" s="291"/>
      <c r="I66" s="291"/>
    </row>
    <row r="67" spans="1:9" x14ac:dyDescent="0.2">
      <c r="A67" s="294" t="s">
        <v>21</v>
      </c>
      <c r="B67" s="294"/>
      <c r="C67" s="294"/>
      <c r="D67" s="294"/>
      <c r="E67" s="294"/>
      <c r="F67" s="294"/>
      <c r="G67" s="294"/>
      <c r="H67" s="294"/>
      <c r="I67" s="294"/>
    </row>
    <row r="68" spans="1:9" ht="25.5" customHeight="1" x14ac:dyDescent="0.2">
      <c r="A68" s="291" t="s">
        <v>22</v>
      </c>
      <c r="B68" s="291"/>
      <c r="C68" s="291"/>
      <c r="D68" s="291"/>
      <c r="E68" s="291"/>
      <c r="F68" s="291"/>
      <c r="G68" s="291"/>
      <c r="H68" s="291"/>
      <c r="I68" s="291"/>
    </row>
    <row r="69" spans="1:9" s="8" customFormat="1" ht="27" customHeight="1" x14ac:dyDescent="0.2">
      <c r="A69" s="289" t="s">
        <v>23</v>
      </c>
      <c r="B69" s="289"/>
      <c r="C69" s="289"/>
      <c r="D69" s="289"/>
      <c r="E69" s="289"/>
      <c r="F69" s="289"/>
      <c r="G69" s="289"/>
      <c r="H69" s="289"/>
      <c r="I69" s="289"/>
    </row>
    <row r="70" spans="1:9" x14ac:dyDescent="0.2">
      <c r="A70" s="289" t="s">
        <v>58</v>
      </c>
      <c r="B70" s="289"/>
      <c r="C70" s="289"/>
      <c r="D70" s="289"/>
      <c r="E70" s="289"/>
      <c r="F70" s="289"/>
      <c r="G70" s="289"/>
      <c r="H70" s="289"/>
      <c r="I70" s="289"/>
    </row>
    <row r="71" spans="1:9" ht="25.5" customHeight="1" x14ac:dyDescent="0.2">
      <c r="A71" s="289" t="s">
        <v>34</v>
      </c>
      <c r="B71" s="289"/>
      <c r="C71" s="289"/>
      <c r="D71" s="289"/>
      <c r="E71" s="289"/>
      <c r="F71" s="289"/>
      <c r="G71" s="289"/>
      <c r="H71" s="289"/>
      <c r="I71" s="289"/>
    </row>
    <row r="72" spans="1:9" x14ac:dyDescent="0.2">
      <c r="A72" s="290" t="s">
        <v>30</v>
      </c>
      <c r="B72" s="290"/>
      <c r="C72" s="290"/>
      <c r="D72" s="290"/>
      <c r="E72" s="290"/>
      <c r="F72" s="290"/>
      <c r="G72" s="290"/>
      <c r="H72" s="290"/>
      <c r="I72" s="290"/>
    </row>
    <row r="74" spans="1:9" ht="14.25" x14ac:dyDescent="0.2">
      <c r="A74" s="39" t="s">
        <v>62</v>
      </c>
    </row>
  </sheetData>
  <mergeCells count="9">
    <mergeCell ref="A72:I72"/>
    <mergeCell ref="A69:I69"/>
    <mergeCell ref="A68:I68"/>
    <mergeCell ref="A1:F1"/>
    <mergeCell ref="A66:I66"/>
    <mergeCell ref="A65:I65"/>
    <mergeCell ref="A70:I70"/>
    <mergeCell ref="A67:I67"/>
    <mergeCell ref="A71:I71"/>
  </mergeCells>
  <phoneticPr fontId="3" type="noConversion"/>
  <printOptions horizontalCentered="1"/>
  <pageMargins left="0.5" right="0.5" top="1" bottom="0.89" header="0.5" footer="0.5"/>
  <pageSetup scale="62" orientation="portrait" r:id="rId1"/>
  <headerFooter alignWithMargins="0">
    <oddFooter>Page &amp;P of &amp;N</oddFooter>
  </headerFooter>
  <rowBreaks count="1" manualBreakCount="1">
    <brk id="20" max="8"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tabColor theme="0" tint="-4.9989318521683403E-2"/>
    <pageSetUpPr fitToPage="1"/>
  </sheetPr>
  <dimension ref="A1:L89"/>
  <sheetViews>
    <sheetView view="pageBreakPreview" topLeftCell="A31" zoomScale="85" zoomScaleNormal="100" zoomScaleSheetLayoutView="85" workbookViewId="0">
      <selection activeCell="G46" sqref="G46"/>
    </sheetView>
  </sheetViews>
  <sheetFormatPr defaultRowHeight="12.75" x14ac:dyDescent="0.2"/>
  <cols>
    <col min="1" max="1" width="33.140625" bestFit="1" customWidth="1"/>
    <col min="2" max="5" width="14"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9" s="38" customFormat="1" ht="15.75" x14ac:dyDescent="0.25">
      <c r="A1" s="292" t="s">
        <v>73</v>
      </c>
      <c r="B1" s="293"/>
      <c r="C1" s="293"/>
      <c r="D1" s="293"/>
      <c r="E1" s="293"/>
      <c r="F1" s="293"/>
      <c r="G1" s="66"/>
      <c r="H1" s="66"/>
      <c r="I1" s="66"/>
    </row>
    <row r="2" spans="1:9" x14ac:dyDescent="0.2">
      <c r="A2" s="18"/>
      <c r="B2" s="67"/>
      <c r="C2" s="67"/>
      <c r="D2" s="67"/>
      <c r="E2" s="67"/>
      <c r="F2" s="67"/>
      <c r="G2" s="67"/>
      <c r="H2" s="67"/>
      <c r="I2" s="67"/>
    </row>
    <row r="3" spans="1:9" x14ac:dyDescent="0.2">
      <c r="A3" s="45" t="s">
        <v>49</v>
      </c>
      <c r="B3" s="65" t="s">
        <v>35</v>
      </c>
      <c r="C3" s="65" t="s">
        <v>36</v>
      </c>
      <c r="D3" s="65" t="s">
        <v>37</v>
      </c>
      <c r="E3" s="65" t="s">
        <v>38</v>
      </c>
      <c r="F3" s="65" t="s">
        <v>0</v>
      </c>
      <c r="G3" s="68" t="s">
        <v>40</v>
      </c>
      <c r="H3" s="65" t="s">
        <v>41</v>
      </c>
      <c r="I3" s="65" t="s">
        <v>39</v>
      </c>
    </row>
    <row r="4" spans="1:9" x14ac:dyDescent="0.2">
      <c r="A4" s="36" t="s">
        <v>3</v>
      </c>
      <c r="B4" s="59" t="e">
        <f>#REF!</f>
        <v>#REF!</v>
      </c>
      <c r="C4" s="59" t="e">
        <f>#REF!</f>
        <v>#REF!</v>
      </c>
      <c r="D4" s="59" t="e">
        <f>#REF!</f>
        <v>#REF!</v>
      </c>
      <c r="E4" s="59" t="e">
        <f>#REF!</f>
        <v>#REF!</v>
      </c>
      <c r="F4" s="59" t="e">
        <f>SUM(B4:E4)</f>
        <v>#REF!</v>
      </c>
      <c r="G4" s="60" t="e">
        <f>#REF!</f>
        <v>#REF!</v>
      </c>
      <c r="H4" s="61" t="e">
        <f>SUM(#REF!)</f>
        <v>#REF!</v>
      </c>
      <c r="I4" s="61" t="e">
        <f>G4-H4</f>
        <v>#REF!</v>
      </c>
    </row>
    <row r="5" spans="1:9" x14ac:dyDescent="0.2">
      <c r="A5" s="36" t="s">
        <v>5</v>
      </c>
      <c r="B5" s="59" t="e">
        <f>#REF!+#REF!</f>
        <v>#REF!</v>
      </c>
      <c r="C5" s="59" t="e">
        <f>#REF!+#REF!</f>
        <v>#REF!</v>
      </c>
      <c r="D5" s="59" t="e">
        <f>#REF!+#REF!</f>
        <v>#REF!</v>
      </c>
      <c r="E5" s="59">
        <v>0</v>
      </c>
      <c r="F5" s="59" t="e">
        <f>SUM(B5:E5)</f>
        <v>#REF!</v>
      </c>
    </row>
    <row r="6" spans="1:9" x14ac:dyDescent="0.2">
      <c r="A6" s="36" t="s">
        <v>4</v>
      </c>
      <c r="B6" s="59" t="e">
        <f>#REF!</f>
        <v>#REF!</v>
      </c>
      <c r="C6" s="59" t="e">
        <f>#REF!</f>
        <v>#REF!</v>
      </c>
      <c r="D6" s="59">
        <v>0</v>
      </c>
      <c r="E6" s="59">
        <v>0</v>
      </c>
      <c r="F6" s="59" t="e">
        <f>SUM(B6:E6)</f>
        <v>#REF!</v>
      </c>
    </row>
    <row r="7" spans="1:9" x14ac:dyDescent="0.2">
      <c r="A7" s="36" t="s">
        <v>6</v>
      </c>
      <c r="B7" s="59" t="e">
        <f>#REF!+#REF!</f>
        <v>#REF!</v>
      </c>
      <c r="C7" s="59" t="e">
        <f>#REF!+#REF!</f>
        <v>#REF!</v>
      </c>
      <c r="D7" s="59">
        <v>0</v>
      </c>
      <c r="E7" s="59">
        <v>0</v>
      </c>
      <c r="F7" s="59" t="e">
        <f>SUM(B7:E7)</f>
        <v>#REF!</v>
      </c>
    </row>
    <row r="8" spans="1:9" x14ac:dyDescent="0.2">
      <c r="A8" s="36"/>
      <c r="B8" s="86"/>
      <c r="C8" s="86"/>
      <c r="D8" s="86"/>
      <c r="E8" s="86"/>
      <c r="F8" s="86"/>
      <c r="G8" s="87"/>
      <c r="H8" s="87"/>
      <c r="I8" s="87"/>
    </row>
    <row r="9" spans="1:9" x14ac:dyDescent="0.2">
      <c r="A9" s="45" t="s">
        <v>50</v>
      </c>
      <c r="B9" s="65" t="s">
        <v>35</v>
      </c>
      <c r="C9" s="65" t="s">
        <v>36</v>
      </c>
      <c r="D9" s="65" t="s">
        <v>37</v>
      </c>
      <c r="E9" s="65" t="s">
        <v>38</v>
      </c>
      <c r="F9" s="65" t="s">
        <v>0</v>
      </c>
      <c r="G9" s="68" t="s">
        <v>40</v>
      </c>
      <c r="H9" s="65" t="s">
        <v>41</v>
      </c>
      <c r="I9" s="65" t="s">
        <v>39</v>
      </c>
    </row>
    <row r="10" spans="1:9" x14ac:dyDescent="0.2">
      <c r="A10" s="36" t="s">
        <v>3</v>
      </c>
      <c r="B10" s="59" t="e">
        <f>#REF!</f>
        <v>#REF!</v>
      </c>
      <c r="C10" s="59" t="e">
        <f>#REF!</f>
        <v>#REF!</v>
      </c>
      <c r="D10" s="59" t="e">
        <f>#REF!</f>
        <v>#REF!</v>
      </c>
      <c r="E10" s="59" t="e">
        <f>#REF!</f>
        <v>#REF!</v>
      </c>
      <c r="F10" s="59" t="e">
        <f>SUM(B10:E10)</f>
        <v>#REF!</v>
      </c>
      <c r="G10" s="60" t="e">
        <f>#REF!</f>
        <v>#REF!</v>
      </c>
      <c r="H10" s="61" t="e">
        <f>SUM(#REF!)</f>
        <v>#REF!</v>
      </c>
      <c r="I10" s="61" t="e">
        <f>G10-H10</f>
        <v>#REF!</v>
      </c>
    </row>
    <row r="11" spans="1:9" x14ac:dyDescent="0.2">
      <c r="A11" s="36" t="s">
        <v>5</v>
      </c>
      <c r="B11" s="59" t="e">
        <f>#REF!+#REF!</f>
        <v>#REF!</v>
      </c>
      <c r="C11" s="59" t="e">
        <f>#REF!+#REF!</f>
        <v>#REF!</v>
      </c>
      <c r="D11" s="59">
        <v>0</v>
      </c>
      <c r="E11" s="59">
        <v>0</v>
      </c>
      <c r="F11" s="59" t="e">
        <f>SUM(B11:E11)</f>
        <v>#REF!</v>
      </c>
    </row>
    <row r="12" spans="1:9" x14ac:dyDescent="0.2">
      <c r="A12" s="36" t="s">
        <v>4</v>
      </c>
      <c r="B12" s="59" t="e">
        <f>#REF!</f>
        <v>#REF!</v>
      </c>
      <c r="C12" s="59">
        <v>0</v>
      </c>
      <c r="D12" s="59">
        <v>0</v>
      </c>
      <c r="E12" s="59">
        <v>0</v>
      </c>
      <c r="F12" s="59" t="e">
        <f>SUM(B12:E12)</f>
        <v>#REF!</v>
      </c>
    </row>
    <row r="13" spans="1:9" x14ac:dyDescent="0.2">
      <c r="A13" s="36" t="s">
        <v>6</v>
      </c>
      <c r="B13" s="59" t="e">
        <f>#REF!+#REF!</f>
        <v>#REF!</v>
      </c>
      <c r="C13" s="59" t="e">
        <f>#REF!+#REF!</f>
        <v>#REF!</v>
      </c>
      <c r="D13" s="59">
        <v>0</v>
      </c>
      <c r="E13" s="59">
        <v>0</v>
      </c>
      <c r="F13" s="59" t="e">
        <f>SUM(B13:E13)</f>
        <v>#REF!</v>
      </c>
    </row>
    <row r="14" spans="1:9" x14ac:dyDescent="0.2">
      <c r="A14" s="47"/>
      <c r="B14" s="80"/>
      <c r="C14" s="80"/>
      <c r="D14" s="80"/>
      <c r="E14" s="80"/>
      <c r="F14" s="80"/>
    </row>
    <row r="15" spans="1:9" x14ac:dyDescent="0.2">
      <c r="A15" s="45" t="s">
        <v>52</v>
      </c>
      <c r="B15" s="65" t="s">
        <v>35</v>
      </c>
      <c r="C15" s="65" t="s">
        <v>36</v>
      </c>
      <c r="D15" s="65" t="s">
        <v>37</v>
      </c>
      <c r="E15" s="65" t="s">
        <v>38</v>
      </c>
      <c r="F15" s="65" t="s">
        <v>0</v>
      </c>
      <c r="G15" s="68" t="s">
        <v>40</v>
      </c>
      <c r="H15" s="65" t="s">
        <v>41</v>
      </c>
      <c r="I15" s="65" t="s">
        <v>39</v>
      </c>
    </row>
    <row r="16" spans="1:9" x14ac:dyDescent="0.2">
      <c r="A16" s="36" t="s">
        <v>3</v>
      </c>
      <c r="B16" s="59" t="e">
        <f>#REF!+#REF!</f>
        <v>#REF!</v>
      </c>
      <c r="C16" s="59" t="e">
        <f>#REF!+#REF!</f>
        <v>#REF!</v>
      </c>
      <c r="D16" s="59" t="e">
        <f>#REF!+#REF!</f>
        <v>#REF!</v>
      </c>
      <c r="E16" s="59" t="e">
        <f>#REF!+#REF!</f>
        <v>#REF!</v>
      </c>
      <c r="F16" s="59" t="e">
        <f>SUM(B16:E16)</f>
        <v>#REF!</v>
      </c>
      <c r="G16" s="60" t="e">
        <f>#REF!</f>
        <v>#REF!</v>
      </c>
      <c r="H16" s="61" t="e">
        <f>SUM(#REF!)+SUM(#REF!)</f>
        <v>#REF!</v>
      </c>
      <c r="I16" s="61" t="e">
        <f>G16-H16</f>
        <v>#REF!</v>
      </c>
    </row>
    <row r="17" spans="1:12" x14ac:dyDescent="0.2">
      <c r="A17" s="36" t="s">
        <v>5</v>
      </c>
      <c r="B17" s="59" t="e">
        <f>#REF!+#REF!+#REF!+#REF!</f>
        <v>#REF!</v>
      </c>
      <c r="C17" s="59" t="e">
        <f>#REF!+#REF!+#REF!+#REF!</f>
        <v>#REF!</v>
      </c>
      <c r="D17" s="59" t="e">
        <f>#REF!+#REF!+#REF!+#REF!</f>
        <v>#REF!</v>
      </c>
      <c r="E17" s="59" t="e">
        <f>#REF!+#REF!+#REF!+#REF!</f>
        <v>#REF!</v>
      </c>
      <c r="F17" s="59" t="e">
        <f>SUM(B17:E17)</f>
        <v>#REF!</v>
      </c>
    </row>
    <row r="18" spans="1:12" x14ac:dyDescent="0.2">
      <c r="A18" s="36" t="s">
        <v>4</v>
      </c>
      <c r="B18" s="59" t="e">
        <f>#REF!</f>
        <v>#REF!</v>
      </c>
      <c r="C18" s="59" t="e">
        <f>#REF!</f>
        <v>#REF!</v>
      </c>
      <c r="D18" s="59" t="e">
        <f>#REF!</f>
        <v>#REF!</v>
      </c>
      <c r="E18" s="59" t="e">
        <f>#REF!</f>
        <v>#REF!</v>
      </c>
      <c r="F18" s="59" t="e">
        <f>SUM(B18:E18)</f>
        <v>#REF!</v>
      </c>
    </row>
    <row r="19" spans="1:12" x14ac:dyDescent="0.2">
      <c r="A19" s="36" t="s">
        <v>6</v>
      </c>
      <c r="B19" s="59" t="e">
        <f>#REF!+#REF!</f>
        <v>#REF!</v>
      </c>
      <c r="C19" s="59" t="e">
        <f>#REF!+#REF!</f>
        <v>#REF!</v>
      </c>
      <c r="D19" s="59" t="e">
        <f>#REF!+#REF!</f>
        <v>#REF!</v>
      </c>
      <c r="E19" s="59" t="e">
        <f>#REF!+#REF!</f>
        <v>#REF!</v>
      </c>
      <c r="F19" s="59" t="e">
        <f>SUM(B19:E19)</f>
        <v>#REF!</v>
      </c>
    </row>
    <row r="20" spans="1:12" x14ac:dyDescent="0.2">
      <c r="A20" s="36"/>
      <c r="B20" s="82"/>
      <c r="C20" s="82"/>
      <c r="D20" s="82"/>
      <c r="E20" s="82"/>
      <c r="F20" s="82"/>
      <c r="G20" s="83"/>
      <c r="H20" s="83"/>
      <c r="I20" s="83"/>
    </row>
    <row r="21" spans="1:12" x14ac:dyDescent="0.2">
      <c r="A21" s="45" t="s">
        <v>54</v>
      </c>
      <c r="B21" s="65" t="s">
        <v>35</v>
      </c>
      <c r="C21" s="65" t="s">
        <v>36</v>
      </c>
      <c r="D21" s="65" t="s">
        <v>37</v>
      </c>
      <c r="E21" s="65" t="s">
        <v>38</v>
      </c>
      <c r="F21" s="65" t="s">
        <v>0</v>
      </c>
      <c r="G21" s="68" t="s">
        <v>40</v>
      </c>
      <c r="H21" s="65" t="s">
        <v>41</v>
      </c>
      <c r="I21" s="65" t="s">
        <v>39</v>
      </c>
    </row>
    <row r="22" spans="1:12" x14ac:dyDescent="0.2">
      <c r="A22" s="36" t="s">
        <v>3</v>
      </c>
      <c r="B22" s="74" t="e">
        <f>#REF!</f>
        <v>#REF!</v>
      </c>
      <c r="C22" s="74" t="e">
        <f>#REF!</f>
        <v>#REF!</v>
      </c>
      <c r="D22" s="74" t="e">
        <f>#REF!</f>
        <v>#REF!</v>
      </c>
      <c r="E22" s="74" t="e">
        <f>#REF!</f>
        <v>#REF!</v>
      </c>
      <c r="F22" s="74" t="e">
        <f>SUM(B22:E22)</f>
        <v>#REF!</v>
      </c>
      <c r="G22" s="70" t="e">
        <f>#REF!</f>
        <v>#REF!</v>
      </c>
      <c r="H22" s="77" t="e">
        <f>SUM(#REF!)</f>
        <v>#REF!</v>
      </c>
      <c r="I22" s="77" t="e">
        <f>G22-H22</f>
        <v>#REF!</v>
      </c>
    </row>
    <row r="23" spans="1:12" x14ac:dyDescent="0.2">
      <c r="A23" s="36" t="s">
        <v>5</v>
      </c>
      <c r="B23" s="74" t="e">
        <f>#REF!+#REF!</f>
        <v>#REF!</v>
      </c>
      <c r="C23" s="74" t="e">
        <f>#REF!+#REF!</f>
        <v>#REF!</v>
      </c>
      <c r="D23" s="74" t="e">
        <f>#REF!+#REF!</f>
        <v>#REF!</v>
      </c>
      <c r="E23" s="74" t="e">
        <f>#REF!+#REF!</f>
        <v>#REF!</v>
      </c>
      <c r="F23" s="84" t="e">
        <f>SUM(B23:E23)</f>
        <v>#REF!</v>
      </c>
    </row>
    <row r="24" spans="1:12" x14ac:dyDescent="0.2">
      <c r="A24" s="36" t="s">
        <v>4</v>
      </c>
      <c r="B24" s="74" t="e">
        <f>#REF!</f>
        <v>#REF!</v>
      </c>
      <c r="C24" s="74" t="e">
        <f>#REF!</f>
        <v>#REF!</v>
      </c>
      <c r="D24" s="74" t="e">
        <f>#REF!</f>
        <v>#REF!</v>
      </c>
      <c r="E24" s="74" t="e">
        <f>#REF!</f>
        <v>#REF!</v>
      </c>
      <c r="F24" s="84" t="e">
        <f>SUM(B24:E24)</f>
        <v>#REF!</v>
      </c>
    </row>
    <row r="25" spans="1:12" x14ac:dyDescent="0.2">
      <c r="A25" s="36" t="s">
        <v>6</v>
      </c>
      <c r="B25" s="74" t="e">
        <f>#REF!+#REF!</f>
        <v>#REF!</v>
      </c>
      <c r="C25" s="74" t="e">
        <f>#REF!+#REF!</f>
        <v>#REF!</v>
      </c>
      <c r="D25" s="74" t="e">
        <f>#REF!+#REF!</f>
        <v>#REF!</v>
      </c>
      <c r="E25" s="74" t="e">
        <f>#REF!+#REF!</f>
        <v>#REF!</v>
      </c>
      <c r="F25" s="74" t="e">
        <f>SUM(B25:E25)</f>
        <v>#REF!</v>
      </c>
    </row>
    <row r="26" spans="1:12" x14ac:dyDescent="0.2">
      <c r="A26" s="46"/>
      <c r="B26" s="59"/>
      <c r="C26" s="59"/>
      <c r="D26" s="59"/>
      <c r="E26" s="59"/>
      <c r="F26" s="59"/>
      <c r="G26" s="67"/>
      <c r="H26" s="67"/>
      <c r="I26" s="67"/>
      <c r="K26" t="s">
        <v>44</v>
      </c>
      <c r="L26" t="s">
        <v>45</v>
      </c>
    </row>
    <row r="27" spans="1:12" x14ac:dyDescent="0.2">
      <c r="A27" s="45" t="s">
        <v>55</v>
      </c>
      <c r="B27" s="65" t="s">
        <v>35</v>
      </c>
      <c r="C27" s="65" t="s">
        <v>36</v>
      </c>
      <c r="D27" s="65" t="s">
        <v>37</v>
      </c>
      <c r="E27" s="65" t="s">
        <v>38</v>
      </c>
      <c r="F27" s="65" t="s">
        <v>0</v>
      </c>
      <c r="G27" s="68" t="s">
        <v>40</v>
      </c>
      <c r="H27" s="65" t="s">
        <v>41</v>
      </c>
      <c r="I27" s="65" t="s">
        <v>39</v>
      </c>
      <c r="K27">
        <v>274364.05</v>
      </c>
      <c r="L27">
        <v>382795.32</v>
      </c>
    </row>
    <row r="28" spans="1:12" x14ac:dyDescent="0.2">
      <c r="A28" s="36" t="s">
        <v>3</v>
      </c>
      <c r="B28" s="59" t="e">
        <f>#REF!</f>
        <v>#REF!</v>
      </c>
      <c r="C28" s="59" t="e">
        <f>#REF!</f>
        <v>#REF!</v>
      </c>
      <c r="D28" s="59" t="e">
        <f>#REF!</f>
        <v>#REF!</v>
      </c>
      <c r="E28" s="59" t="e">
        <f>#REF!</f>
        <v>#REF!</v>
      </c>
      <c r="F28" s="59" t="e">
        <f>SUM(B28:E28)</f>
        <v>#REF!</v>
      </c>
      <c r="G28" s="60" t="e">
        <f>#REF!</f>
        <v>#REF!</v>
      </c>
      <c r="H28" s="61" t="e">
        <f>SUM(#REF!)</f>
        <v>#REF!</v>
      </c>
      <c r="I28" s="61" t="e">
        <f>G28-H28</f>
        <v>#REF!</v>
      </c>
      <c r="K28">
        <v>2524533</v>
      </c>
      <c r="L28">
        <v>3522252.62</v>
      </c>
    </row>
    <row r="29" spans="1:12" x14ac:dyDescent="0.2">
      <c r="A29" s="36" t="s">
        <v>5</v>
      </c>
      <c r="B29" s="59" t="e">
        <f>#REF!+#REF!</f>
        <v>#REF!</v>
      </c>
      <c r="C29" s="59" t="e">
        <f>#REF!+#REF!</f>
        <v>#REF!</v>
      </c>
      <c r="D29" s="59" t="e">
        <f>#REF!+#REF!</f>
        <v>#REF!</v>
      </c>
      <c r="E29" s="59" t="e">
        <f>#REF!+#REF!</f>
        <v>#REF!</v>
      </c>
      <c r="F29" s="81" t="e">
        <f>SUM(B29:E29)</f>
        <v>#REF!</v>
      </c>
      <c r="K29">
        <v>1730060.4</v>
      </c>
      <c r="L29">
        <v>2413796.83</v>
      </c>
    </row>
    <row r="30" spans="1:12" x14ac:dyDescent="0.2">
      <c r="A30" s="36" t="s">
        <v>4</v>
      </c>
      <c r="B30" s="59" t="e">
        <f>#REF!</f>
        <v>#REF!</v>
      </c>
      <c r="C30" s="59" t="e">
        <f>#REF!</f>
        <v>#REF!</v>
      </c>
      <c r="D30" s="59" t="e">
        <f>#REF!</f>
        <v>#REF!</v>
      </c>
      <c r="E30" s="59" t="e">
        <f>#REF!</f>
        <v>#REF!</v>
      </c>
      <c r="F30" s="81" t="e">
        <f>SUM(B30:E30)</f>
        <v>#REF!</v>
      </c>
    </row>
    <row r="31" spans="1:12" x14ac:dyDescent="0.2">
      <c r="A31" s="36" t="s">
        <v>6</v>
      </c>
      <c r="B31" s="59" t="e">
        <f>#REF!+#REF!</f>
        <v>#REF!</v>
      </c>
      <c r="C31" s="59" t="e">
        <f>#REF!+#REF!</f>
        <v>#REF!</v>
      </c>
      <c r="D31" s="59" t="e">
        <f>#REF!+#REF!</f>
        <v>#REF!</v>
      </c>
      <c r="E31" s="59" t="e">
        <f>#REF!+#REF!</f>
        <v>#REF!</v>
      </c>
      <c r="F31" s="59" t="e">
        <f>SUM(B31:E31)</f>
        <v>#REF!</v>
      </c>
      <c r="K31">
        <v>1036509.11</v>
      </c>
      <c r="L31">
        <v>1446147.46</v>
      </c>
    </row>
    <row r="32" spans="1:12" x14ac:dyDescent="0.2">
      <c r="A32" s="46"/>
      <c r="B32" s="59"/>
      <c r="C32" s="59"/>
      <c r="D32" s="59"/>
      <c r="E32" s="59"/>
      <c r="F32" s="59"/>
      <c r="G32" s="67"/>
      <c r="H32" s="67"/>
      <c r="I32" s="67"/>
      <c r="K32" s="31">
        <f>SUM(K27:K31)</f>
        <v>5565466.5599999996</v>
      </c>
      <c r="L32" s="31">
        <f>SUM(L27:L31)</f>
        <v>7764992.2299999995</v>
      </c>
    </row>
    <row r="33" spans="1:9" x14ac:dyDescent="0.2">
      <c r="A33" s="45" t="s">
        <v>56</v>
      </c>
      <c r="B33" s="65" t="s">
        <v>35</v>
      </c>
      <c r="C33" s="65" t="s">
        <v>36</v>
      </c>
      <c r="D33" s="65" t="s">
        <v>37</v>
      </c>
      <c r="E33" s="65" t="s">
        <v>38</v>
      </c>
      <c r="F33" s="65" t="s">
        <v>0</v>
      </c>
      <c r="G33" s="68" t="s">
        <v>40</v>
      </c>
      <c r="H33" s="65" t="s">
        <v>41</v>
      </c>
      <c r="I33" s="65" t="s">
        <v>39</v>
      </c>
    </row>
    <row r="34" spans="1:9" x14ac:dyDescent="0.2">
      <c r="A34" s="36" t="s">
        <v>3</v>
      </c>
      <c r="B34" s="59" t="e">
        <f>#REF!</f>
        <v>#REF!</v>
      </c>
      <c r="C34" s="59" t="e">
        <f>#REF!</f>
        <v>#REF!</v>
      </c>
      <c r="D34" s="59" t="e">
        <f>#REF!</f>
        <v>#REF!</v>
      </c>
      <c r="E34" s="59" t="e">
        <f>#REF!</f>
        <v>#REF!</v>
      </c>
      <c r="F34" s="59" t="e">
        <f>SUM(B34:E34)</f>
        <v>#REF!</v>
      </c>
      <c r="G34" s="60" t="e">
        <f>#REF!</f>
        <v>#REF!</v>
      </c>
      <c r="H34" s="61" t="e">
        <f>SUM(#REF!)</f>
        <v>#REF!</v>
      </c>
      <c r="I34" s="61" t="e">
        <f>G34-H34</f>
        <v>#REF!</v>
      </c>
    </row>
    <row r="35" spans="1:9" x14ac:dyDescent="0.2">
      <c r="A35" s="36" t="s">
        <v>5</v>
      </c>
      <c r="B35" s="59" t="e">
        <f>#REF!+#REF!</f>
        <v>#REF!</v>
      </c>
      <c r="C35" s="59" t="e">
        <f>#REF!+#REF!</f>
        <v>#REF!</v>
      </c>
      <c r="D35" s="59" t="e">
        <f>#REF!+#REF!</f>
        <v>#REF!</v>
      </c>
      <c r="E35" s="59" t="e">
        <f>#REF!+#REF!</f>
        <v>#REF!</v>
      </c>
      <c r="F35" s="81" t="e">
        <f>SUM(B35:E35)</f>
        <v>#REF!</v>
      </c>
    </row>
    <row r="36" spans="1:9" x14ac:dyDescent="0.2">
      <c r="A36" s="36" t="s">
        <v>4</v>
      </c>
      <c r="B36" s="59" t="e">
        <f>#REF!</f>
        <v>#REF!</v>
      </c>
      <c r="C36" s="59" t="e">
        <f>#REF!</f>
        <v>#REF!</v>
      </c>
      <c r="D36" s="59" t="e">
        <f>#REF!</f>
        <v>#REF!</v>
      </c>
      <c r="E36" s="59" t="e">
        <f>#REF!</f>
        <v>#REF!</v>
      </c>
      <c r="F36" s="81" t="e">
        <f>SUM(B36:E36)</f>
        <v>#REF!</v>
      </c>
    </row>
    <row r="37" spans="1:9" x14ac:dyDescent="0.2">
      <c r="A37" s="36" t="s">
        <v>6</v>
      </c>
      <c r="B37" s="59" t="e">
        <f>#REF!+#REF!</f>
        <v>#REF!</v>
      </c>
      <c r="C37" s="59" t="e">
        <f>#REF!+#REF!</f>
        <v>#REF!</v>
      </c>
      <c r="D37" s="59" t="e">
        <f>#REF!+#REF!</f>
        <v>#REF!</v>
      </c>
      <c r="E37" s="59" t="e">
        <f>#REF!+#REF!</f>
        <v>#REF!</v>
      </c>
      <c r="F37" s="59" t="e">
        <f>SUM(B37:E37)</f>
        <v>#REF!</v>
      </c>
    </row>
    <row r="38" spans="1:9" x14ac:dyDescent="0.2">
      <c r="A38" s="46"/>
      <c r="B38" s="59"/>
      <c r="C38" s="59"/>
      <c r="D38" s="59"/>
      <c r="E38" s="59"/>
      <c r="F38" s="59"/>
      <c r="G38" s="67"/>
      <c r="H38" s="67"/>
      <c r="I38" s="67"/>
    </row>
    <row r="39" spans="1:9" s="26" customFormat="1" x14ac:dyDescent="0.2">
      <c r="A39" s="45" t="s">
        <v>51</v>
      </c>
      <c r="B39" s="65" t="s">
        <v>35</v>
      </c>
      <c r="C39" s="65" t="s">
        <v>36</v>
      </c>
      <c r="D39" s="65" t="s">
        <v>37</v>
      </c>
      <c r="E39" s="65" t="s">
        <v>38</v>
      </c>
      <c r="F39" s="65" t="s">
        <v>0</v>
      </c>
      <c r="G39" s="68" t="s">
        <v>40</v>
      </c>
      <c r="H39" s="65" t="s">
        <v>41</v>
      </c>
      <c r="I39" s="65" t="s">
        <v>39</v>
      </c>
    </row>
    <row r="40" spans="1:9" s="26" customFormat="1" x14ac:dyDescent="0.2">
      <c r="A40" s="36" t="s">
        <v>3</v>
      </c>
      <c r="B40" s="59" t="e">
        <f>#REF!</f>
        <v>#REF!</v>
      </c>
      <c r="C40" s="59" t="e">
        <f>#REF!</f>
        <v>#REF!</v>
      </c>
      <c r="D40" s="59" t="e">
        <f>#REF!</f>
        <v>#REF!</v>
      </c>
      <c r="E40" s="59" t="e">
        <f>#REF!</f>
        <v>#REF!</v>
      </c>
      <c r="F40" s="59" t="e">
        <f>SUM(B40:E40)</f>
        <v>#REF!</v>
      </c>
      <c r="G40" s="60" t="e">
        <f>#REF!</f>
        <v>#REF!</v>
      </c>
      <c r="H40" s="61" t="e">
        <f>SUM(#REF!)</f>
        <v>#REF!</v>
      </c>
      <c r="I40" s="61" t="e">
        <f>G40-H40</f>
        <v>#REF!</v>
      </c>
    </row>
    <row r="41" spans="1:9" s="26" customFormat="1" x14ac:dyDescent="0.2">
      <c r="A41" s="36" t="s">
        <v>5</v>
      </c>
      <c r="B41" s="59" t="e">
        <f>#REF!+#REF!</f>
        <v>#REF!</v>
      </c>
      <c r="C41" s="59" t="e">
        <f>#REF!+#REF!</f>
        <v>#REF!</v>
      </c>
      <c r="D41" s="59" t="e">
        <f>#REF!+#REF!</f>
        <v>#REF!</v>
      </c>
      <c r="E41" s="59" t="e">
        <f>#REF!+#REF!</f>
        <v>#REF!</v>
      </c>
      <c r="F41" s="59" t="e">
        <f>SUM(B41:E41)</f>
        <v>#REF!</v>
      </c>
      <c r="G41" s="72"/>
      <c r="H41" s="72"/>
      <c r="I41" s="72"/>
    </row>
    <row r="42" spans="1:9" s="26" customFormat="1" x14ac:dyDescent="0.2">
      <c r="A42" s="36" t="s">
        <v>4</v>
      </c>
      <c r="B42" s="59" t="e">
        <f>#REF!+#REF!</f>
        <v>#REF!</v>
      </c>
      <c r="C42" s="59" t="e">
        <f>#REF!+#REF!</f>
        <v>#REF!</v>
      </c>
      <c r="D42" s="59">
        <v>0</v>
      </c>
      <c r="E42" s="59">
        <v>0</v>
      </c>
      <c r="F42" s="59" t="e">
        <f>SUM(B42:E42)</f>
        <v>#REF!</v>
      </c>
      <c r="G42" s="72"/>
      <c r="H42" s="72"/>
      <c r="I42" s="72"/>
    </row>
    <row r="43" spans="1:9" s="26" customFormat="1" x14ac:dyDescent="0.2">
      <c r="A43" s="36" t="s">
        <v>6</v>
      </c>
      <c r="B43" s="59" t="e">
        <f>#REF!+#REF!+#REF!+#REF!</f>
        <v>#REF!</v>
      </c>
      <c r="C43" s="59" t="e">
        <f>#REF!+#REF!+#REF!+#REF!</f>
        <v>#REF!</v>
      </c>
      <c r="D43" s="59" t="e">
        <f>-(#REF!+#REF!+#REF!+#REF!)</f>
        <v>#REF!</v>
      </c>
      <c r="E43" s="59">
        <v>0</v>
      </c>
      <c r="F43" s="59" t="e">
        <f>SUM(B43:E43)</f>
        <v>#REF!</v>
      </c>
      <c r="G43" s="72"/>
      <c r="H43" s="72"/>
      <c r="I43" s="72"/>
    </row>
    <row r="44" spans="1:9" x14ac:dyDescent="0.2">
      <c r="A44" s="36"/>
      <c r="B44" s="86"/>
      <c r="C44" s="86"/>
      <c r="D44" s="86"/>
      <c r="E44" s="86"/>
      <c r="F44" s="86"/>
      <c r="G44" s="88"/>
      <c r="H44" s="88"/>
      <c r="I44" s="88"/>
    </row>
    <row r="45" spans="1:9" s="26" customFormat="1" x14ac:dyDescent="0.2">
      <c r="A45" s="45" t="s">
        <v>57</v>
      </c>
      <c r="B45" s="65" t="s">
        <v>35</v>
      </c>
      <c r="C45" s="65" t="s">
        <v>36</v>
      </c>
      <c r="D45" s="65" t="s">
        <v>37</v>
      </c>
      <c r="E45" s="65" t="s">
        <v>38</v>
      </c>
      <c r="F45" s="65" t="s">
        <v>0</v>
      </c>
      <c r="G45" s="68" t="s">
        <v>40</v>
      </c>
      <c r="H45" s="65" t="s">
        <v>41</v>
      </c>
      <c r="I45" s="65" t="s">
        <v>39</v>
      </c>
    </row>
    <row r="46" spans="1:9" s="26" customFormat="1" x14ac:dyDescent="0.2">
      <c r="A46" s="36" t="s">
        <v>3</v>
      </c>
      <c r="B46" s="59" t="e">
        <f>#REF!</f>
        <v>#REF!</v>
      </c>
      <c r="C46" s="59" t="e">
        <f>#REF!</f>
        <v>#REF!</v>
      </c>
      <c r="D46" s="59" t="e">
        <f>#REF!</f>
        <v>#REF!</v>
      </c>
      <c r="E46" s="59" t="e">
        <f>#REF!</f>
        <v>#REF!</v>
      </c>
      <c r="F46" s="59" t="e">
        <f>SUM(B46:E46)</f>
        <v>#REF!</v>
      </c>
      <c r="G46" s="60" t="e">
        <f>#REF!</f>
        <v>#REF!</v>
      </c>
      <c r="H46" s="61" t="e">
        <f>SUM(#REF!)</f>
        <v>#REF!</v>
      </c>
      <c r="I46" s="61" t="e">
        <f>G46-H46</f>
        <v>#REF!</v>
      </c>
    </row>
    <row r="47" spans="1:9" s="26" customFormat="1" x14ac:dyDescent="0.2">
      <c r="A47" s="36" t="s">
        <v>5</v>
      </c>
      <c r="B47" s="59" t="e">
        <f>#REF!+#REF!</f>
        <v>#REF!</v>
      </c>
      <c r="C47" s="59" t="e">
        <f>#REF!+#REF!</f>
        <v>#REF!</v>
      </c>
      <c r="D47" s="59" t="e">
        <f>#REF!+#REF!</f>
        <v>#REF!</v>
      </c>
      <c r="E47" s="59" t="e">
        <f>#REF!+#REF!</f>
        <v>#REF!</v>
      </c>
      <c r="F47" s="59" t="e">
        <f>SUM(B47:E47)</f>
        <v>#REF!</v>
      </c>
      <c r="G47" s="72"/>
      <c r="H47" s="72"/>
      <c r="I47" s="72"/>
    </row>
    <row r="48" spans="1:9" s="26" customFormat="1" x14ac:dyDescent="0.2">
      <c r="A48" s="36" t="s">
        <v>4</v>
      </c>
      <c r="B48" s="59" t="e">
        <f>#REF!</f>
        <v>#REF!</v>
      </c>
      <c r="C48" s="59" t="e">
        <f>#REF!</f>
        <v>#REF!</v>
      </c>
      <c r="D48" s="59" t="e">
        <f>#REF!</f>
        <v>#REF!</v>
      </c>
      <c r="E48" s="59" t="e">
        <f>#REF!</f>
        <v>#REF!</v>
      </c>
      <c r="F48" s="59" t="e">
        <f>SUM(B48:E48)</f>
        <v>#REF!</v>
      </c>
      <c r="G48" s="72"/>
      <c r="H48" s="72"/>
      <c r="I48" s="72"/>
    </row>
    <row r="49" spans="1:9" s="26" customFormat="1" x14ac:dyDescent="0.2">
      <c r="A49" s="36" t="s">
        <v>6</v>
      </c>
      <c r="B49" s="59" t="e">
        <f>#REF!+#REF!</f>
        <v>#REF!</v>
      </c>
      <c r="C49" s="59" t="e">
        <f>#REF!+#REF!</f>
        <v>#REF!</v>
      </c>
      <c r="D49" s="59" t="e">
        <f>#REF!+#REF!</f>
        <v>#REF!</v>
      </c>
      <c r="E49" s="59" t="e">
        <f>#REF!+#REF!</f>
        <v>#REF!</v>
      </c>
      <c r="F49" s="59" t="e">
        <f>SUM(B49:E49)</f>
        <v>#REF!</v>
      </c>
      <c r="G49" s="72"/>
      <c r="H49" s="72"/>
      <c r="I49" s="72"/>
    </row>
    <row r="50" spans="1:9" x14ac:dyDescent="0.2">
      <c r="A50" s="46"/>
      <c r="B50" s="59"/>
      <c r="C50" s="59"/>
      <c r="D50" s="59"/>
      <c r="E50" s="59"/>
      <c r="F50" s="59"/>
      <c r="G50" s="67"/>
      <c r="H50" s="67"/>
      <c r="I50" s="67"/>
    </row>
    <row r="51" spans="1:9" x14ac:dyDescent="0.2">
      <c r="A51" s="45" t="s">
        <v>59</v>
      </c>
      <c r="B51" s="65" t="s">
        <v>35</v>
      </c>
      <c r="C51" s="65" t="s">
        <v>36</v>
      </c>
      <c r="D51" s="65" t="s">
        <v>37</v>
      </c>
      <c r="E51" s="65" t="s">
        <v>38</v>
      </c>
      <c r="F51" s="65" t="s">
        <v>0</v>
      </c>
      <c r="G51" s="68" t="s">
        <v>40</v>
      </c>
      <c r="H51" s="65" t="s">
        <v>41</v>
      </c>
      <c r="I51" s="65" t="s">
        <v>39</v>
      </c>
    </row>
    <row r="52" spans="1:9" x14ac:dyDescent="0.2">
      <c r="A52" s="36" t="s">
        <v>3</v>
      </c>
      <c r="B52" s="59" t="e">
        <f>#REF!</f>
        <v>#REF!</v>
      </c>
      <c r="C52" s="59" t="e">
        <f>#REF!</f>
        <v>#REF!</v>
      </c>
      <c r="D52" s="59" t="e">
        <f>#REF!</f>
        <v>#REF!</v>
      </c>
      <c r="E52" s="59" t="e">
        <f>#REF!</f>
        <v>#REF!</v>
      </c>
      <c r="F52" s="59" t="e">
        <f>SUM(B52:E52)</f>
        <v>#REF!</v>
      </c>
      <c r="G52" s="60" t="e">
        <f>#REF!</f>
        <v>#REF!</v>
      </c>
      <c r="H52" s="61" t="e">
        <f>SUM(#REF!)</f>
        <v>#REF!</v>
      </c>
      <c r="I52" s="61" t="e">
        <f>G52-H52</f>
        <v>#REF!</v>
      </c>
    </row>
    <row r="53" spans="1:9" x14ac:dyDescent="0.2">
      <c r="A53" s="36" t="s">
        <v>5</v>
      </c>
      <c r="B53" s="59" t="e">
        <f>#REF!+#REF!</f>
        <v>#REF!</v>
      </c>
      <c r="C53" s="59" t="e">
        <f>#REF!+#REF!</f>
        <v>#REF!</v>
      </c>
      <c r="D53" s="59" t="e">
        <f>#REF!+#REF!</f>
        <v>#REF!</v>
      </c>
      <c r="E53" s="59" t="e">
        <f>#REF!+#REF!</f>
        <v>#REF!</v>
      </c>
      <c r="F53" s="59" t="e">
        <f>SUM(B53:E53)</f>
        <v>#REF!</v>
      </c>
    </row>
    <row r="54" spans="1:9" x14ac:dyDescent="0.2">
      <c r="A54" s="36" t="s">
        <v>4</v>
      </c>
      <c r="B54" s="59" t="e">
        <f>#REF!+#REF!</f>
        <v>#REF!</v>
      </c>
      <c r="C54" s="59" t="e">
        <f>#REF!+#REF!</f>
        <v>#REF!</v>
      </c>
      <c r="D54" s="59" t="e">
        <f>#REF!+#REF!</f>
        <v>#REF!</v>
      </c>
      <c r="E54" s="59" t="e">
        <f>#REF!+#REF!</f>
        <v>#REF!</v>
      </c>
      <c r="F54" s="59" t="e">
        <f>SUM(B54:E54)</f>
        <v>#REF!</v>
      </c>
    </row>
    <row r="55" spans="1:9" x14ac:dyDescent="0.2">
      <c r="A55" s="36" t="s">
        <v>6</v>
      </c>
      <c r="B55" s="59" t="e">
        <f>SUM(#REF!+#REF!)+(#REF!+#REF!)</f>
        <v>#REF!</v>
      </c>
      <c r="C55" s="59" t="e">
        <f>SUM(#REF!+#REF!)+(#REF!+#REF!)</f>
        <v>#REF!</v>
      </c>
      <c r="D55" s="59" t="e">
        <f>SUM(#REF!+#REF!)+(#REF!+#REF!)</f>
        <v>#REF!</v>
      </c>
      <c r="E55" s="59" t="e">
        <f>SUM(#REF!+#REF!)+(#REF!+#REF!)</f>
        <v>#REF!</v>
      </c>
      <c r="F55" s="59" t="e">
        <f>SUM(B55:E55)</f>
        <v>#REF!</v>
      </c>
    </row>
    <row r="56" spans="1:9" x14ac:dyDescent="0.2">
      <c r="A56" s="46"/>
      <c r="B56" s="59"/>
      <c r="C56" s="59"/>
      <c r="D56" s="59"/>
      <c r="E56" s="59"/>
      <c r="F56" s="59"/>
      <c r="G56" s="67"/>
      <c r="H56" s="67"/>
      <c r="I56" s="67"/>
    </row>
    <row r="57" spans="1:9" ht="14.25" x14ac:dyDescent="0.2">
      <c r="A57" s="45" t="s">
        <v>63</v>
      </c>
      <c r="B57" s="65" t="s">
        <v>35</v>
      </c>
      <c r="C57" s="65" t="s">
        <v>36</v>
      </c>
      <c r="D57" s="65" t="s">
        <v>37</v>
      </c>
      <c r="E57" s="65" t="s">
        <v>38</v>
      </c>
      <c r="F57" s="65" t="s">
        <v>0</v>
      </c>
      <c r="G57" s="68" t="s">
        <v>40</v>
      </c>
      <c r="H57" s="65" t="s">
        <v>41</v>
      </c>
      <c r="I57" s="65" t="s">
        <v>39</v>
      </c>
    </row>
    <row r="58" spans="1:9" x14ac:dyDescent="0.2">
      <c r="A58" s="36" t="s">
        <v>3</v>
      </c>
      <c r="B58" s="59">
        <v>0</v>
      </c>
      <c r="C58" s="59">
        <v>0</v>
      </c>
      <c r="D58" s="59" t="e">
        <f>#REF!</f>
        <v>#REF!</v>
      </c>
      <c r="E58" s="59" t="e">
        <f>#REF!</f>
        <v>#REF!</v>
      </c>
      <c r="F58" s="59" t="e">
        <f>SUM(B58:E58)</f>
        <v>#REF!</v>
      </c>
      <c r="G58" s="60" t="e">
        <f>#REF!</f>
        <v>#REF!</v>
      </c>
      <c r="H58" s="61" t="e">
        <f>SUM(#REF!)</f>
        <v>#REF!</v>
      </c>
      <c r="I58" s="61" t="e">
        <f>G58-H58</f>
        <v>#REF!</v>
      </c>
    </row>
    <row r="59" spans="1:9" x14ac:dyDescent="0.2">
      <c r="A59" s="36" t="s">
        <v>5</v>
      </c>
      <c r="B59" s="59">
        <v>0</v>
      </c>
      <c r="C59" s="59">
        <v>0</v>
      </c>
      <c r="D59" s="59" t="e">
        <f>#REF!</f>
        <v>#REF!</v>
      </c>
      <c r="E59" s="59" t="e">
        <f>#REF!</f>
        <v>#REF!</v>
      </c>
      <c r="F59" s="59" t="e">
        <f>SUM(B59:E59)</f>
        <v>#REF!</v>
      </c>
    </row>
    <row r="60" spans="1:9" x14ac:dyDescent="0.2">
      <c r="A60" s="36" t="s">
        <v>4</v>
      </c>
      <c r="B60" s="59">
        <v>0</v>
      </c>
      <c r="C60" s="59">
        <v>0</v>
      </c>
      <c r="D60" s="59">
        <v>0</v>
      </c>
      <c r="E60" s="59">
        <v>0</v>
      </c>
      <c r="F60" s="59">
        <f>SUM(B60:E60)</f>
        <v>0</v>
      </c>
    </row>
    <row r="61" spans="1:9" x14ac:dyDescent="0.2">
      <c r="A61" s="36" t="s">
        <v>6</v>
      </c>
      <c r="B61" s="59">
        <v>0</v>
      </c>
      <c r="C61" s="59">
        <v>0</v>
      </c>
      <c r="D61" s="59">
        <v>0</v>
      </c>
      <c r="E61" s="59">
        <v>0</v>
      </c>
      <c r="F61" s="59">
        <f>SUM(B61:E61)</f>
        <v>0</v>
      </c>
    </row>
    <row r="62" spans="1:9" x14ac:dyDescent="0.2">
      <c r="A62" s="36"/>
      <c r="B62" s="59"/>
      <c r="C62" s="59"/>
      <c r="D62" s="59"/>
      <c r="E62" s="59"/>
      <c r="F62" s="59"/>
    </row>
    <row r="63" spans="1:9" x14ac:dyDescent="0.2">
      <c r="A63" s="45" t="s">
        <v>53</v>
      </c>
      <c r="B63" s="65" t="s">
        <v>35</v>
      </c>
      <c r="C63" s="65" t="s">
        <v>36</v>
      </c>
      <c r="D63" s="65" t="s">
        <v>37</v>
      </c>
      <c r="E63" s="65" t="s">
        <v>38</v>
      </c>
      <c r="F63" s="65" t="s">
        <v>0</v>
      </c>
      <c r="G63" s="68" t="s">
        <v>40</v>
      </c>
      <c r="H63" s="65" t="s">
        <v>41</v>
      </c>
      <c r="I63" s="65" t="s">
        <v>39</v>
      </c>
    </row>
    <row r="64" spans="1:9" x14ac:dyDescent="0.2">
      <c r="A64" s="36" t="s">
        <v>3</v>
      </c>
      <c r="B64" s="59" t="e">
        <f>#REF!</f>
        <v>#REF!</v>
      </c>
      <c r="C64" s="59" t="e">
        <f>#REF!</f>
        <v>#REF!</v>
      </c>
      <c r="D64" s="59" t="e">
        <f>#REF!</f>
        <v>#REF!</v>
      </c>
      <c r="E64" s="59" t="e">
        <f>#REF!</f>
        <v>#REF!</v>
      </c>
      <c r="F64" s="59" t="e">
        <f>SUM(B64:E64)</f>
        <v>#REF!</v>
      </c>
      <c r="G64" s="60" t="e">
        <f>#REF!</f>
        <v>#REF!</v>
      </c>
      <c r="H64" s="61" t="e">
        <f>SUM(#REF!)</f>
        <v>#REF!</v>
      </c>
      <c r="I64" s="61" t="e">
        <f>G64-H64</f>
        <v>#REF!</v>
      </c>
    </row>
    <row r="65" spans="1:9" x14ac:dyDescent="0.2">
      <c r="A65" s="36" t="s">
        <v>5</v>
      </c>
      <c r="B65" s="59" t="e">
        <f>#REF!+#REF!</f>
        <v>#REF!</v>
      </c>
      <c r="C65" s="59" t="e">
        <f>#REF!+#REF!</f>
        <v>#REF!</v>
      </c>
      <c r="D65" s="59" t="e">
        <f>#REF!+#REF!</f>
        <v>#REF!</v>
      </c>
      <c r="E65" s="59" t="e">
        <f>#REF!+#REF!</f>
        <v>#REF!</v>
      </c>
      <c r="F65" s="59" t="e">
        <f>SUM(B65:E65)</f>
        <v>#REF!</v>
      </c>
    </row>
    <row r="66" spans="1:9" x14ac:dyDescent="0.2">
      <c r="A66" s="36" t="s">
        <v>4</v>
      </c>
      <c r="B66" s="59" t="e">
        <f>#REF!</f>
        <v>#REF!</v>
      </c>
      <c r="C66" s="59" t="e">
        <f>#REF!</f>
        <v>#REF!</v>
      </c>
      <c r="D66" s="59" t="e">
        <f>#REF!</f>
        <v>#REF!</v>
      </c>
      <c r="E66" s="59" t="e">
        <f>#REF!</f>
        <v>#REF!</v>
      </c>
      <c r="F66" s="59" t="e">
        <f>SUM(B66:E66)</f>
        <v>#REF!</v>
      </c>
    </row>
    <row r="67" spans="1:9" x14ac:dyDescent="0.2">
      <c r="A67" s="36" t="s">
        <v>6</v>
      </c>
      <c r="B67" s="59" t="e">
        <f>#REF!</f>
        <v>#REF!</v>
      </c>
      <c r="C67" s="59" t="e">
        <f>#REF!</f>
        <v>#REF!</v>
      </c>
      <c r="D67" s="59" t="e">
        <f>#REF!</f>
        <v>#REF!</v>
      </c>
      <c r="E67" s="59" t="e">
        <f>#REF!</f>
        <v>#REF!</v>
      </c>
      <c r="F67" s="59" t="e">
        <f>SUM(B67:E67)</f>
        <v>#REF!</v>
      </c>
    </row>
    <row r="68" spans="1:9" x14ac:dyDescent="0.2">
      <c r="A68" s="46"/>
      <c r="B68" s="59"/>
      <c r="C68" s="59"/>
      <c r="D68" s="59"/>
      <c r="E68" s="59"/>
      <c r="F68" s="76"/>
      <c r="G68" s="67"/>
      <c r="H68" s="67"/>
      <c r="I68" s="67"/>
    </row>
    <row r="69" spans="1:9" x14ac:dyDescent="0.2">
      <c r="A69" s="45" t="s">
        <v>64</v>
      </c>
      <c r="B69" s="65" t="s">
        <v>35</v>
      </c>
      <c r="C69" s="65" t="s">
        <v>36</v>
      </c>
      <c r="D69" s="65" t="s">
        <v>37</v>
      </c>
      <c r="E69" s="65" t="s">
        <v>38</v>
      </c>
      <c r="F69" s="65" t="s">
        <v>0</v>
      </c>
      <c r="G69" s="68" t="s">
        <v>40</v>
      </c>
      <c r="H69" s="65" t="s">
        <v>41</v>
      </c>
      <c r="I69" s="65" t="s">
        <v>39</v>
      </c>
    </row>
    <row r="70" spans="1:9" x14ac:dyDescent="0.2">
      <c r="A70" s="36" t="s">
        <v>3</v>
      </c>
      <c r="B70" s="59" t="e">
        <f>#REF!</f>
        <v>#REF!</v>
      </c>
      <c r="C70" s="59" t="e">
        <f>#REF!</f>
        <v>#REF!</v>
      </c>
      <c r="D70" s="59" t="e">
        <f>#REF!</f>
        <v>#REF!</v>
      </c>
      <c r="E70" s="59" t="e">
        <f>#REF!</f>
        <v>#REF!</v>
      </c>
      <c r="F70" s="59" t="e">
        <f>SUM(B70:E70)</f>
        <v>#REF!</v>
      </c>
      <c r="G70" s="60" t="e">
        <f>#REF!</f>
        <v>#REF!</v>
      </c>
      <c r="H70" s="61" t="e">
        <f>#REF!</f>
        <v>#REF!</v>
      </c>
      <c r="I70" s="61" t="e">
        <f>G70-H70</f>
        <v>#REF!</v>
      </c>
    </row>
    <row r="71" spans="1:9" x14ac:dyDescent="0.2">
      <c r="A71" s="36" t="s">
        <v>5</v>
      </c>
      <c r="B71" s="59">
        <v>0</v>
      </c>
      <c r="C71" s="59" t="e">
        <f>#REF!+#REF!</f>
        <v>#REF!</v>
      </c>
      <c r="D71" s="59" t="e">
        <f>#REF!+#REF!</f>
        <v>#REF!</v>
      </c>
      <c r="E71" s="59" t="e">
        <f>#REF!+#REF!</f>
        <v>#REF!</v>
      </c>
      <c r="F71" s="59" t="e">
        <f>SUM(B71:E71)</f>
        <v>#REF!</v>
      </c>
      <c r="I71" s="67"/>
    </row>
    <row r="72" spans="1:9" x14ac:dyDescent="0.2">
      <c r="A72" s="36" t="s">
        <v>4</v>
      </c>
      <c r="B72" s="59" t="e">
        <f>#REF!</f>
        <v>#REF!</v>
      </c>
      <c r="C72" s="59">
        <v>0</v>
      </c>
      <c r="D72" s="59">
        <v>0</v>
      </c>
      <c r="E72" s="59">
        <v>0</v>
      </c>
      <c r="F72" s="59" t="e">
        <f>SUM(B72:E72)</f>
        <v>#REF!</v>
      </c>
      <c r="I72" s="67"/>
    </row>
    <row r="73" spans="1:9" x14ac:dyDescent="0.2">
      <c r="A73" s="36" t="s">
        <v>6</v>
      </c>
      <c r="B73" s="59">
        <v>0</v>
      </c>
      <c r="C73" s="59" t="e">
        <f>#REF!</f>
        <v>#REF!</v>
      </c>
      <c r="D73" s="59" t="e">
        <f>#REF!</f>
        <v>#REF!</v>
      </c>
      <c r="E73" s="59" t="e">
        <f>#REF!</f>
        <v>#REF!</v>
      </c>
      <c r="F73" s="59" t="e">
        <f>SUM(B73:E73)</f>
        <v>#REF!</v>
      </c>
    </row>
    <row r="74" spans="1:9" x14ac:dyDescent="0.2">
      <c r="A74" s="36"/>
      <c r="B74" s="59"/>
      <c r="C74" s="59"/>
      <c r="D74" s="59"/>
      <c r="E74" s="59"/>
      <c r="F74" s="59"/>
    </row>
    <row r="75" spans="1:9" x14ac:dyDescent="0.2">
      <c r="A75" s="7" t="s">
        <v>2</v>
      </c>
      <c r="B75" s="65" t="s">
        <v>35</v>
      </c>
      <c r="C75" s="65" t="s">
        <v>36</v>
      </c>
      <c r="D75" s="65" t="s">
        <v>37</v>
      </c>
      <c r="E75" s="65" t="s">
        <v>38</v>
      </c>
      <c r="F75" s="65" t="s">
        <v>0</v>
      </c>
      <c r="G75" s="68" t="s">
        <v>40</v>
      </c>
      <c r="H75" s="65" t="s">
        <v>41</v>
      </c>
      <c r="I75" s="65" t="s">
        <v>39</v>
      </c>
    </row>
    <row r="76" spans="1:9" x14ac:dyDescent="0.2">
      <c r="A76" s="53" t="s">
        <v>3</v>
      </c>
      <c r="B76" s="73" t="e">
        <f t="shared" ref="B76:E79" si="0">B70+B64+B58+B52+B46+B40+B34+B28+B22+B16+B10+B4</f>
        <v>#REF!</v>
      </c>
      <c r="C76" s="73" t="e">
        <f t="shared" si="0"/>
        <v>#REF!</v>
      </c>
      <c r="D76" s="73" t="e">
        <f t="shared" si="0"/>
        <v>#REF!</v>
      </c>
      <c r="E76" s="73" t="e">
        <f t="shared" si="0"/>
        <v>#REF!</v>
      </c>
      <c r="F76" s="73" t="e">
        <f>SUM(B76:E76)</f>
        <v>#REF!</v>
      </c>
      <c r="G76" s="70" t="e">
        <f>G70+G64+G58+G52+G46+G40+G34+G28+G22+G16+G10+G4</f>
        <v>#REF!</v>
      </c>
      <c r="H76" s="70" t="e">
        <f>H70+H64+H58+H52+H46+H40+H34+H28+H22+H16+H10+H4</f>
        <v>#REF!</v>
      </c>
      <c r="I76" s="61" t="e">
        <f>G76-H76</f>
        <v>#REF!</v>
      </c>
    </row>
    <row r="77" spans="1:9" x14ac:dyDescent="0.2">
      <c r="A77" s="53" t="s">
        <v>5</v>
      </c>
      <c r="B77" s="73" t="e">
        <f t="shared" si="0"/>
        <v>#REF!</v>
      </c>
      <c r="C77" s="73" t="e">
        <f t="shared" si="0"/>
        <v>#REF!</v>
      </c>
      <c r="D77" s="73" t="e">
        <f t="shared" si="0"/>
        <v>#REF!</v>
      </c>
      <c r="E77" s="73" t="e">
        <f t="shared" si="0"/>
        <v>#REF!</v>
      </c>
      <c r="F77" s="73" t="e">
        <f>SUM(B77:E77)</f>
        <v>#REF!</v>
      </c>
    </row>
    <row r="78" spans="1:9" x14ac:dyDescent="0.2">
      <c r="A78" s="53" t="s">
        <v>4</v>
      </c>
      <c r="B78" s="73" t="e">
        <f t="shared" si="0"/>
        <v>#REF!</v>
      </c>
      <c r="C78" s="73" t="e">
        <f t="shared" si="0"/>
        <v>#REF!</v>
      </c>
      <c r="D78" s="73" t="e">
        <f t="shared" si="0"/>
        <v>#REF!</v>
      </c>
      <c r="E78" s="73" t="e">
        <f t="shared" si="0"/>
        <v>#REF!</v>
      </c>
      <c r="F78" s="73" t="e">
        <f>SUM(B78:E78)</f>
        <v>#REF!</v>
      </c>
    </row>
    <row r="79" spans="1:9" x14ac:dyDescent="0.2">
      <c r="A79" s="53" t="s">
        <v>6</v>
      </c>
      <c r="B79" s="73" t="e">
        <f t="shared" si="0"/>
        <v>#REF!</v>
      </c>
      <c r="C79" s="73" t="e">
        <f t="shared" si="0"/>
        <v>#REF!</v>
      </c>
      <c r="D79" s="73" t="e">
        <f t="shared" si="0"/>
        <v>#REF!</v>
      </c>
      <c r="E79" s="73" t="e">
        <f t="shared" si="0"/>
        <v>#REF!</v>
      </c>
      <c r="F79" s="73" t="e">
        <f>SUM(B79:E79)</f>
        <v>#REF!</v>
      </c>
    </row>
    <row r="80" spans="1:9" x14ac:dyDescent="0.2">
      <c r="A80" s="24"/>
    </row>
    <row r="81" spans="1:9" x14ac:dyDescent="0.2">
      <c r="A81" s="20" t="s">
        <v>31</v>
      </c>
    </row>
    <row r="82" spans="1:9" x14ac:dyDescent="0.2">
      <c r="A82" s="294" t="s">
        <v>19</v>
      </c>
      <c r="B82" s="294"/>
      <c r="C82" s="294"/>
      <c r="D82" s="294"/>
      <c r="E82" s="294"/>
      <c r="F82" s="294"/>
      <c r="G82" s="294"/>
      <c r="H82" s="294"/>
      <c r="I82" s="294"/>
    </row>
    <row r="83" spans="1:9" x14ac:dyDescent="0.2">
      <c r="A83" s="291" t="s">
        <v>20</v>
      </c>
      <c r="B83" s="291"/>
      <c r="C83" s="291"/>
      <c r="D83" s="291"/>
      <c r="E83" s="291"/>
      <c r="F83" s="291"/>
      <c r="G83" s="291"/>
      <c r="H83" s="291"/>
      <c r="I83" s="291"/>
    </row>
    <row r="84" spans="1:9" x14ac:dyDescent="0.2">
      <c r="A84" s="294" t="s">
        <v>21</v>
      </c>
      <c r="B84" s="294"/>
      <c r="C84" s="294"/>
      <c r="D84" s="294"/>
      <c r="E84" s="294"/>
      <c r="F84" s="294"/>
      <c r="G84" s="294"/>
      <c r="H84" s="294"/>
      <c r="I84" s="294"/>
    </row>
    <row r="85" spans="1:9" ht="25.5" customHeight="1" x14ac:dyDescent="0.2">
      <c r="A85" s="291" t="s">
        <v>22</v>
      </c>
      <c r="B85" s="291"/>
      <c r="C85" s="291"/>
      <c r="D85" s="291"/>
      <c r="E85" s="291"/>
      <c r="F85" s="291"/>
      <c r="G85" s="291"/>
      <c r="H85" s="291"/>
      <c r="I85" s="291"/>
    </row>
    <row r="86" spans="1:9" s="8" customFormat="1" ht="27" customHeight="1" x14ac:dyDescent="0.2">
      <c r="A86" s="289" t="s">
        <v>23</v>
      </c>
      <c r="B86" s="289"/>
      <c r="C86" s="289"/>
      <c r="D86" s="289"/>
      <c r="E86" s="289"/>
      <c r="F86" s="289"/>
      <c r="G86" s="289"/>
      <c r="H86" s="289"/>
      <c r="I86" s="289"/>
    </row>
    <row r="87" spans="1:9" x14ac:dyDescent="0.2">
      <c r="A87" s="289" t="s">
        <v>58</v>
      </c>
      <c r="B87" s="289"/>
      <c r="C87" s="289"/>
      <c r="D87" s="289"/>
      <c r="E87" s="289"/>
      <c r="F87" s="289"/>
      <c r="G87" s="289"/>
      <c r="H87" s="289"/>
      <c r="I87" s="289"/>
    </row>
    <row r="88" spans="1:9" ht="25.5" customHeight="1" x14ac:dyDescent="0.2">
      <c r="A88" s="289" t="s">
        <v>34</v>
      </c>
      <c r="B88" s="289"/>
      <c r="C88" s="289"/>
      <c r="D88" s="289"/>
      <c r="E88" s="289"/>
      <c r="F88" s="289"/>
      <c r="G88" s="289"/>
      <c r="H88" s="289"/>
      <c r="I88" s="289"/>
    </row>
    <row r="89" spans="1:9" x14ac:dyDescent="0.2">
      <c r="A89" s="290" t="s">
        <v>30</v>
      </c>
      <c r="B89" s="290"/>
      <c r="C89" s="290"/>
      <c r="D89" s="290"/>
      <c r="E89" s="290"/>
      <c r="F89" s="290"/>
      <c r="G89" s="290"/>
      <c r="H89" s="290"/>
      <c r="I89" s="290"/>
    </row>
  </sheetData>
  <mergeCells count="9">
    <mergeCell ref="A88:I88"/>
    <mergeCell ref="A89:I89"/>
    <mergeCell ref="A86:I86"/>
    <mergeCell ref="A85:I85"/>
    <mergeCell ref="A1:F1"/>
    <mergeCell ref="A83:I83"/>
    <mergeCell ref="A82:I82"/>
    <mergeCell ref="A87:I87"/>
    <mergeCell ref="A84:I84"/>
  </mergeCells>
  <phoneticPr fontId="3" type="noConversion"/>
  <printOptions horizontalCentered="1"/>
  <pageMargins left="0.5" right="0.5" top="1" bottom="0.89" header="0.5" footer="0.5"/>
  <pageSetup scale="64" orientation="portrait" r:id="rId1"/>
  <headerFooter alignWithMargins="0">
    <oddFooter>Page &amp;P of &amp;N</oddFooter>
  </headerFooter>
  <rowBreaks count="2" manualBreakCount="2">
    <brk id="31" max="5" man="1"/>
    <brk id="67" max="5"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0" tint="-4.9989318521683403E-2"/>
    <pageSetUpPr fitToPage="1"/>
  </sheetPr>
  <dimension ref="A1:L116"/>
  <sheetViews>
    <sheetView view="pageBreakPreview" topLeftCell="A65" zoomScaleNormal="85" zoomScaleSheetLayoutView="100" workbookViewId="0">
      <selection activeCell="G46" sqref="G46"/>
    </sheetView>
  </sheetViews>
  <sheetFormatPr defaultRowHeight="12.75" x14ac:dyDescent="0.2"/>
  <cols>
    <col min="1" max="1" width="31.42578125" customWidth="1"/>
    <col min="2" max="5" width="14" style="62" bestFit="1" customWidth="1"/>
    <col min="6" max="6" width="15.5703125" style="62" customWidth="1"/>
    <col min="7" max="7" width="16.85546875" style="62" bestFit="1" customWidth="1"/>
    <col min="8" max="8" width="15.7109375" style="62" bestFit="1" customWidth="1"/>
    <col min="9" max="9" width="16.140625" style="62" customWidth="1"/>
    <col min="10" max="10" width="10.140625" bestFit="1" customWidth="1"/>
    <col min="11" max="12" width="14" bestFit="1" customWidth="1"/>
  </cols>
  <sheetData>
    <row r="1" spans="1:9" s="37" customFormat="1" ht="15.75" x14ac:dyDescent="0.25">
      <c r="A1" s="292" t="s">
        <v>60</v>
      </c>
      <c r="B1" s="293"/>
      <c r="C1" s="293"/>
      <c r="D1" s="293"/>
      <c r="E1" s="293"/>
      <c r="F1" s="293"/>
      <c r="G1" s="89"/>
      <c r="H1" s="89"/>
      <c r="I1" s="89"/>
    </row>
    <row r="2" spans="1:9" ht="15.75" x14ac:dyDescent="0.25">
      <c r="A2" s="16"/>
      <c r="B2" s="90"/>
      <c r="C2" s="90"/>
      <c r="D2" s="90"/>
      <c r="E2" s="90"/>
      <c r="F2" s="90"/>
      <c r="G2" s="90"/>
      <c r="H2" s="90"/>
      <c r="I2" s="90"/>
    </row>
    <row r="3" spans="1:9" x14ac:dyDescent="0.2">
      <c r="A3" s="45" t="s">
        <v>46</v>
      </c>
      <c r="B3" s="65" t="s">
        <v>35</v>
      </c>
      <c r="C3" s="65" t="s">
        <v>36</v>
      </c>
      <c r="D3" s="65" t="s">
        <v>37</v>
      </c>
      <c r="E3" s="65" t="s">
        <v>38</v>
      </c>
      <c r="F3" s="65" t="s">
        <v>0</v>
      </c>
      <c r="G3" s="65" t="s">
        <v>40</v>
      </c>
      <c r="H3" s="65" t="s">
        <v>41</v>
      </c>
      <c r="I3" s="65" t="s">
        <v>39</v>
      </c>
    </row>
    <row r="4" spans="1:9" x14ac:dyDescent="0.2">
      <c r="A4" s="36" t="s">
        <v>3</v>
      </c>
      <c r="B4" s="84" t="e">
        <f>#REF!</f>
        <v>#REF!</v>
      </c>
      <c r="C4" s="84" t="e">
        <f>#REF!</f>
        <v>#REF!</v>
      </c>
      <c r="D4" s="84" t="e">
        <f>#REF!</f>
        <v>#REF!</v>
      </c>
      <c r="E4" s="84" t="e">
        <f>#REF!</f>
        <v>#REF!</v>
      </c>
      <c r="F4" s="84" t="e">
        <f>SUM(B4:E4)</f>
        <v>#REF!</v>
      </c>
      <c r="G4" s="91" t="e">
        <f>#REF!</f>
        <v>#REF!</v>
      </c>
      <c r="H4" s="92" t="e">
        <f>SUM(#REF!)</f>
        <v>#REF!</v>
      </c>
      <c r="I4" s="92" t="e">
        <f>G4-H4</f>
        <v>#REF!</v>
      </c>
    </row>
    <row r="5" spans="1:9" x14ac:dyDescent="0.2">
      <c r="A5" s="36" t="s">
        <v>5</v>
      </c>
      <c r="B5" s="84" t="e">
        <f>(#REF!)+(#REF!)</f>
        <v>#REF!</v>
      </c>
      <c r="C5" s="84" t="e">
        <f>#REF!+#REF!</f>
        <v>#REF!</v>
      </c>
      <c r="D5" s="84">
        <v>0</v>
      </c>
      <c r="E5" s="84">
        <v>0</v>
      </c>
      <c r="F5" s="84" t="e">
        <f>SUM(B5:E5)</f>
        <v>#REF!</v>
      </c>
    </row>
    <row r="6" spans="1:9" x14ac:dyDescent="0.2">
      <c r="A6" s="36" t="s">
        <v>4</v>
      </c>
      <c r="B6" s="74">
        <v>0</v>
      </c>
      <c r="C6" s="74">
        <v>0</v>
      </c>
      <c r="D6" s="74">
        <v>0</v>
      </c>
      <c r="E6" s="74">
        <v>0</v>
      </c>
      <c r="F6" s="84">
        <f>SUM(B6:E6)</f>
        <v>0</v>
      </c>
    </row>
    <row r="7" spans="1:9" x14ac:dyDescent="0.2">
      <c r="A7" s="36" t="s">
        <v>6</v>
      </c>
      <c r="B7" s="74">
        <v>0</v>
      </c>
      <c r="C7" s="74">
        <v>0</v>
      </c>
      <c r="D7" s="74">
        <v>0</v>
      </c>
      <c r="E7" s="74">
        <v>0</v>
      </c>
      <c r="F7" s="84">
        <f>SUM(B7:E7)</f>
        <v>0</v>
      </c>
    </row>
    <row r="8" spans="1:9" x14ac:dyDescent="0.2">
      <c r="A8" s="48"/>
      <c r="B8" s="67"/>
      <c r="C8" s="67"/>
      <c r="D8" s="67"/>
      <c r="E8" s="67"/>
      <c r="F8" s="88"/>
      <c r="G8" s="88"/>
      <c r="H8" s="88"/>
      <c r="I8" s="88"/>
    </row>
    <row r="9" spans="1:9" x14ac:dyDescent="0.2">
      <c r="A9" s="45" t="s">
        <v>47</v>
      </c>
      <c r="B9" s="65" t="s">
        <v>35</v>
      </c>
      <c r="C9" s="65" t="s">
        <v>36</v>
      </c>
      <c r="D9" s="65" t="s">
        <v>37</v>
      </c>
      <c r="E9" s="65" t="s">
        <v>38</v>
      </c>
      <c r="F9" s="65" t="s">
        <v>0</v>
      </c>
      <c r="G9" s="65" t="s">
        <v>40</v>
      </c>
      <c r="H9" s="65" t="s">
        <v>41</v>
      </c>
      <c r="I9" s="65" t="s">
        <v>39</v>
      </c>
    </row>
    <row r="10" spans="1:9" x14ac:dyDescent="0.2">
      <c r="A10" s="36" t="s">
        <v>3</v>
      </c>
      <c r="B10" s="74" t="e">
        <f>#REF!</f>
        <v>#REF!</v>
      </c>
      <c r="C10" s="74">
        <v>0</v>
      </c>
      <c r="D10" s="74">
        <v>0</v>
      </c>
      <c r="E10" s="74" t="e">
        <f>#REF!</f>
        <v>#REF!</v>
      </c>
      <c r="F10" s="74" t="e">
        <f>SUM(B10:E10)</f>
        <v>#REF!</v>
      </c>
      <c r="G10" s="93" t="e">
        <f>#REF!</f>
        <v>#REF!</v>
      </c>
      <c r="H10" s="77" t="e">
        <f>SUM(#REF!)</f>
        <v>#REF!</v>
      </c>
      <c r="I10" s="77" t="e">
        <f>G10-H10</f>
        <v>#REF!</v>
      </c>
    </row>
    <row r="11" spans="1:9" x14ac:dyDescent="0.2">
      <c r="A11" s="36" t="s">
        <v>5</v>
      </c>
      <c r="B11" s="84" t="e">
        <f>#REF!+#REF!</f>
        <v>#REF!</v>
      </c>
      <c r="C11" s="84">
        <v>0</v>
      </c>
      <c r="D11" s="84">
        <v>0</v>
      </c>
      <c r="E11" s="84">
        <v>0</v>
      </c>
      <c r="F11" s="74" t="e">
        <f>SUM(B11:E11)</f>
        <v>#REF!</v>
      </c>
    </row>
    <row r="12" spans="1:9" x14ac:dyDescent="0.2">
      <c r="A12" s="36" t="s">
        <v>4</v>
      </c>
      <c r="B12" s="74" t="e">
        <f>#REF!</f>
        <v>#REF!</v>
      </c>
      <c r="C12" s="74">
        <v>0</v>
      </c>
      <c r="D12" s="74">
        <v>0</v>
      </c>
      <c r="E12" s="74">
        <v>0</v>
      </c>
      <c r="F12" s="74" t="e">
        <f>SUM(B12:E12)</f>
        <v>#REF!</v>
      </c>
    </row>
    <row r="13" spans="1:9" x14ac:dyDescent="0.2">
      <c r="A13" s="36" t="s">
        <v>6</v>
      </c>
      <c r="B13" s="74" t="e">
        <f>#REF!+#REF!</f>
        <v>#REF!</v>
      </c>
      <c r="C13" s="74">
        <v>0</v>
      </c>
      <c r="D13" s="74">
        <v>0</v>
      </c>
      <c r="E13" s="74">
        <v>0</v>
      </c>
      <c r="F13" s="74" t="e">
        <f>SUM(B13:E13)</f>
        <v>#REF!</v>
      </c>
    </row>
    <row r="14" spans="1:9" x14ac:dyDescent="0.2">
      <c r="A14" s="48"/>
      <c r="B14" s="67"/>
      <c r="C14" s="67"/>
      <c r="D14" s="67"/>
      <c r="E14" s="67"/>
      <c r="F14" s="67"/>
      <c r="G14" s="67"/>
      <c r="H14" s="67"/>
      <c r="I14" s="67"/>
    </row>
    <row r="15" spans="1:9" x14ac:dyDescent="0.2">
      <c r="A15" s="45" t="s">
        <v>48</v>
      </c>
      <c r="B15" s="65" t="s">
        <v>35</v>
      </c>
      <c r="C15" s="65" t="s">
        <v>36</v>
      </c>
      <c r="D15" s="65" t="s">
        <v>37</v>
      </c>
      <c r="E15" s="65" t="s">
        <v>38</v>
      </c>
      <c r="F15" s="65" t="s">
        <v>0</v>
      </c>
      <c r="G15" s="65" t="s">
        <v>40</v>
      </c>
      <c r="H15" s="65" t="s">
        <v>41</v>
      </c>
      <c r="I15" s="65" t="s">
        <v>39</v>
      </c>
    </row>
    <row r="16" spans="1:9" x14ac:dyDescent="0.2">
      <c r="A16" s="36" t="s">
        <v>3</v>
      </c>
      <c r="B16" s="59" t="e">
        <f>#REF!</f>
        <v>#REF!</v>
      </c>
      <c r="C16" s="59" t="e">
        <f>#REF!</f>
        <v>#REF!</v>
      </c>
      <c r="D16" s="59">
        <v>0</v>
      </c>
      <c r="E16" s="59">
        <v>0</v>
      </c>
      <c r="F16" s="59" t="e">
        <f>SUM(B16:E16)</f>
        <v>#REF!</v>
      </c>
      <c r="G16" s="94" t="e">
        <f>#REF!</f>
        <v>#REF!</v>
      </c>
      <c r="H16" s="61" t="e">
        <f>SUM(#REF!)</f>
        <v>#REF!</v>
      </c>
      <c r="I16" s="61" t="e">
        <f>G16-H16</f>
        <v>#REF!</v>
      </c>
    </row>
    <row r="17" spans="1:9" x14ac:dyDescent="0.2">
      <c r="A17" s="36" t="s">
        <v>5</v>
      </c>
      <c r="B17" s="81" t="e">
        <f>#REF!+#REF!</f>
        <v>#REF!</v>
      </c>
      <c r="C17" s="81" t="e">
        <f>#REF!+#REF!</f>
        <v>#REF!</v>
      </c>
      <c r="D17" s="81">
        <v>0</v>
      </c>
      <c r="E17" s="81">
        <v>0</v>
      </c>
      <c r="F17" s="81" t="e">
        <f>SUM(B17:E17)</f>
        <v>#REF!</v>
      </c>
    </row>
    <row r="18" spans="1:9" x14ac:dyDescent="0.2">
      <c r="A18" s="36" t="s">
        <v>4</v>
      </c>
      <c r="B18" s="59" t="e">
        <f>#REF!</f>
        <v>#REF!</v>
      </c>
      <c r="C18" s="59" t="e">
        <f>#REF!</f>
        <v>#REF!</v>
      </c>
      <c r="D18" s="59">
        <v>0</v>
      </c>
      <c r="E18" s="59">
        <v>0</v>
      </c>
      <c r="F18" s="59" t="e">
        <f>SUM(B18:E18)</f>
        <v>#REF!</v>
      </c>
    </row>
    <row r="19" spans="1:9" x14ac:dyDescent="0.2">
      <c r="A19" s="36" t="s">
        <v>6</v>
      </c>
      <c r="B19" s="59" t="e">
        <f>#REF!+#REF!</f>
        <v>#REF!</v>
      </c>
      <c r="C19" s="59" t="e">
        <f>#REF!+#REF!</f>
        <v>#REF!</v>
      </c>
      <c r="D19" s="59">
        <v>0</v>
      </c>
      <c r="E19" s="59">
        <v>0</v>
      </c>
      <c r="F19" s="59" t="e">
        <f>SUM(B19:E19)</f>
        <v>#REF!</v>
      </c>
    </row>
    <row r="20" spans="1:9" x14ac:dyDescent="0.2">
      <c r="A20" s="48"/>
      <c r="B20" s="67"/>
      <c r="C20" s="67"/>
      <c r="D20" s="67"/>
      <c r="E20" s="67"/>
      <c r="F20" s="67"/>
      <c r="G20" s="67"/>
      <c r="H20" s="67"/>
      <c r="I20" s="67"/>
    </row>
    <row r="21" spans="1:9" x14ac:dyDescent="0.2">
      <c r="A21" s="45" t="s">
        <v>49</v>
      </c>
      <c r="B21" s="65" t="s">
        <v>35</v>
      </c>
      <c r="C21" s="65" t="s">
        <v>36</v>
      </c>
      <c r="D21" s="65" t="s">
        <v>37</v>
      </c>
      <c r="E21" s="65" t="s">
        <v>38</v>
      </c>
      <c r="F21" s="65" t="s">
        <v>0</v>
      </c>
      <c r="G21" s="65" t="s">
        <v>40</v>
      </c>
      <c r="H21" s="65" t="s">
        <v>41</v>
      </c>
      <c r="I21" s="65" t="s">
        <v>39</v>
      </c>
    </row>
    <row r="22" spans="1:9" x14ac:dyDescent="0.2">
      <c r="A22" s="36" t="s">
        <v>3</v>
      </c>
      <c r="B22" s="59" t="e">
        <f>#REF!</f>
        <v>#REF!</v>
      </c>
      <c r="C22" s="59" t="e">
        <f>#REF!</f>
        <v>#REF!</v>
      </c>
      <c r="D22" s="59" t="e">
        <f>#REF!</f>
        <v>#REF!</v>
      </c>
      <c r="E22" s="59" t="e">
        <f>#REF!</f>
        <v>#REF!</v>
      </c>
      <c r="F22" s="59" t="e">
        <f>SUM(B22:E22)</f>
        <v>#REF!</v>
      </c>
      <c r="G22" s="94" t="e">
        <f>#REF!</f>
        <v>#REF!</v>
      </c>
      <c r="H22" s="61" t="e">
        <f>SUM(#REF!)</f>
        <v>#REF!</v>
      </c>
      <c r="I22" s="61" t="e">
        <f>G22-H22</f>
        <v>#REF!</v>
      </c>
    </row>
    <row r="23" spans="1:9" x14ac:dyDescent="0.2">
      <c r="A23" s="36" t="s">
        <v>5</v>
      </c>
      <c r="B23" s="81" t="e">
        <f>#REF!+#REF!</f>
        <v>#REF!</v>
      </c>
      <c r="C23" s="81" t="e">
        <f>#REF!+#REF!</f>
        <v>#REF!</v>
      </c>
      <c r="D23" s="81" t="e">
        <f>#REF!+#REF!</f>
        <v>#REF!</v>
      </c>
      <c r="E23" s="81" t="e">
        <f>#REF!+#REF!</f>
        <v>#REF!</v>
      </c>
      <c r="F23" s="81" t="e">
        <f>SUM(B23:E23)</f>
        <v>#REF!</v>
      </c>
    </row>
    <row r="24" spans="1:9" x14ac:dyDescent="0.2">
      <c r="A24" s="36" t="s">
        <v>4</v>
      </c>
      <c r="B24" s="59" t="e">
        <f>#REF!</f>
        <v>#REF!</v>
      </c>
      <c r="C24" s="59" t="e">
        <f>#REF!</f>
        <v>#REF!</v>
      </c>
      <c r="D24" s="59" t="e">
        <f>#REF!</f>
        <v>#REF!</v>
      </c>
      <c r="E24" s="59" t="e">
        <f>#REF!</f>
        <v>#REF!</v>
      </c>
      <c r="F24" s="59" t="e">
        <f>SUM(B24:E24)</f>
        <v>#REF!</v>
      </c>
    </row>
    <row r="25" spans="1:9" x14ac:dyDescent="0.2">
      <c r="A25" s="36" t="s">
        <v>6</v>
      </c>
      <c r="B25" s="59" t="e">
        <f>#REF!+#REF!</f>
        <v>#REF!</v>
      </c>
      <c r="C25" s="59" t="e">
        <f>#REF!+#REF!</f>
        <v>#REF!</v>
      </c>
      <c r="D25" s="59" t="e">
        <f>#REF!+#REF!</f>
        <v>#REF!</v>
      </c>
      <c r="E25" s="59" t="e">
        <f>#REF!+#REF!</f>
        <v>#REF!</v>
      </c>
      <c r="F25" s="59" t="e">
        <f>SUM(B25:E25)</f>
        <v>#REF!</v>
      </c>
    </row>
    <row r="26" spans="1:9" x14ac:dyDescent="0.2">
      <c r="A26" s="49"/>
      <c r="B26" s="87"/>
      <c r="C26" s="87"/>
      <c r="D26" s="87"/>
      <c r="E26" s="87"/>
      <c r="F26" s="87"/>
      <c r="G26" s="87"/>
      <c r="H26" s="87"/>
      <c r="I26" s="87"/>
    </row>
    <row r="27" spans="1:9" x14ac:dyDescent="0.2">
      <c r="A27" s="45" t="s">
        <v>50</v>
      </c>
      <c r="B27" s="65" t="s">
        <v>35</v>
      </c>
      <c r="C27" s="65" t="s">
        <v>36</v>
      </c>
      <c r="D27" s="65" t="s">
        <v>37</v>
      </c>
      <c r="E27" s="65" t="s">
        <v>38</v>
      </c>
      <c r="F27" s="65" t="s">
        <v>0</v>
      </c>
      <c r="G27" s="65" t="s">
        <v>40</v>
      </c>
      <c r="H27" s="65" t="s">
        <v>41</v>
      </c>
      <c r="I27" s="65" t="s">
        <v>39</v>
      </c>
    </row>
    <row r="28" spans="1:9" x14ac:dyDescent="0.2">
      <c r="A28" s="36" t="s">
        <v>3</v>
      </c>
      <c r="B28" s="59" t="e">
        <f>#REF!</f>
        <v>#REF!</v>
      </c>
      <c r="C28" s="59" t="e">
        <f>#REF!</f>
        <v>#REF!</v>
      </c>
      <c r="D28" s="59" t="e">
        <f>#REF!</f>
        <v>#REF!</v>
      </c>
      <c r="E28" s="59" t="e">
        <f>#REF!</f>
        <v>#REF!</v>
      </c>
      <c r="F28" s="59" t="e">
        <f>SUM(B28:E28)</f>
        <v>#REF!</v>
      </c>
      <c r="G28" s="94" t="e">
        <f>#REF!</f>
        <v>#REF!</v>
      </c>
      <c r="H28" s="61" t="e">
        <f>SUM(#REF!)</f>
        <v>#REF!</v>
      </c>
      <c r="I28" s="61" t="e">
        <f>G28-H28</f>
        <v>#REF!</v>
      </c>
    </row>
    <row r="29" spans="1:9" x14ac:dyDescent="0.2">
      <c r="A29" s="36" t="s">
        <v>5</v>
      </c>
      <c r="B29" s="95" t="e">
        <f>#REF!+#REF!</f>
        <v>#REF!</v>
      </c>
      <c r="C29" s="95" t="e">
        <f>#REF!+#REF!</f>
        <v>#REF!</v>
      </c>
      <c r="D29" s="95" t="e">
        <f>#REF!+#REF!</f>
        <v>#REF!</v>
      </c>
      <c r="E29" s="95" t="e">
        <f>#REF!+#REF!</f>
        <v>#REF!</v>
      </c>
      <c r="F29" s="95" t="e">
        <f>SUM(B29:E29)</f>
        <v>#REF!</v>
      </c>
    </row>
    <row r="30" spans="1:9" x14ac:dyDescent="0.2">
      <c r="A30" s="36" t="s">
        <v>4</v>
      </c>
      <c r="B30" s="59" t="e">
        <f>#REF!</f>
        <v>#REF!</v>
      </c>
      <c r="C30" s="59" t="e">
        <f>#REF!</f>
        <v>#REF!</v>
      </c>
      <c r="D30" s="59" t="e">
        <f>#REF!</f>
        <v>#REF!</v>
      </c>
      <c r="E30" s="59" t="e">
        <f>#REF!</f>
        <v>#REF!</v>
      </c>
      <c r="F30" s="59" t="e">
        <f>SUM(B30:E30)</f>
        <v>#REF!</v>
      </c>
    </row>
    <row r="31" spans="1:9" x14ac:dyDescent="0.2">
      <c r="A31" s="36" t="s">
        <v>6</v>
      </c>
      <c r="B31" s="59" t="e">
        <f>#REF!+#REF!</f>
        <v>#REF!</v>
      </c>
      <c r="C31" s="59" t="e">
        <f>#REF!+#REF!</f>
        <v>#REF!</v>
      </c>
      <c r="D31" s="59" t="e">
        <f>#REF!+#REF!</f>
        <v>#REF!</v>
      </c>
      <c r="E31" s="59" t="e">
        <f>#REF!+#REF!</f>
        <v>#REF!</v>
      </c>
      <c r="F31" s="59" t="e">
        <f>SUM(B31:E31)</f>
        <v>#REF!</v>
      </c>
    </row>
    <row r="32" spans="1:9" x14ac:dyDescent="0.2">
      <c r="A32" s="26"/>
    </row>
    <row r="33" spans="1:12" x14ac:dyDescent="0.2">
      <c r="A33" s="45" t="s">
        <v>52</v>
      </c>
      <c r="B33" s="65" t="s">
        <v>35</v>
      </c>
      <c r="C33" s="65" t="s">
        <v>36</v>
      </c>
      <c r="D33" s="65" t="s">
        <v>37</v>
      </c>
      <c r="E33" s="65" t="s">
        <v>38</v>
      </c>
      <c r="F33" s="65" t="s">
        <v>0</v>
      </c>
      <c r="G33" s="65" t="s">
        <v>40</v>
      </c>
      <c r="H33" s="65" t="s">
        <v>41</v>
      </c>
      <c r="I33" s="65" t="s">
        <v>39</v>
      </c>
    </row>
    <row r="34" spans="1:12" x14ac:dyDescent="0.2">
      <c r="A34" s="36" t="s">
        <v>3</v>
      </c>
      <c r="B34" s="59" t="e">
        <f>#REF!+#REF!</f>
        <v>#REF!</v>
      </c>
      <c r="C34" s="59" t="e">
        <f>#REF!+#REF!</f>
        <v>#REF!</v>
      </c>
      <c r="D34" s="59" t="e">
        <f>#REF!+#REF!</f>
        <v>#REF!</v>
      </c>
      <c r="E34" s="59" t="e">
        <f>#REF!+#REF!</f>
        <v>#REF!</v>
      </c>
      <c r="F34" s="59" t="e">
        <f>SUM(B34:E34)</f>
        <v>#REF!</v>
      </c>
      <c r="G34" s="94" t="e">
        <f>#REF!</f>
        <v>#REF!</v>
      </c>
      <c r="H34" s="61" t="e">
        <f>SUM(#REF!)+SUM(#REF!)</f>
        <v>#REF!</v>
      </c>
      <c r="I34" s="61" t="e">
        <f>G34-H34</f>
        <v>#REF!</v>
      </c>
    </row>
    <row r="35" spans="1:12" x14ac:dyDescent="0.2">
      <c r="A35" s="36" t="s">
        <v>5</v>
      </c>
      <c r="B35" s="81" t="e">
        <f>#REF!+#REF!+#REF!+#REF!</f>
        <v>#REF!</v>
      </c>
      <c r="C35" s="81" t="e">
        <f>#REF!+#REF!+#REF!+#REF!</f>
        <v>#REF!</v>
      </c>
      <c r="D35" s="81" t="e">
        <f>#REF!+#REF!+#REF!+#REF!</f>
        <v>#REF!</v>
      </c>
      <c r="E35" s="81" t="e">
        <f>#REF!+#REF!+#REF!+#REF!</f>
        <v>#REF!</v>
      </c>
      <c r="F35" s="81" t="e">
        <f>SUM(B35:E35)</f>
        <v>#REF!</v>
      </c>
    </row>
    <row r="36" spans="1:12" x14ac:dyDescent="0.2">
      <c r="A36" s="36" t="s">
        <v>4</v>
      </c>
      <c r="B36" s="59" t="e">
        <f>#REF!</f>
        <v>#REF!</v>
      </c>
      <c r="C36" s="59" t="e">
        <f>#REF!</f>
        <v>#REF!</v>
      </c>
      <c r="D36" s="59" t="e">
        <f>#REF!</f>
        <v>#REF!</v>
      </c>
      <c r="E36" s="59" t="e">
        <f>#REF!</f>
        <v>#REF!</v>
      </c>
      <c r="F36" s="59" t="e">
        <f>SUM(B36:E36)</f>
        <v>#REF!</v>
      </c>
    </row>
    <row r="37" spans="1:12" x14ac:dyDescent="0.2">
      <c r="A37" s="36" t="s">
        <v>6</v>
      </c>
      <c r="B37" s="59" t="e">
        <f>#REF!+#REF!</f>
        <v>#REF!</v>
      </c>
      <c r="C37" s="59" t="e">
        <f>#REF!+#REF!</f>
        <v>#REF!</v>
      </c>
      <c r="D37" s="59" t="e">
        <f>#REF!+#REF!</f>
        <v>#REF!</v>
      </c>
      <c r="E37" s="59" t="e">
        <f>#REF!+#REF!</f>
        <v>#REF!</v>
      </c>
      <c r="F37" s="59" t="e">
        <f>SUM(B37:E37)</f>
        <v>#REF!</v>
      </c>
    </row>
    <row r="38" spans="1:12" x14ac:dyDescent="0.2">
      <c r="A38" s="50"/>
      <c r="B38" s="83"/>
      <c r="C38" s="83"/>
      <c r="D38" s="83"/>
      <c r="E38" s="83"/>
      <c r="F38" s="83"/>
      <c r="G38" s="83"/>
      <c r="H38" s="83"/>
      <c r="I38" s="83"/>
    </row>
    <row r="39" spans="1:12" x14ac:dyDescent="0.2">
      <c r="A39" s="45" t="s">
        <v>54</v>
      </c>
      <c r="B39" s="65" t="s">
        <v>35</v>
      </c>
      <c r="C39" s="65" t="s">
        <v>36</v>
      </c>
      <c r="D39" s="65" t="s">
        <v>37</v>
      </c>
      <c r="E39" s="65" t="s">
        <v>38</v>
      </c>
      <c r="F39" s="65" t="s">
        <v>0</v>
      </c>
      <c r="G39" s="65" t="s">
        <v>40</v>
      </c>
      <c r="H39" s="65" t="s">
        <v>41</v>
      </c>
      <c r="I39" s="65" t="s">
        <v>39</v>
      </c>
    </row>
    <row r="40" spans="1:12" x14ac:dyDescent="0.2">
      <c r="A40" s="36" t="s">
        <v>3</v>
      </c>
      <c r="B40" s="74" t="e">
        <f>#REF!</f>
        <v>#REF!</v>
      </c>
      <c r="C40" s="74" t="e">
        <f>#REF!</f>
        <v>#REF!</v>
      </c>
      <c r="D40" s="74" t="e">
        <f>#REF!</f>
        <v>#REF!</v>
      </c>
      <c r="E40" s="74" t="e">
        <f>#REF!</f>
        <v>#REF!</v>
      </c>
      <c r="F40" s="74" t="e">
        <f>SUM(B40:E40)</f>
        <v>#REF!</v>
      </c>
      <c r="G40" s="93" t="e">
        <f>#REF!</f>
        <v>#REF!</v>
      </c>
      <c r="H40" s="77" t="e">
        <f>SUM(#REF!)</f>
        <v>#REF!</v>
      </c>
      <c r="I40" s="77" t="e">
        <f>G40-H40</f>
        <v>#REF!</v>
      </c>
    </row>
    <row r="41" spans="1:12" x14ac:dyDescent="0.2">
      <c r="A41" s="36" t="s">
        <v>5</v>
      </c>
      <c r="B41" s="84" t="e">
        <f>#REF!+#REF!</f>
        <v>#REF!</v>
      </c>
      <c r="C41" s="84" t="e">
        <f>#REF!+#REF!</f>
        <v>#REF!</v>
      </c>
      <c r="D41" s="84" t="e">
        <f>#REF!+#REF!</f>
        <v>#REF!</v>
      </c>
      <c r="E41" s="84" t="e">
        <f>#REF!+#REF!</f>
        <v>#REF!</v>
      </c>
      <c r="F41" s="84" t="e">
        <f>SUM(B41:E41)</f>
        <v>#REF!</v>
      </c>
    </row>
    <row r="42" spans="1:12" x14ac:dyDescent="0.2">
      <c r="A42" s="36" t="s">
        <v>4</v>
      </c>
      <c r="B42" s="74" t="e">
        <f>#REF!</f>
        <v>#REF!</v>
      </c>
      <c r="C42" s="74" t="e">
        <f>#REF!</f>
        <v>#REF!</v>
      </c>
      <c r="D42" s="74" t="e">
        <f>#REF!</f>
        <v>#REF!</v>
      </c>
      <c r="E42" s="74" t="e">
        <f>#REF!</f>
        <v>#REF!</v>
      </c>
      <c r="F42" s="74" t="e">
        <f>SUM(B42:E42)</f>
        <v>#REF!</v>
      </c>
    </row>
    <row r="43" spans="1:12" x14ac:dyDescent="0.2">
      <c r="A43" s="36" t="s">
        <v>6</v>
      </c>
      <c r="B43" s="74" t="e">
        <f>#REF!+#REF!</f>
        <v>#REF!</v>
      </c>
      <c r="C43" s="74" t="e">
        <f>#REF!+#REF!</f>
        <v>#REF!</v>
      </c>
      <c r="D43" s="74" t="e">
        <f>#REF!+#REF!</f>
        <v>#REF!</v>
      </c>
      <c r="E43" s="74" t="e">
        <f>#REF!+#REF!</f>
        <v>#REF!</v>
      </c>
      <c r="F43" s="74" t="e">
        <f>SUM(B43:E43)</f>
        <v>#REF!</v>
      </c>
    </row>
    <row r="44" spans="1:12" x14ac:dyDescent="0.2">
      <c r="A44" s="48"/>
      <c r="B44" s="67"/>
      <c r="C44" s="67"/>
      <c r="D44" s="67"/>
      <c r="E44" s="67"/>
      <c r="F44" s="67"/>
      <c r="G44" s="67"/>
      <c r="H44" s="67"/>
      <c r="I44" s="67"/>
      <c r="K44" t="s">
        <v>44</v>
      </c>
      <c r="L44" t="s">
        <v>45</v>
      </c>
    </row>
    <row r="45" spans="1:12" x14ac:dyDescent="0.2">
      <c r="A45" s="45" t="s">
        <v>55</v>
      </c>
      <c r="B45" s="65" t="s">
        <v>35</v>
      </c>
      <c r="C45" s="65" t="s">
        <v>36</v>
      </c>
      <c r="D45" s="65" t="s">
        <v>37</v>
      </c>
      <c r="E45" s="65" t="s">
        <v>38</v>
      </c>
      <c r="F45" s="65" t="s">
        <v>0</v>
      </c>
      <c r="G45" s="65" t="s">
        <v>40</v>
      </c>
      <c r="H45" s="65" t="s">
        <v>41</v>
      </c>
      <c r="I45" s="65" t="s">
        <v>39</v>
      </c>
      <c r="K45">
        <v>274364.05</v>
      </c>
      <c r="L45">
        <v>382795.32</v>
      </c>
    </row>
    <row r="46" spans="1:12" x14ac:dyDescent="0.2">
      <c r="A46" s="36" t="s">
        <v>3</v>
      </c>
      <c r="B46" s="59" t="e">
        <f>#REF!</f>
        <v>#REF!</v>
      </c>
      <c r="C46" s="59" t="e">
        <f>#REF!</f>
        <v>#REF!</v>
      </c>
      <c r="D46" s="59" t="e">
        <f>#REF!</f>
        <v>#REF!</v>
      </c>
      <c r="E46" s="59" t="e">
        <f>#REF!</f>
        <v>#REF!</v>
      </c>
      <c r="F46" s="59" t="e">
        <f>SUM(B46:E46)</f>
        <v>#REF!</v>
      </c>
      <c r="G46" s="94" t="e">
        <f>#REF!</f>
        <v>#REF!</v>
      </c>
      <c r="H46" s="61" t="e">
        <f>SUM(#REF!)</f>
        <v>#REF!</v>
      </c>
      <c r="I46" s="61" t="e">
        <f>G46-H46</f>
        <v>#REF!</v>
      </c>
      <c r="K46">
        <v>2524533</v>
      </c>
      <c r="L46">
        <v>3522252.62</v>
      </c>
    </row>
    <row r="47" spans="1:12" x14ac:dyDescent="0.2">
      <c r="A47" s="36" t="s">
        <v>5</v>
      </c>
      <c r="B47" s="81" t="e">
        <f>#REF!+#REF!</f>
        <v>#REF!</v>
      </c>
      <c r="C47" s="81" t="e">
        <f>#REF!+#REF!</f>
        <v>#REF!</v>
      </c>
      <c r="D47" s="81" t="e">
        <f>#REF!+#REF!</f>
        <v>#REF!</v>
      </c>
      <c r="E47" s="81" t="e">
        <f>#REF!+#REF!</f>
        <v>#REF!</v>
      </c>
      <c r="F47" s="81" t="e">
        <f>SUM(B47:E47)</f>
        <v>#REF!</v>
      </c>
      <c r="K47">
        <v>1730060.4</v>
      </c>
      <c r="L47">
        <v>2413796.83</v>
      </c>
    </row>
    <row r="48" spans="1:12" x14ac:dyDescent="0.2">
      <c r="A48" s="36" t="s">
        <v>4</v>
      </c>
      <c r="B48" s="59" t="e">
        <f>#REF!</f>
        <v>#REF!</v>
      </c>
      <c r="C48" s="59" t="e">
        <f>#REF!</f>
        <v>#REF!</v>
      </c>
      <c r="D48" s="59" t="e">
        <f>#REF!</f>
        <v>#REF!</v>
      </c>
      <c r="E48" s="59" t="e">
        <f>#REF!</f>
        <v>#REF!</v>
      </c>
      <c r="F48" s="59" t="e">
        <f>SUM(B48:E48)</f>
        <v>#REF!</v>
      </c>
      <c r="K48">
        <v>5232476.7300000004</v>
      </c>
      <c r="L48">
        <v>7300401.6399999997</v>
      </c>
    </row>
    <row r="49" spans="1:12" x14ac:dyDescent="0.2">
      <c r="A49" s="36" t="s">
        <v>6</v>
      </c>
      <c r="B49" s="59" t="e">
        <f>#REF!+#REF!</f>
        <v>#REF!</v>
      </c>
      <c r="C49" s="59" t="e">
        <f>#REF!+#REF!</f>
        <v>#REF!</v>
      </c>
      <c r="D49" s="59" t="e">
        <f>#REF!+#REF!</f>
        <v>#REF!</v>
      </c>
      <c r="E49" s="59" t="e">
        <f>#REF!+#REF!</f>
        <v>#REF!</v>
      </c>
      <c r="F49" s="59" t="e">
        <f>SUM(B49:E49)</f>
        <v>#REF!</v>
      </c>
      <c r="K49">
        <v>1036509.11</v>
      </c>
      <c r="L49">
        <v>1446147.46</v>
      </c>
    </row>
    <row r="50" spans="1:12" x14ac:dyDescent="0.2">
      <c r="A50" s="51"/>
      <c r="B50" s="96"/>
      <c r="C50" s="96"/>
      <c r="D50" s="96"/>
      <c r="E50" s="96"/>
      <c r="F50" s="96"/>
      <c r="G50" s="67"/>
      <c r="H50" s="67"/>
      <c r="I50" s="67"/>
      <c r="K50" s="27">
        <f>SUM(K45:K49)</f>
        <v>10797943.289999999</v>
      </c>
      <c r="L50" s="27">
        <f>SUM(L45:L49)</f>
        <v>15065393.870000001</v>
      </c>
    </row>
    <row r="51" spans="1:12" x14ac:dyDescent="0.2">
      <c r="A51" s="45" t="s">
        <v>56</v>
      </c>
      <c r="B51" s="65" t="s">
        <v>35</v>
      </c>
      <c r="C51" s="65" t="s">
        <v>36</v>
      </c>
      <c r="D51" s="65" t="s">
        <v>37</v>
      </c>
      <c r="E51" s="65" t="s">
        <v>38</v>
      </c>
      <c r="F51" s="65" t="s">
        <v>0</v>
      </c>
      <c r="G51" s="65" t="s">
        <v>40</v>
      </c>
      <c r="H51" s="65" t="s">
        <v>41</v>
      </c>
      <c r="I51" s="65" t="s">
        <v>39</v>
      </c>
    </row>
    <row r="52" spans="1:12" x14ac:dyDescent="0.2">
      <c r="A52" s="36" t="s">
        <v>3</v>
      </c>
      <c r="B52" s="59" t="e">
        <f>#REF!</f>
        <v>#REF!</v>
      </c>
      <c r="C52" s="59" t="e">
        <f>#REF!</f>
        <v>#REF!</v>
      </c>
      <c r="D52" s="59" t="e">
        <f>#REF!</f>
        <v>#REF!</v>
      </c>
      <c r="E52" s="59" t="e">
        <f>#REF!</f>
        <v>#REF!</v>
      </c>
      <c r="F52" s="59" t="e">
        <f>SUM(B52:E52)</f>
        <v>#REF!</v>
      </c>
      <c r="G52" s="94" t="e">
        <f>#REF!</f>
        <v>#REF!</v>
      </c>
      <c r="H52" s="61" t="e">
        <f>SUM(#REF!)</f>
        <v>#REF!</v>
      </c>
      <c r="I52" s="61" t="e">
        <f>G52-H52</f>
        <v>#REF!</v>
      </c>
    </row>
    <row r="53" spans="1:12" x14ac:dyDescent="0.2">
      <c r="A53" s="36" t="s">
        <v>5</v>
      </c>
      <c r="B53" s="81" t="e">
        <f>#REF!+#REF!</f>
        <v>#REF!</v>
      </c>
      <c r="C53" s="81" t="e">
        <f>#REF!+#REF!</f>
        <v>#REF!</v>
      </c>
      <c r="D53" s="81" t="e">
        <f>#REF!+#REF!</f>
        <v>#REF!</v>
      </c>
      <c r="E53" s="81" t="e">
        <f>#REF!+#REF!</f>
        <v>#REF!</v>
      </c>
      <c r="F53" s="81" t="e">
        <f>SUM(B53:E53)</f>
        <v>#REF!</v>
      </c>
    </row>
    <row r="54" spans="1:12" x14ac:dyDescent="0.2">
      <c r="A54" s="36" t="s">
        <v>4</v>
      </c>
      <c r="B54" s="59" t="e">
        <f>#REF!</f>
        <v>#REF!</v>
      </c>
      <c r="C54" s="59" t="e">
        <f>#REF!</f>
        <v>#REF!</v>
      </c>
      <c r="D54" s="59" t="e">
        <f>#REF!</f>
        <v>#REF!</v>
      </c>
      <c r="E54" s="59" t="e">
        <f>#REF!</f>
        <v>#REF!</v>
      </c>
      <c r="F54" s="59" t="e">
        <f>SUM(B54:E54)</f>
        <v>#REF!</v>
      </c>
    </row>
    <row r="55" spans="1:12" x14ac:dyDescent="0.2">
      <c r="A55" s="36" t="s">
        <v>6</v>
      </c>
      <c r="B55" s="59" t="e">
        <f>#REF!+#REF!</f>
        <v>#REF!</v>
      </c>
      <c r="C55" s="59" t="e">
        <f>#REF!+#REF!</f>
        <v>#REF!</v>
      </c>
      <c r="D55" s="59" t="e">
        <f>#REF!+#REF!</f>
        <v>#REF!</v>
      </c>
      <c r="E55" s="59" t="e">
        <f>#REF!+#REF!</f>
        <v>#REF!</v>
      </c>
      <c r="F55" s="59" t="e">
        <f>SUM(B55:E55)</f>
        <v>#REF!</v>
      </c>
    </row>
    <row r="56" spans="1:12" x14ac:dyDescent="0.2">
      <c r="A56" s="52"/>
      <c r="B56" s="97"/>
      <c r="C56" s="97"/>
      <c r="D56" s="97"/>
      <c r="E56" s="98"/>
      <c r="F56" s="67"/>
      <c r="G56" s="67"/>
      <c r="H56" s="67"/>
      <c r="I56" s="67"/>
    </row>
    <row r="57" spans="1:12" s="26" customFormat="1" x14ac:dyDescent="0.2">
      <c r="A57" s="45" t="s">
        <v>51</v>
      </c>
      <c r="B57" s="65" t="s">
        <v>35</v>
      </c>
      <c r="C57" s="65" t="s">
        <v>36</v>
      </c>
      <c r="D57" s="65" t="s">
        <v>37</v>
      </c>
      <c r="E57" s="65" t="s">
        <v>38</v>
      </c>
      <c r="F57" s="65" t="s">
        <v>0</v>
      </c>
      <c r="G57" s="65" t="s">
        <v>40</v>
      </c>
      <c r="H57" s="65" t="s">
        <v>41</v>
      </c>
      <c r="I57" s="65" t="s">
        <v>39</v>
      </c>
    </row>
    <row r="58" spans="1:12" s="26" customFormat="1" x14ac:dyDescent="0.2">
      <c r="A58" s="36" t="s">
        <v>3</v>
      </c>
      <c r="B58" s="59" t="e">
        <f>#REF!</f>
        <v>#REF!</v>
      </c>
      <c r="C58" s="59" t="e">
        <f>#REF!</f>
        <v>#REF!</v>
      </c>
      <c r="D58" s="59" t="e">
        <f>#REF!</f>
        <v>#REF!</v>
      </c>
      <c r="E58" s="59" t="e">
        <f>#REF!</f>
        <v>#REF!</v>
      </c>
      <c r="F58" s="59" t="e">
        <f>SUM(B58:E58)</f>
        <v>#REF!</v>
      </c>
      <c r="G58" s="94" t="e">
        <f>#REF!</f>
        <v>#REF!</v>
      </c>
      <c r="H58" s="61" t="e">
        <f>SUM(#REF!)</f>
        <v>#REF!</v>
      </c>
      <c r="I58" s="61" t="e">
        <f>G58-H58</f>
        <v>#REF!</v>
      </c>
    </row>
    <row r="59" spans="1:12" s="26" customFormat="1" x14ac:dyDescent="0.2">
      <c r="A59" s="36" t="s">
        <v>5</v>
      </c>
      <c r="B59" s="59" t="e">
        <f>#REF!+#REF!</f>
        <v>#REF!</v>
      </c>
      <c r="C59" s="59" t="e">
        <f>#REF!+#REF!</f>
        <v>#REF!</v>
      </c>
      <c r="D59" s="59" t="e">
        <f>#REF!+#REF!</f>
        <v>#REF!</v>
      </c>
      <c r="E59" s="59" t="e">
        <f>#REF!+#REF!</f>
        <v>#REF!</v>
      </c>
      <c r="F59" s="59" t="e">
        <f>SUM(B59:E59)</f>
        <v>#REF!</v>
      </c>
      <c r="G59" s="72"/>
      <c r="H59" s="72"/>
      <c r="I59" s="72"/>
    </row>
    <row r="60" spans="1:12" s="26" customFormat="1" x14ac:dyDescent="0.2">
      <c r="A60" s="36" t="s">
        <v>4</v>
      </c>
      <c r="B60" s="59" t="e">
        <f>#REF!+#REF!</f>
        <v>#REF!</v>
      </c>
      <c r="C60" s="59" t="e">
        <f>#REF!+#REF!</f>
        <v>#REF!</v>
      </c>
      <c r="D60" s="59" t="e">
        <f>#REF!+#REF!</f>
        <v>#REF!</v>
      </c>
      <c r="E60" s="59" t="e">
        <f>#REF!+#REF!</f>
        <v>#REF!</v>
      </c>
      <c r="F60" s="59" t="e">
        <f>SUM(B60:E60)</f>
        <v>#REF!</v>
      </c>
      <c r="G60" s="72"/>
      <c r="H60" s="72"/>
      <c r="I60" s="72"/>
    </row>
    <row r="61" spans="1:12" s="26" customFormat="1" x14ac:dyDescent="0.2">
      <c r="A61" s="36" t="s">
        <v>6</v>
      </c>
      <c r="B61" s="59" t="e">
        <f>#REF!+#REF!+#REF!+#REF!</f>
        <v>#REF!</v>
      </c>
      <c r="C61" s="59" t="e">
        <f>#REF!+#REF!+#REF!+#REF!</f>
        <v>#REF!</v>
      </c>
      <c r="D61" s="59" t="e">
        <f>#REF!+#REF!+#REF!+#REF!</f>
        <v>#REF!</v>
      </c>
      <c r="E61" s="59" t="e">
        <f>#REF!+#REF!+#REF!+#REF!</f>
        <v>#REF!</v>
      </c>
      <c r="F61" s="59" t="e">
        <f>SUM(B61:E61)</f>
        <v>#REF!</v>
      </c>
      <c r="G61" s="72"/>
      <c r="H61" s="72"/>
      <c r="I61" s="72"/>
    </row>
    <row r="62" spans="1:12" x14ac:dyDescent="0.2">
      <c r="A62" s="50"/>
      <c r="B62" s="88"/>
      <c r="C62" s="88"/>
      <c r="D62" s="88"/>
      <c r="E62" s="88"/>
      <c r="F62" s="88"/>
      <c r="G62" s="88"/>
      <c r="H62" s="88"/>
      <c r="I62" s="88"/>
    </row>
    <row r="63" spans="1:12" s="26" customFormat="1" x14ac:dyDescent="0.2">
      <c r="A63" s="45" t="s">
        <v>57</v>
      </c>
      <c r="B63" s="65" t="s">
        <v>35</v>
      </c>
      <c r="C63" s="65" t="s">
        <v>36</v>
      </c>
      <c r="D63" s="65" t="s">
        <v>37</v>
      </c>
      <c r="E63" s="65" t="s">
        <v>38</v>
      </c>
      <c r="F63" s="65" t="s">
        <v>0</v>
      </c>
      <c r="G63" s="65" t="s">
        <v>40</v>
      </c>
      <c r="H63" s="65" t="s">
        <v>41</v>
      </c>
      <c r="I63" s="65" t="s">
        <v>39</v>
      </c>
    </row>
    <row r="64" spans="1:12" s="26" customFormat="1" x14ac:dyDescent="0.2">
      <c r="A64" s="36" t="s">
        <v>3</v>
      </c>
      <c r="B64" s="59" t="e">
        <f>#REF!</f>
        <v>#REF!</v>
      </c>
      <c r="C64" s="59" t="e">
        <f>#REF!</f>
        <v>#REF!</v>
      </c>
      <c r="D64" s="59" t="e">
        <f>#REF!</f>
        <v>#REF!</v>
      </c>
      <c r="E64" s="59" t="e">
        <f>#REF!</f>
        <v>#REF!</v>
      </c>
      <c r="F64" s="59" t="e">
        <f>SUM(B64:E64)</f>
        <v>#REF!</v>
      </c>
      <c r="G64" s="94" t="e">
        <f>#REF!</f>
        <v>#REF!</v>
      </c>
      <c r="H64" s="61" t="e">
        <f>SUM(#REF!)</f>
        <v>#REF!</v>
      </c>
      <c r="I64" s="61" t="e">
        <f>G64-H64</f>
        <v>#REF!</v>
      </c>
    </row>
    <row r="65" spans="1:9" s="26" customFormat="1" x14ac:dyDescent="0.2">
      <c r="A65" s="36" t="s">
        <v>5</v>
      </c>
      <c r="B65" s="59" t="e">
        <f>#REF!+#REF!</f>
        <v>#REF!</v>
      </c>
      <c r="C65" s="59" t="e">
        <f>#REF!+#REF!</f>
        <v>#REF!</v>
      </c>
      <c r="D65" s="59" t="e">
        <f>#REF!+#REF!</f>
        <v>#REF!</v>
      </c>
      <c r="E65" s="59" t="e">
        <f>#REF!+#REF!</f>
        <v>#REF!</v>
      </c>
      <c r="F65" s="59" t="e">
        <f>SUM(B65:E65)</f>
        <v>#REF!</v>
      </c>
      <c r="G65" s="72"/>
      <c r="H65" s="72"/>
      <c r="I65" s="72"/>
    </row>
    <row r="66" spans="1:9" s="26" customFormat="1" x14ac:dyDescent="0.2">
      <c r="A66" s="36" t="s">
        <v>4</v>
      </c>
      <c r="B66" s="59" t="e">
        <f>#REF!</f>
        <v>#REF!</v>
      </c>
      <c r="C66" s="59" t="e">
        <f>#REF!</f>
        <v>#REF!</v>
      </c>
      <c r="D66" s="59" t="e">
        <f>#REF!</f>
        <v>#REF!</v>
      </c>
      <c r="E66" s="59" t="e">
        <f>#REF!</f>
        <v>#REF!</v>
      </c>
      <c r="F66" s="59" t="e">
        <f>SUM(B66:E66)</f>
        <v>#REF!</v>
      </c>
      <c r="G66" s="72"/>
      <c r="H66" s="72"/>
      <c r="I66" s="72"/>
    </row>
    <row r="67" spans="1:9" s="26" customFormat="1" x14ac:dyDescent="0.2">
      <c r="A67" s="36" t="s">
        <v>6</v>
      </c>
      <c r="B67" s="59" t="e">
        <f>#REF!+#REF!</f>
        <v>#REF!</v>
      </c>
      <c r="C67" s="59" t="e">
        <f>#REF!+#REF!</f>
        <v>#REF!</v>
      </c>
      <c r="D67" s="59" t="e">
        <f>#REF!+#REF!</f>
        <v>#REF!</v>
      </c>
      <c r="E67" s="59" t="e">
        <f>#REF!+#REF!</f>
        <v>#REF!</v>
      </c>
      <c r="F67" s="59" t="e">
        <f>SUM(B67:E67)</f>
        <v>#REF!</v>
      </c>
      <c r="G67" s="72"/>
      <c r="H67" s="72"/>
      <c r="I67" s="72"/>
    </row>
    <row r="68" spans="1:9" x14ac:dyDescent="0.2">
      <c r="A68" s="48"/>
      <c r="B68" s="67"/>
      <c r="C68" s="67"/>
      <c r="D68" s="67"/>
      <c r="E68" s="67"/>
      <c r="F68" s="67"/>
      <c r="G68" s="67"/>
      <c r="H68" s="67"/>
      <c r="I68" s="67"/>
    </row>
    <row r="69" spans="1:9" x14ac:dyDescent="0.2">
      <c r="A69" s="45" t="s">
        <v>59</v>
      </c>
      <c r="B69" s="65" t="s">
        <v>35</v>
      </c>
      <c r="C69" s="65" t="s">
        <v>36</v>
      </c>
      <c r="D69" s="65" t="s">
        <v>37</v>
      </c>
      <c r="E69" s="65" t="s">
        <v>38</v>
      </c>
      <c r="F69" s="65" t="s">
        <v>0</v>
      </c>
      <c r="G69" s="65" t="s">
        <v>40</v>
      </c>
      <c r="H69" s="65" t="s">
        <v>41</v>
      </c>
      <c r="I69" s="65" t="s">
        <v>39</v>
      </c>
    </row>
    <row r="70" spans="1:9" x14ac:dyDescent="0.2">
      <c r="A70" s="36" t="s">
        <v>3</v>
      </c>
      <c r="B70" s="59" t="e">
        <f>#REF!</f>
        <v>#REF!</v>
      </c>
      <c r="C70" s="59" t="e">
        <f>#REF!</f>
        <v>#REF!</v>
      </c>
      <c r="D70" s="59" t="e">
        <f>#REF!</f>
        <v>#REF!</v>
      </c>
      <c r="E70" s="59" t="e">
        <f>#REF!</f>
        <v>#REF!</v>
      </c>
      <c r="F70" s="59" t="e">
        <f>SUM(B70:E70)</f>
        <v>#REF!</v>
      </c>
      <c r="G70" s="94" t="e">
        <f>#REF!</f>
        <v>#REF!</v>
      </c>
      <c r="H70" s="61" t="e">
        <f>SUM(#REF!)</f>
        <v>#REF!</v>
      </c>
      <c r="I70" s="61" t="e">
        <f>G70-H70</f>
        <v>#REF!</v>
      </c>
    </row>
    <row r="71" spans="1:9" x14ac:dyDescent="0.2">
      <c r="A71" s="36" t="s">
        <v>5</v>
      </c>
      <c r="B71" s="81" t="e">
        <f>#REF!+#REF!</f>
        <v>#REF!</v>
      </c>
      <c r="C71" s="81" t="e">
        <f>#REF!+#REF!</f>
        <v>#REF!</v>
      </c>
      <c r="D71" s="81" t="e">
        <f>#REF!+#REF!</f>
        <v>#REF!</v>
      </c>
      <c r="E71" s="81" t="e">
        <f>#REF!+#REF!</f>
        <v>#REF!</v>
      </c>
      <c r="F71" s="81" t="e">
        <f>SUM(B71:E71)</f>
        <v>#REF!</v>
      </c>
    </row>
    <row r="72" spans="1:9" x14ac:dyDescent="0.2">
      <c r="A72" s="36" t="s">
        <v>4</v>
      </c>
      <c r="B72" s="59" t="e">
        <f>#REF!</f>
        <v>#REF!</v>
      </c>
      <c r="C72" s="59" t="e">
        <f>#REF!</f>
        <v>#REF!</v>
      </c>
      <c r="D72" s="59" t="e">
        <f>#REF!</f>
        <v>#REF!</v>
      </c>
      <c r="E72" s="59" t="e">
        <f>#REF!</f>
        <v>#REF!</v>
      </c>
      <c r="F72" s="59" t="e">
        <f>SUM(B72:E72)</f>
        <v>#REF!</v>
      </c>
    </row>
    <row r="73" spans="1:9" x14ac:dyDescent="0.2">
      <c r="A73" s="36" t="s">
        <v>6</v>
      </c>
      <c r="B73" s="59" t="e">
        <f>#REF!+#REF!</f>
        <v>#REF!</v>
      </c>
      <c r="C73" s="59" t="e">
        <f>#REF!+#REF!</f>
        <v>#REF!</v>
      </c>
      <c r="D73" s="59" t="e">
        <f>#REF!+#REF!</f>
        <v>#REF!</v>
      </c>
      <c r="E73" s="59" t="e">
        <f>#REF!+#REF!</f>
        <v>#REF!</v>
      </c>
      <c r="F73" s="59" t="e">
        <f>SUM(B73:E73)</f>
        <v>#REF!</v>
      </c>
    </row>
    <row r="74" spans="1:9" x14ac:dyDescent="0.2">
      <c r="A74" s="48"/>
      <c r="B74" s="67"/>
      <c r="C74" s="67"/>
      <c r="D74" s="67"/>
      <c r="E74" s="67"/>
      <c r="F74" s="67"/>
      <c r="G74" s="67"/>
      <c r="H74" s="67"/>
      <c r="I74" s="67"/>
    </row>
    <row r="75" spans="1:9" x14ac:dyDescent="0.2">
      <c r="A75" s="45" t="s">
        <v>53</v>
      </c>
      <c r="B75" s="65" t="s">
        <v>35</v>
      </c>
      <c r="C75" s="65" t="s">
        <v>36</v>
      </c>
      <c r="D75" s="65" t="s">
        <v>37</v>
      </c>
      <c r="E75" s="65" t="s">
        <v>38</v>
      </c>
      <c r="F75" s="65" t="s">
        <v>0</v>
      </c>
      <c r="G75" s="65" t="s">
        <v>40</v>
      </c>
      <c r="H75" s="65" t="s">
        <v>41</v>
      </c>
      <c r="I75" s="65" t="s">
        <v>39</v>
      </c>
    </row>
    <row r="76" spans="1:9" x14ac:dyDescent="0.2">
      <c r="A76" s="32" t="s">
        <v>3</v>
      </c>
      <c r="B76" s="59" t="e">
        <f>#REF!</f>
        <v>#REF!</v>
      </c>
      <c r="C76" s="59" t="e">
        <f>#REF!</f>
        <v>#REF!</v>
      </c>
      <c r="D76" s="59" t="e">
        <f>#REF!</f>
        <v>#REF!</v>
      </c>
      <c r="E76" s="59" t="e">
        <f>#REF!</f>
        <v>#REF!</v>
      </c>
      <c r="F76" s="59" t="e">
        <f>SUM(B76:E76)</f>
        <v>#REF!</v>
      </c>
      <c r="G76" s="94" t="e">
        <f>#REF!</f>
        <v>#REF!</v>
      </c>
      <c r="H76" s="61" t="e">
        <f>SUM(#REF!)</f>
        <v>#REF!</v>
      </c>
      <c r="I76" s="61" t="e">
        <f>G76-H76</f>
        <v>#REF!</v>
      </c>
    </row>
    <row r="77" spans="1:9" x14ac:dyDescent="0.2">
      <c r="A77" s="32" t="s">
        <v>5</v>
      </c>
      <c r="B77" s="81" t="e">
        <f>#REF!+#REF!</f>
        <v>#REF!</v>
      </c>
      <c r="C77" s="81" t="e">
        <f>#REF!+#REF!</f>
        <v>#REF!</v>
      </c>
      <c r="D77" s="81" t="e">
        <f>#REF!+#REF!</f>
        <v>#REF!</v>
      </c>
      <c r="E77" s="81" t="e">
        <f>#REF!+#REF!</f>
        <v>#REF!</v>
      </c>
      <c r="F77" s="81" t="e">
        <f>SUM(B77:E77)</f>
        <v>#REF!</v>
      </c>
    </row>
    <row r="78" spans="1:9" x14ac:dyDescent="0.2">
      <c r="A78" s="32" t="s">
        <v>4</v>
      </c>
      <c r="B78" s="59" t="e">
        <f>#REF!</f>
        <v>#REF!</v>
      </c>
      <c r="C78" s="59" t="e">
        <f>#REF!</f>
        <v>#REF!</v>
      </c>
      <c r="D78" s="59" t="e">
        <f>#REF!</f>
        <v>#REF!</v>
      </c>
      <c r="E78" s="59" t="e">
        <f>#REF!</f>
        <v>#REF!</v>
      </c>
      <c r="F78" s="59" t="e">
        <f>SUM(B78:E78)</f>
        <v>#REF!</v>
      </c>
    </row>
    <row r="79" spans="1:9" x14ac:dyDescent="0.2">
      <c r="A79" s="32" t="s">
        <v>6</v>
      </c>
      <c r="B79" s="59" t="e">
        <f>#REF!</f>
        <v>#REF!</v>
      </c>
      <c r="C79" s="59" t="e">
        <f>#REF!</f>
        <v>#REF!</v>
      </c>
      <c r="D79" s="59" t="e">
        <f>#REF!</f>
        <v>#REF!</v>
      </c>
      <c r="E79" s="59" t="e">
        <f>#REF!</f>
        <v>#REF!</v>
      </c>
      <c r="F79" s="59" t="e">
        <f>SUM(B79:E79)</f>
        <v>#REF!</v>
      </c>
    </row>
    <row r="80" spans="1:9" x14ac:dyDescent="0.2">
      <c r="A80" s="6"/>
      <c r="B80" s="99"/>
      <c r="C80" s="99"/>
      <c r="D80" s="99"/>
      <c r="E80" s="99"/>
      <c r="F80" s="96"/>
      <c r="G80" s="67"/>
      <c r="H80" s="67"/>
      <c r="I80" s="67"/>
    </row>
    <row r="81" spans="1:9" x14ac:dyDescent="0.2">
      <c r="A81" s="1" t="s">
        <v>28</v>
      </c>
      <c r="B81" s="65" t="s">
        <v>35</v>
      </c>
      <c r="C81" s="65" t="s">
        <v>36</v>
      </c>
      <c r="D81" s="65" t="s">
        <v>37</v>
      </c>
      <c r="E81" s="65" t="s">
        <v>38</v>
      </c>
      <c r="F81" s="100" t="s">
        <v>0</v>
      </c>
      <c r="G81" s="65" t="s">
        <v>40</v>
      </c>
      <c r="H81" s="65" t="s">
        <v>41</v>
      </c>
      <c r="I81" s="65" t="s">
        <v>39</v>
      </c>
    </row>
    <row r="82" spans="1:9" x14ac:dyDescent="0.2">
      <c r="A82" s="11" t="s">
        <v>3</v>
      </c>
      <c r="B82" s="101">
        <v>0</v>
      </c>
      <c r="C82" s="102">
        <v>0</v>
      </c>
      <c r="D82" s="102">
        <v>0</v>
      </c>
      <c r="E82" s="102">
        <v>0</v>
      </c>
      <c r="F82" s="103">
        <f>SUM(B82:E82)</f>
        <v>0</v>
      </c>
      <c r="G82" s="94">
        <v>0</v>
      </c>
      <c r="H82" s="61">
        <v>0</v>
      </c>
      <c r="I82" s="61">
        <f>G82-H82</f>
        <v>0</v>
      </c>
    </row>
    <row r="83" spans="1:9" x14ac:dyDescent="0.2">
      <c r="A83" s="12" t="s">
        <v>5</v>
      </c>
      <c r="B83" s="104">
        <v>0</v>
      </c>
      <c r="C83" s="105">
        <v>0</v>
      </c>
      <c r="D83" s="105">
        <v>0</v>
      </c>
      <c r="E83" s="105">
        <v>0</v>
      </c>
      <c r="F83" s="106">
        <f>SUM(B83:E83)</f>
        <v>0</v>
      </c>
    </row>
    <row r="84" spans="1:9" x14ac:dyDescent="0.2">
      <c r="A84" s="13" t="s">
        <v>4</v>
      </c>
      <c r="B84" s="107">
        <v>0</v>
      </c>
      <c r="C84" s="108">
        <v>0</v>
      </c>
      <c r="D84" s="108">
        <v>0</v>
      </c>
      <c r="E84" s="108">
        <v>0</v>
      </c>
      <c r="F84" s="109">
        <f>SUM(B84:E84)</f>
        <v>0</v>
      </c>
    </row>
    <row r="85" spans="1:9" x14ac:dyDescent="0.2">
      <c r="A85" s="14" t="s">
        <v>6</v>
      </c>
      <c r="B85" s="110">
        <v>0</v>
      </c>
      <c r="C85" s="111">
        <v>0</v>
      </c>
      <c r="D85" s="111">
        <v>0</v>
      </c>
      <c r="E85" s="111">
        <v>0</v>
      </c>
      <c r="F85" s="112">
        <f>SUM(B85:E85)</f>
        <v>0</v>
      </c>
    </row>
    <row r="86" spans="1:9" x14ac:dyDescent="0.2">
      <c r="A86" s="15" t="s">
        <v>17</v>
      </c>
      <c r="B86" s="113">
        <f>SUM(B82:B85)</f>
        <v>0</v>
      </c>
      <c r="C86" s="114">
        <f>SUM(C82:C85)</f>
        <v>0</v>
      </c>
      <c r="D86" s="114">
        <f>SUM(D82:D85)</f>
        <v>0</v>
      </c>
      <c r="E86" s="114">
        <f>SUM(E82:E85)</f>
        <v>0</v>
      </c>
      <c r="F86" s="115">
        <f>SUM(B86:E86)</f>
        <v>0</v>
      </c>
    </row>
    <row r="88" spans="1:9" x14ac:dyDescent="0.2">
      <c r="A88" s="1" t="s">
        <v>29</v>
      </c>
      <c r="B88" s="65" t="s">
        <v>35</v>
      </c>
      <c r="C88" s="65" t="s">
        <v>36</v>
      </c>
      <c r="D88" s="65" t="s">
        <v>37</v>
      </c>
      <c r="E88" s="65" t="s">
        <v>38</v>
      </c>
      <c r="F88" s="100" t="s">
        <v>0</v>
      </c>
      <c r="G88" s="65" t="s">
        <v>40</v>
      </c>
      <c r="H88" s="65" t="s">
        <v>41</v>
      </c>
      <c r="I88" s="65" t="s">
        <v>39</v>
      </c>
    </row>
    <row r="89" spans="1:9" x14ac:dyDescent="0.2">
      <c r="A89" s="11" t="s">
        <v>3</v>
      </c>
      <c r="B89" s="101">
        <v>0</v>
      </c>
      <c r="C89" s="102">
        <v>0</v>
      </c>
      <c r="D89" s="102">
        <v>0</v>
      </c>
      <c r="E89" s="102">
        <v>0</v>
      </c>
      <c r="F89" s="103">
        <f>SUM(B89:E89)</f>
        <v>0</v>
      </c>
      <c r="G89" s="94">
        <v>0</v>
      </c>
      <c r="H89" s="61">
        <v>0</v>
      </c>
      <c r="I89" s="61">
        <v>0</v>
      </c>
    </row>
    <row r="90" spans="1:9" x14ac:dyDescent="0.2">
      <c r="A90" s="12" t="s">
        <v>5</v>
      </c>
      <c r="B90" s="104">
        <v>0</v>
      </c>
      <c r="C90" s="105">
        <v>0</v>
      </c>
      <c r="D90" s="105">
        <v>0</v>
      </c>
      <c r="E90" s="105">
        <v>0</v>
      </c>
      <c r="F90" s="106">
        <f>SUM(B90:E90)</f>
        <v>0</v>
      </c>
    </row>
    <row r="91" spans="1:9" x14ac:dyDescent="0.2">
      <c r="A91" s="13" t="s">
        <v>4</v>
      </c>
      <c r="B91" s="107">
        <v>0</v>
      </c>
      <c r="C91" s="108">
        <v>0</v>
      </c>
      <c r="D91" s="108">
        <v>0</v>
      </c>
      <c r="E91" s="108">
        <v>0</v>
      </c>
      <c r="F91" s="109">
        <f>SUM(B91:E91)</f>
        <v>0</v>
      </c>
    </row>
    <row r="92" spans="1:9" x14ac:dyDescent="0.2">
      <c r="A92" s="14" t="s">
        <v>6</v>
      </c>
      <c r="B92" s="110">
        <v>0</v>
      </c>
      <c r="C92" s="111">
        <v>0</v>
      </c>
      <c r="D92" s="111">
        <v>0</v>
      </c>
      <c r="E92" s="111">
        <v>0</v>
      </c>
      <c r="F92" s="112">
        <f>SUM(B92:E92)</f>
        <v>0</v>
      </c>
    </row>
    <row r="93" spans="1:9" x14ac:dyDescent="0.2">
      <c r="A93" s="15" t="s">
        <v>17</v>
      </c>
      <c r="B93" s="113">
        <f>SUM(B89:B92)</f>
        <v>0</v>
      </c>
      <c r="C93" s="114">
        <f>SUM(C89:C92)</f>
        <v>0</v>
      </c>
      <c r="D93" s="114">
        <f>SUM(D89:D92)</f>
        <v>0</v>
      </c>
      <c r="E93" s="114">
        <f>SUM(E89:E92)</f>
        <v>0</v>
      </c>
      <c r="F93" s="115">
        <f>SUM(B93:E93)</f>
        <v>0</v>
      </c>
      <c r="G93" s="75"/>
    </row>
    <row r="94" spans="1:9" x14ac:dyDescent="0.2">
      <c r="A94" s="25"/>
      <c r="B94" s="96"/>
      <c r="C94" s="96"/>
      <c r="D94" s="96"/>
      <c r="E94" s="96"/>
      <c r="F94" s="96"/>
      <c r="G94" s="67"/>
      <c r="H94" s="67"/>
      <c r="I94" s="67"/>
    </row>
    <row r="95" spans="1:9" x14ac:dyDescent="0.2">
      <c r="A95" s="1"/>
      <c r="B95" s="65" t="s">
        <v>35</v>
      </c>
      <c r="C95" s="65" t="s">
        <v>36</v>
      </c>
      <c r="D95" s="65" t="s">
        <v>37</v>
      </c>
      <c r="E95" s="65" t="s">
        <v>38</v>
      </c>
      <c r="F95" s="65" t="s">
        <v>0</v>
      </c>
      <c r="G95" s="65" t="s">
        <v>40</v>
      </c>
      <c r="H95" s="65" t="s">
        <v>41</v>
      </c>
      <c r="I95" s="65" t="s">
        <v>39</v>
      </c>
    </row>
    <row r="96" spans="1:9" x14ac:dyDescent="0.2">
      <c r="A96" s="11" t="s">
        <v>3</v>
      </c>
      <c r="B96" s="101">
        <v>0</v>
      </c>
      <c r="C96" s="102">
        <v>0</v>
      </c>
      <c r="D96" s="102">
        <v>0</v>
      </c>
      <c r="E96" s="102">
        <v>0</v>
      </c>
      <c r="F96" s="103">
        <f>SUM(B96:E96)</f>
        <v>0</v>
      </c>
      <c r="G96" s="94">
        <v>0</v>
      </c>
      <c r="H96" s="61">
        <v>0</v>
      </c>
      <c r="I96" s="61">
        <v>0</v>
      </c>
    </row>
    <row r="97" spans="1:9" x14ac:dyDescent="0.2">
      <c r="A97" s="12" t="s">
        <v>5</v>
      </c>
      <c r="B97" s="104">
        <v>0</v>
      </c>
      <c r="C97" s="105">
        <v>0</v>
      </c>
      <c r="D97" s="105">
        <v>0</v>
      </c>
      <c r="E97" s="105">
        <v>0</v>
      </c>
      <c r="F97" s="106">
        <f>SUM(B97:E97)</f>
        <v>0</v>
      </c>
    </row>
    <row r="98" spans="1:9" x14ac:dyDescent="0.2">
      <c r="A98" s="13" t="s">
        <v>4</v>
      </c>
      <c r="B98" s="107">
        <v>0</v>
      </c>
      <c r="C98" s="108">
        <v>0</v>
      </c>
      <c r="D98" s="108">
        <v>0</v>
      </c>
      <c r="E98" s="108">
        <v>0</v>
      </c>
      <c r="F98" s="109">
        <f>SUM(B98:E98)</f>
        <v>0</v>
      </c>
    </row>
    <row r="99" spans="1:9" x14ac:dyDescent="0.2">
      <c r="A99" s="14" t="s">
        <v>6</v>
      </c>
      <c r="B99" s="110">
        <v>0</v>
      </c>
      <c r="C99" s="111">
        <v>0</v>
      </c>
      <c r="D99" s="111">
        <v>0</v>
      </c>
      <c r="E99" s="111">
        <v>0</v>
      </c>
      <c r="F99" s="112">
        <f>SUM(B99:E99)</f>
        <v>0</v>
      </c>
    </row>
    <row r="100" spans="1:9" x14ac:dyDescent="0.2">
      <c r="A100" s="28" t="s">
        <v>17</v>
      </c>
      <c r="B100" s="113">
        <f>SUM(B96:B99)</f>
        <v>0</v>
      </c>
      <c r="C100" s="113">
        <f>SUM(C96:C99)</f>
        <v>0</v>
      </c>
      <c r="D100" s="113">
        <f>SUM(D96:D99)</f>
        <v>0</v>
      </c>
      <c r="E100" s="113">
        <f>SUM(E96:E99)</f>
        <v>0</v>
      </c>
      <c r="F100" s="116">
        <f>SUM(B100:E100)</f>
        <v>0</v>
      </c>
    </row>
    <row r="101" spans="1:9" x14ac:dyDescent="0.2">
      <c r="A101" s="18"/>
      <c r="B101" s="117"/>
      <c r="C101" s="97"/>
      <c r="D101" s="97"/>
      <c r="E101" s="98"/>
      <c r="F101" s="67"/>
      <c r="G101" s="67"/>
      <c r="H101" s="67"/>
      <c r="I101" s="67"/>
    </row>
    <row r="102" spans="1:9" x14ac:dyDescent="0.2">
      <c r="A102" s="7" t="s">
        <v>2</v>
      </c>
      <c r="B102" s="65" t="s">
        <v>35</v>
      </c>
      <c r="C102" s="65" t="s">
        <v>36</v>
      </c>
      <c r="D102" s="65" t="s">
        <v>37</v>
      </c>
      <c r="E102" s="65" t="s">
        <v>38</v>
      </c>
      <c r="F102" s="65" t="s">
        <v>0</v>
      </c>
      <c r="G102" s="65" t="s">
        <v>40</v>
      </c>
      <c r="H102" s="65" t="s">
        <v>41</v>
      </c>
      <c r="I102" s="65" t="s">
        <v>39</v>
      </c>
    </row>
    <row r="103" spans="1:9" x14ac:dyDescent="0.2">
      <c r="A103" s="32" t="s">
        <v>3</v>
      </c>
      <c r="B103" s="74" t="e">
        <f>B82+B4+B10+B16+B22+B28+B58+B64+B70+B34+B76+B40+B46+B52+B89+B96</f>
        <v>#REF!</v>
      </c>
      <c r="C103" s="74" t="e">
        <f>C82+C4+C10+C16+C22+C28+C58+C64+C70+C34+C76+C40+C46+C52+C89+C96</f>
        <v>#REF!</v>
      </c>
      <c r="D103" s="74" t="e">
        <f>D82+D4+D10+D16+D22+D28+D58+D64+D70+D34+D76+D40+D46+D52+D89+D96</f>
        <v>#REF!</v>
      </c>
      <c r="E103" s="74" t="e">
        <f>E82+E4+E10+E16+E22+E28+E58+E64+E70+E34+E76+E40+E46+E52+E89+E96</f>
        <v>#REF!</v>
      </c>
      <c r="F103" s="74" t="e">
        <f>SUM(B103:E103)</f>
        <v>#REF!</v>
      </c>
      <c r="G103" s="77" t="e">
        <f>G96+G89+G82+G76+G70+G64+G58+G52+G46+G40+G34+G28+G22+G16+G10+G4</f>
        <v>#REF!</v>
      </c>
      <c r="H103" s="77" t="e">
        <f>H96+H89+H82+H76+H70+H64+H58+H52+H46+H40+H34+H28+H22+H16+H10+H4</f>
        <v>#REF!</v>
      </c>
      <c r="I103" s="77" t="e">
        <f>I82+I4+I10+I16+I22+I28+I58+I64+I70+I34+I76+I40+I46+I52+I89+I96</f>
        <v>#REF!</v>
      </c>
    </row>
    <row r="104" spans="1:9" x14ac:dyDescent="0.2">
      <c r="A104" s="32" t="s">
        <v>5</v>
      </c>
      <c r="B104" s="80" t="e">
        <f t="shared" ref="B104:E106" si="0">B77+B71+B83+B90+B97+B65+B59+B53+B47+B41+B35+B29+B23+B17+B11+B5</f>
        <v>#REF!</v>
      </c>
      <c r="C104" s="80" t="e">
        <f t="shared" si="0"/>
        <v>#REF!</v>
      </c>
      <c r="D104" s="80" t="e">
        <f t="shared" si="0"/>
        <v>#REF!</v>
      </c>
      <c r="E104" s="80" t="e">
        <f t="shared" si="0"/>
        <v>#REF!</v>
      </c>
      <c r="F104" s="80" t="e">
        <f>SUM(B104:E104)</f>
        <v>#REF!</v>
      </c>
    </row>
    <row r="105" spans="1:9" x14ac:dyDescent="0.2">
      <c r="A105" s="32" t="s">
        <v>4</v>
      </c>
      <c r="B105" s="80" t="e">
        <f t="shared" si="0"/>
        <v>#REF!</v>
      </c>
      <c r="C105" s="80" t="e">
        <f t="shared" si="0"/>
        <v>#REF!</v>
      </c>
      <c r="D105" s="80" t="e">
        <f t="shared" si="0"/>
        <v>#REF!</v>
      </c>
      <c r="E105" s="80" t="e">
        <f t="shared" si="0"/>
        <v>#REF!</v>
      </c>
      <c r="F105" s="74" t="e">
        <f>SUM(B105:E105)</f>
        <v>#REF!</v>
      </c>
    </row>
    <row r="106" spans="1:9" x14ac:dyDescent="0.2">
      <c r="A106" s="32" t="s">
        <v>6</v>
      </c>
      <c r="B106" s="80" t="e">
        <f t="shared" si="0"/>
        <v>#REF!</v>
      </c>
      <c r="C106" s="80" t="e">
        <f t="shared" si="0"/>
        <v>#REF!</v>
      </c>
      <c r="D106" s="80" t="e">
        <f t="shared" si="0"/>
        <v>#REF!</v>
      </c>
      <c r="E106" s="80" t="e">
        <f t="shared" si="0"/>
        <v>#REF!</v>
      </c>
      <c r="F106" s="74" t="e">
        <f>SUM(B106:E106)</f>
        <v>#REF!</v>
      </c>
    </row>
    <row r="107" spans="1:9" x14ac:dyDescent="0.2">
      <c r="A107" s="24"/>
    </row>
    <row r="108" spans="1:9" x14ac:dyDescent="0.2">
      <c r="A108" s="20" t="s">
        <v>31</v>
      </c>
    </row>
    <row r="109" spans="1:9" x14ac:dyDescent="0.2">
      <c r="A109" s="294" t="s">
        <v>19</v>
      </c>
      <c r="B109" s="294"/>
      <c r="C109" s="294"/>
      <c r="D109" s="294"/>
      <c r="E109" s="294"/>
      <c r="F109" s="294"/>
      <c r="G109" s="294"/>
      <c r="H109" s="294"/>
      <c r="I109" s="294"/>
    </row>
    <row r="110" spans="1:9" x14ac:dyDescent="0.2">
      <c r="A110" s="291" t="s">
        <v>20</v>
      </c>
      <c r="B110" s="291"/>
      <c r="C110" s="291"/>
      <c r="D110" s="291"/>
      <c r="E110" s="291"/>
      <c r="F110" s="291"/>
      <c r="G110" s="291"/>
      <c r="H110" s="291"/>
      <c r="I110" s="291"/>
    </row>
    <row r="111" spans="1:9" x14ac:dyDescent="0.2">
      <c r="A111" s="294" t="s">
        <v>21</v>
      </c>
      <c r="B111" s="294"/>
      <c r="C111" s="294"/>
      <c r="D111" s="294"/>
      <c r="E111" s="294"/>
      <c r="F111" s="294"/>
      <c r="G111" s="294"/>
      <c r="H111" s="294"/>
      <c r="I111" s="294"/>
    </row>
    <row r="112" spans="1:9" ht="25.5" customHeight="1" x14ac:dyDescent="0.2">
      <c r="A112" s="291" t="s">
        <v>22</v>
      </c>
      <c r="B112" s="291"/>
      <c r="C112" s="291"/>
      <c r="D112" s="291"/>
      <c r="E112" s="291"/>
      <c r="F112" s="291"/>
      <c r="G112" s="291"/>
      <c r="H112" s="291"/>
      <c r="I112" s="291"/>
    </row>
    <row r="113" spans="1:9" s="8" customFormat="1" ht="27" customHeight="1" x14ac:dyDescent="0.2">
      <c r="A113" s="289" t="s">
        <v>23</v>
      </c>
      <c r="B113" s="289"/>
      <c r="C113" s="289"/>
      <c r="D113" s="289"/>
      <c r="E113" s="289"/>
      <c r="F113" s="289"/>
      <c r="G113" s="289"/>
      <c r="H113" s="289"/>
      <c r="I113" s="289"/>
    </row>
    <row r="114" spans="1:9" x14ac:dyDescent="0.2">
      <c r="A114" s="289" t="s">
        <v>58</v>
      </c>
      <c r="B114" s="289"/>
      <c r="C114" s="289"/>
      <c r="D114" s="289"/>
      <c r="E114" s="289"/>
      <c r="F114" s="289"/>
      <c r="G114" s="289"/>
      <c r="H114" s="289"/>
      <c r="I114" s="289"/>
    </row>
    <row r="115" spans="1:9" ht="25.5" customHeight="1" x14ac:dyDescent="0.2">
      <c r="A115" s="289" t="s">
        <v>34</v>
      </c>
      <c r="B115" s="289"/>
      <c r="C115" s="289"/>
      <c r="D115" s="289"/>
      <c r="E115" s="289"/>
      <c r="F115" s="289"/>
      <c r="G115" s="289"/>
      <c r="H115" s="289"/>
      <c r="I115" s="289"/>
    </row>
    <row r="116" spans="1:9" x14ac:dyDescent="0.2">
      <c r="A116" s="290" t="s">
        <v>30</v>
      </c>
      <c r="B116" s="290"/>
      <c r="C116" s="290"/>
      <c r="D116" s="290"/>
      <c r="E116" s="290"/>
      <c r="F116" s="290"/>
      <c r="G116" s="290"/>
      <c r="H116" s="290"/>
      <c r="I116" s="290"/>
    </row>
  </sheetData>
  <customSheetViews>
    <customSheetView guid="{6086CA2F-D319-4FB4-8773-987A9787386E}" showRuler="0">
      <selection sqref="A1:IV65536"/>
      <rowBreaks count="3" manualBreakCount="3">
        <brk id="37" max="16383" man="1"/>
        <brk id="72" max="16383" man="1"/>
        <brk id="107" max="16383" man="1"/>
      </rowBreaks>
      <pageMargins left="0.5" right="0.5" top="1" bottom="0.89" header="0.5" footer="0.5"/>
      <printOptions horizontalCentered="1"/>
      <pageSetup paperSize="5" scale="95" fitToHeight="2" orientation="landscape" r:id="rId1"/>
      <headerFooter alignWithMargins="0">
        <oddFooter>&amp;L&amp;D&amp;R&amp;A</oddFooter>
      </headerFooter>
    </customSheetView>
  </customSheetViews>
  <mergeCells count="9">
    <mergeCell ref="A116:I116"/>
    <mergeCell ref="A113:I113"/>
    <mergeCell ref="A112:I112"/>
    <mergeCell ref="A1:F1"/>
    <mergeCell ref="A110:I110"/>
    <mergeCell ref="A109:I109"/>
    <mergeCell ref="A114:I114"/>
    <mergeCell ref="A111:I111"/>
    <mergeCell ref="A115:I115"/>
  </mergeCells>
  <phoneticPr fontId="3" type="noConversion"/>
  <printOptions horizontalCentered="1"/>
  <pageMargins left="0.5" right="0.5" top="1" bottom="0.89" header="0.5" footer="0.5"/>
  <pageSetup scale="49" orientation="portrait" r:id="rId2"/>
  <headerFooter alignWithMargins="0">
    <oddFooter>Page &amp;P of &amp;N</oddFooter>
  </headerFooter>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2060"/>
    <pageSetUpPr fitToPage="1"/>
  </sheetPr>
  <dimension ref="A1:K70"/>
  <sheetViews>
    <sheetView tabSelected="1" zoomScale="115" zoomScaleNormal="115" zoomScaleSheetLayoutView="92" workbookViewId="0">
      <selection sqref="A1:F1"/>
    </sheetView>
  </sheetViews>
  <sheetFormatPr defaultColWidth="9.140625" defaultRowHeight="11.25" x14ac:dyDescent="0.2"/>
  <cols>
    <col min="1" max="1" width="27.42578125" style="153" customWidth="1"/>
    <col min="2" max="3" width="12" style="154" customWidth="1"/>
    <col min="4" max="4" width="12.7109375" style="154" customWidth="1"/>
    <col min="5" max="5" width="12.42578125" style="154" customWidth="1"/>
    <col min="6" max="6" width="14.7109375" style="154" customWidth="1"/>
    <col min="7" max="7" width="14.140625" style="154" customWidth="1"/>
    <col min="8" max="8" width="13" style="154" customWidth="1"/>
    <col min="9" max="9" width="14.5703125" style="154" customWidth="1"/>
    <col min="10" max="11" width="14" style="153" bestFit="1" customWidth="1"/>
    <col min="12" max="16384" width="9.140625" style="153"/>
  </cols>
  <sheetData>
    <row r="1" spans="1:11" s="150" customFormat="1" ht="12.75" x14ac:dyDescent="0.2">
      <c r="A1" s="301" t="s">
        <v>125</v>
      </c>
      <c r="B1" s="301"/>
      <c r="C1" s="301"/>
      <c r="D1" s="301"/>
      <c r="E1" s="301"/>
      <c r="F1" s="301"/>
      <c r="G1" s="170"/>
      <c r="H1" s="170"/>
      <c r="I1" s="170"/>
    </row>
    <row r="2" spans="1:11" ht="12.75" x14ac:dyDescent="0.2">
      <c r="A2" s="278"/>
      <c r="B2" s="278"/>
      <c r="C2" s="278"/>
      <c r="D2" s="278"/>
      <c r="E2" s="278"/>
      <c r="F2" s="278"/>
      <c r="G2" s="171"/>
      <c r="H2" s="171"/>
      <c r="I2" s="171"/>
    </row>
    <row r="3" spans="1:11" x14ac:dyDescent="0.2">
      <c r="A3" s="151"/>
      <c r="B3" s="152"/>
      <c r="C3" s="152"/>
      <c r="D3" s="152"/>
      <c r="E3" s="152"/>
      <c r="F3" s="152"/>
      <c r="G3" s="152"/>
      <c r="H3" s="152"/>
      <c r="I3" s="152"/>
    </row>
    <row r="4" spans="1:11" x14ac:dyDescent="0.2">
      <c r="A4" s="151"/>
      <c r="B4" s="302" t="s">
        <v>101</v>
      </c>
      <c r="C4" s="302"/>
      <c r="D4" s="302"/>
      <c r="E4" s="302"/>
      <c r="F4" s="182"/>
      <c r="G4" s="152"/>
      <c r="H4" s="152"/>
      <c r="I4" s="152"/>
    </row>
    <row r="5" spans="1:11" s="251" customFormat="1" ht="32.25" x14ac:dyDescent="0.2">
      <c r="A5" s="248"/>
      <c r="B5" s="249">
        <v>42094</v>
      </c>
      <c r="C5" s="249">
        <v>42185</v>
      </c>
      <c r="D5" s="249">
        <v>42277</v>
      </c>
      <c r="E5" s="249">
        <v>42369</v>
      </c>
      <c r="F5" s="250" t="s">
        <v>0</v>
      </c>
      <c r="G5" s="250" t="s">
        <v>98</v>
      </c>
      <c r="H5" s="250" t="s">
        <v>100</v>
      </c>
      <c r="I5" s="250" t="s">
        <v>99</v>
      </c>
    </row>
    <row r="6" spans="1:11" s="150" customFormat="1" x14ac:dyDescent="0.2">
      <c r="A6" s="183"/>
      <c r="B6" s="184"/>
      <c r="C6" s="184"/>
      <c r="D6" s="184"/>
      <c r="E6" s="184"/>
      <c r="F6" s="149"/>
      <c r="G6" s="149"/>
      <c r="H6" s="149"/>
      <c r="I6" s="149"/>
    </row>
    <row r="7" spans="1:11" x14ac:dyDescent="0.2">
      <c r="A7" s="286" t="s">
        <v>115</v>
      </c>
      <c r="B7" s="287"/>
      <c r="C7" s="287"/>
      <c r="D7" s="287"/>
      <c r="E7" s="287"/>
      <c r="F7" s="288"/>
      <c r="G7" s="288"/>
      <c r="H7" s="288"/>
      <c r="I7" s="288"/>
    </row>
    <row r="8" spans="1:11" x14ac:dyDescent="0.2">
      <c r="A8" s="153" t="s">
        <v>102</v>
      </c>
      <c r="B8" s="152">
        <f>'TOT032'!H47</f>
        <v>671684.15</v>
      </c>
      <c r="C8" s="152">
        <f>'TOT032'!H48</f>
        <v>671684.15</v>
      </c>
      <c r="D8" s="152">
        <f>'TOT032'!H49</f>
        <v>671684.15</v>
      </c>
      <c r="E8" s="152">
        <f>'TOT032'!H50</f>
        <v>671684.15</v>
      </c>
      <c r="F8" s="200">
        <f>SUM(B8:E8)</f>
        <v>2686736.6</v>
      </c>
      <c r="G8" s="152">
        <f>'TOT032'!$C$26</f>
        <v>13433683</v>
      </c>
      <c r="H8" s="152">
        <f>SUM('TOT032'!H38:H50)</f>
        <v>7388525.6500000013</v>
      </c>
      <c r="I8" s="252">
        <f>G8-H8</f>
        <v>6045157.3499999987</v>
      </c>
      <c r="K8" s="208"/>
    </row>
    <row r="9" spans="1:11" x14ac:dyDescent="0.2">
      <c r="A9" s="153" t="s">
        <v>103</v>
      </c>
      <c r="B9" s="152">
        <f>'TOT032'!G47+'TOT032'!J47</f>
        <v>87062.000111145186</v>
      </c>
      <c r="C9" s="152">
        <f>'TOT032'!G48+'TOT032'!J48</f>
        <v>82289.538128559099</v>
      </c>
      <c r="D9" s="152">
        <f>'TOT032'!G49+'TOT032'!J49</f>
        <v>77394.705325906718</v>
      </c>
      <c r="E9" s="152">
        <f>'TOT032'!G50+'TOT032'!J50</f>
        <v>71765.647602856479</v>
      </c>
      <c r="F9" s="200">
        <f t="shared" ref="F9:F10" si="0">SUM(B9:E9)</f>
        <v>318511.89116846747</v>
      </c>
    </row>
    <row r="10" spans="1:11" x14ac:dyDescent="0.2">
      <c r="A10" s="153" t="s">
        <v>104</v>
      </c>
      <c r="B10" s="152">
        <v>0</v>
      </c>
      <c r="C10" s="152">
        <v>0</v>
      </c>
      <c r="D10" s="152">
        <v>0</v>
      </c>
      <c r="E10" s="152">
        <v>0</v>
      </c>
      <c r="F10" s="200">
        <f t="shared" si="0"/>
        <v>0</v>
      </c>
    </row>
    <row r="11" spans="1:11" x14ac:dyDescent="0.2">
      <c r="A11" s="151"/>
      <c r="B11" s="152"/>
      <c r="C11" s="152"/>
      <c r="D11" s="152"/>
      <c r="E11" s="152"/>
      <c r="F11" s="200"/>
      <c r="G11" s="152"/>
      <c r="H11" s="152"/>
      <c r="I11" s="152"/>
    </row>
    <row r="12" spans="1:11" x14ac:dyDescent="0.2">
      <c r="A12" s="286" t="s">
        <v>112</v>
      </c>
      <c r="B12" s="287"/>
      <c r="C12" s="287"/>
      <c r="D12" s="287"/>
      <c r="E12" s="287"/>
      <c r="F12" s="288"/>
      <c r="G12" s="288"/>
      <c r="H12" s="288"/>
      <c r="I12" s="288"/>
    </row>
    <row r="13" spans="1:11" x14ac:dyDescent="0.2">
      <c r="A13" s="153" t="s">
        <v>102</v>
      </c>
      <c r="B13" s="152">
        <f>'TOT041'!H45</f>
        <v>894591.65</v>
      </c>
      <c r="C13" s="152">
        <f>'TOT041'!H46</f>
        <v>894591.65</v>
      </c>
      <c r="D13" s="152">
        <f>'TOT041'!H47</f>
        <v>894591.65</v>
      </c>
      <c r="E13" s="152">
        <f>'TOT041'!H48</f>
        <v>894591.65</v>
      </c>
      <c r="F13" s="200">
        <f>SUM(B13:E13)</f>
        <v>3578366.6</v>
      </c>
      <c r="G13" s="152">
        <f>'TOT041'!$C$29</f>
        <v>17891833</v>
      </c>
      <c r="H13" s="152">
        <f>SUM('TOT041'!H37:H48)</f>
        <v>8945916.5000000019</v>
      </c>
      <c r="I13" s="252">
        <f>G13-H13</f>
        <v>8945916.4999999981</v>
      </c>
      <c r="K13" s="208"/>
    </row>
    <row r="14" spans="1:11" x14ac:dyDescent="0.2">
      <c r="A14" s="153" t="s">
        <v>103</v>
      </c>
      <c r="B14" s="152">
        <f>'TOT041'!G45+'TOT041'!J45</f>
        <v>123130.18689508562</v>
      </c>
      <c r="C14" s="152">
        <f>'TOT041'!G46+'TOT041'!J46</f>
        <v>116856.38742019967</v>
      </c>
      <c r="D14" s="152">
        <f>'TOT041'!G47+'TOT041'!J47</f>
        <v>110419.63211479719</v>
      </c>
      <c r="E14" s="152">
        <f>'TOT041'!G48+'TOT041'!J48</f>
        <v>102923.66391103735</v>
      </c>
      <c r="F14" s="200">
        <f t="shared" ref="F14:F15" si="1">SUM(B14:E14)</f>
        <v>453329.87034111982</v>
      </c>
    </row>
    <row r="15" spans="1:11" x14ac:dyDescent="0.2">
      <c r="A15" s="153" t="s">
        <v>104</v>
      </c>
      <c r="B15" s="152">
        <v>0</v>
      </c>
      <c r="C15" s="152">
        <v>0</v>
      </c>
      <c r="D15" s="152">
        <v>0</v>
      </c>
      <c r="E15" s="152">
        <v>0</v>
      </c>
      <c r="F15" s="200">
        <f t="shared" si="1"/>
        <v>0</v>
      </c>
    </row>
    <row r="16" spans="1:11" x14ac:dyDescent="0.2">
      <c r="A16" s="151"/>
      <c r="B16" s="152"/>
      <c r="C16" s="152"/>
      <c r="D16" s="152"/>
      <c r="E16" s="152"/>
      <c r="F16" s="200"/>
      <c r="G16" s="152"/>
      <c r="H16" s="152"/>
      <c r="I16" s="152"/>
    </row>
    <row r="17" spans="1:11" x14ac:dyDescent="0.2">
      <c r="A17" s="286" t="s">
        <v>97</v>
      </c>
      <c r="B17" s="287"/>
      <c r="C17" s="287"/>
      <c r="D17" s="287"/>
      <c r="E17" s="287"/>
      <c r="F17" s="288"/>
      <c r="G17" s="288"/>
      <c r="H17" s="288"/>
      <c r="I17" s="288"/>
    </row>
    <row r="18" spans="1:11" x14ac:dyDescent="0.2">
      <c r="A18" s="153" t="s">
        <v>102</v>
      </c>
      <c r="B18" s="152">
        <f>'TOT094'!$H$60</f>
        <v>1182152.6753333332</v>
      </c>
      <c r="C18" s="152">
        <v>0</v>
      </c>
      <c r="D18" s="152">
        <v>0</v>
      </c>
      <c r="E18" s="152">
        <v>0</v>
      </c>
      <c r="F18" s="200">
        <f>SUM(B18:E18)</f>
        <v>1182152.6753333332</v>
      </c>
      <c r="G18" s="152">
        <f>'TOT094'!$C$29</f>
        <v>26452000</v>
      </c>
      <c r="H18" s="152">
        <f>SUM('TOT094'!H41:H60)</f>
        <v>26451999.999999993</v>
      </c>
      <c r="I18" s="252">
        <f>G18-H18</f>
        <v>0</v>
      </c>
    </row>
    <row r="19" spans="1:11" x14ac:dyDescent="0.2">
      <c r="A19" s="153" t="s">
        <v>103</v>
      </c>
      <c r="B19" s="152">
        <f>'TOT094'!G60+'TOT094'!J60</f>
        <v>15052.761430964561</v>
      </c>
      <c r="C19" s="152">
        <v>0</v>
      </c>
      <c r="D19" s="152">
        <v>0</v>
      </c>
      <c r="E19" s="152">
        <v>0</v>
      </c>
      <c r="F19" s="200">
        <f t="shared" ref="F19:F20" si="2">SUM(B19:E19)</f>
        <v>15052.761430964561</v>
      </c>
    </row>
    <row r="20" spans="1:11" x14ac:dyDescent="0.2">
      <c r="A20" s="153" t="s">
        <v>104</v>
      </c>
      <c r="B20" s="152">
        <f>'TOT094'!G93+'TOT094'!J93</f>
        <v>12.571550594496482</v>
      </c>
      <c r="C20" s="152">
        <v>0</v>
      </c>
      <c r="D20" s="152">
        <v>0</v>
      </c>
      <c r="E20" s="152">
        <v>0</v>
      </c>
      <c r="F20" s="200">
        <f t="shared" si="2"/>
        <v>12.571550594496482</v>
      </c>
    </row>
    <row r="21" spans="1:11" x14ac:dyDescent="0.2">
      <c r="A21" s="151"/>
      <c r="B21" s="152"/>
      <c r="C21" s="152"/>
      <c r="D21" s="152"/>
      <c r="E21" s="152"/>
      <c r="F21" s="200"/>
      <c r="G21" s="152"/>
      <c r="H21" s="152"/>
      <c r="I21" s="152"/>
    </row>
    <row r="22" spans="1:11" x14ac:dyDescent="0.2">
      <c r="A22" s="286" t="s">
        <v>113</v>
      </c>
      <c r="B22" s="287"/>
      <c r="C22" s="287"/>
      <c r="D22" s="287"/>
      <c r="E22" s="287"/>
      <c r="F22" s="288"/>
      <c r="G22" s="288"/>
      <c r="H22" s="288"/>
      <c r="I22" s="288"/>
    </row>
    <row r="23" spans="1:11" x14ac:dyDescent="0.2">
      <c r="A23" s="153" t="s">
        <v>102</v>
      </c>
      <c r="B23" s="152">
        <f>'TOT135'!H47</f>
        <v>182500</v>
      </c>
      <c r="C23" s="152">
        <f>'TOT135'!H48</f>
        <v>182500</v>
      </c>
      <c r="D23" s="152">
        <f>'TOT135'!H49</f>
        <v>182500</v>
      </c>
      <c r="E23" s="152">
        <f>'TOT135'!H50</f>
        <v>182500</v>
      </c>
      <c r="F23" s="200">
        <f>SUM(B23:E23)</f>
        <v>730000</v>
      </c>
      <c r="G23" s="152">
        <f>'TOT135'!$C$30</f>
        <v>3650000</v>
      </c>
      <c r="H23" s="152">
        <f>SUM('TOT135'!H40:H50)</f>
        <v>2007500</v>
      </c>
      <c r="I23" s="252">
        <f>G23-H23</f>
        <v>1642500</v>
      </c>
      <c r="K23" s="208"/>
    </row>
    <row r="24" spans="1:11" x14ac:dyDescent="0.2">
      <c r="A24" s="153" t="s">
        <v>103</v>
      </c>
      <c r="B24" s="152">
        <f>'TOT135'!G47+'TOT135'!J47</f>
        <v>28949.389643533363</v>
      </c>
      <c r="C24" s="152">
        <f>'TOT135'!G48+'TOT135'!J48</f>
        <v>27619.387279545135</v>
      </c>
      <c r="D24" s="152">
        <f>'TOT135'!G49+'TOT135'!J49</f>
        <v>26255.282290839259</v>
      </c>
      <c r="E24" s="152">
        <f>'TOT135'!G50+'TOT135'!J50</f>
        <v>24686.561553827498</v>
      </c>
      <c r="F24" s="200">
        <f t="shared" ref="F24:F25" si="3">SUM(B24:E24)</f>
        <v>107510.62076774526</v>
      </c>
    </row>
    <row r="25" spans="1:11" x14ac:dyDescent="0.2">
      <c r="A25" s="153" t="s">
        <v>104</v>
      </c>
      <c r="B25" s="152">
        <f>'TOT135'!F73</f>
        <v>1854.6524696477845</v>
      </c>
      <c r="C25" s="152">
        <f>'TOT135'!F74</f>
        <v>1780.0875071502792</v>
      </c>
      <c r="D25" s="152">
        <f>'TOT135'!F75</f>
        <v>1703.6106225374533</v>
      </c>
      <c r="E25" s="152">
        <f>'TOT135'!F76</f>
        <v>1615.6622052327034</v>
      </c>
      <c r="F25" s="200">
        <f t="shared" si="3"/>
        <v>6954.0128045682213</v>
      </c>
    </row>
    <row r="26" spans="1:11" x14ac:dyDescent="0.2">
      <c r="A26" s="151"/>
      <c r="B26" s="152"/>
      <c r="C26" s="152"/>
      <c r="D26" s="152"/>
      <c r="E26" s="152"/>
      <c r="F26" s="200"/>
      <c r="G26" s="152"/>
      <c r="H26" s="152"/>
      <c r="I26" s="152"/>
    </row>
    <row r="27" spans="1:11" x14ac:dyDescent="0.2">
      <c r="A27" s="286" t="s">
        <v>114</v>
      </c>
      <c r="B27" s="287"/>
      <c r="C27" s="287"/>
      <c r="D27" s="287"/>
      <c r="E27" s="287"/>
      <c r="F27" s="288"/>
      <c r="G27" s="288"/>
      <c r="H27" s="288"/>
      <c r="I27" s="288"/>
    </row>
    <row r="28" spans="1:11" x14ac:dyDescent="0.2">
      <c r="A28" s="153" t="s">
        <v>102</v>
      </c>
      <c r="B28" s="152">
        <f>'TOT175'!H42</f>
        <v>278386</v>
      </c>
      <c r="C28" s="152">
        <f>'TOT175'!H43</f>
        <v>278386</v>
      </c>
      <c r="D28" s="152">
        <f>'TOT175'!H44</f>
        <v>278386</v>
      </c>
      <c r="E28" s="152">
        <f>'TOT175'!H45</f>
        <v>278386</v>
      </c>
      <c r="F28" s="200">
        <f>SUM(B28:E28)</f>
        <v>1113544</v>
      </c>
      <c r="G28" s="152">
        <f>'TOT175'!$C$26</f>
        <v>5567720</v>
      </c>
      <c r="H28" s="152">
        <f>SUM('TOT175'!H41:H45)</f>
        <v>1391930</v>
      </c>
      <c r="I28" s="252">
        <f>G28-H28</f>
        <v>4175790</v>
      </c>
      <c r="K28" s="208"/>
    </row>
    <row r="29" spans="1:11" x14ac:dyDescent="0.2">
      <c r="A29" s="153" t="s">
        <v>103</v>
      </c>
      <c r="B29" s="152">
        <f>'TOT175'!G42+'TOT175'!J42</f>
        <v>54415.079103405733</v>
      </c>
      <c r="C29" s="152">
        <f>'TOT175'!G43+'TOT175'!J43</f>
        <v>52563.436649379786</v>
      </c>
      <c r="D29" s="152">
        <f>'TOT175'!G44+'TOT175'!J44</f>
        <v>50660.359682741982</v>
      </c>
      <c r="E29" s="152">
        <f>'TOT175'!G45+'TOT175'!J45</f>
        <v>48294.372102597714</v>
      </c>
      <c r="F29" s="200">
        <f t="shared" ref="F29:F30" si="4">SUM(B29:E29)</f>
        <v>205933.2475381252</v>
      </c>
    </row>
    <row r="30" spans="1:11" x14ac:dyDescent="0.2">
      <c r="A30" s="153" t="s">
        <v>104</v>
      </c>
      <c r="B30" s="152">
        <v>0</v>
      </c>
      <c r="C30" s="152">
        <v>0</v>
      </c>
      <c r="D30" s="152">
        <v>0</v>
      </c>
      <c r="E30" s="152">
        <v>0</v>
      </c>
      <c r="F30" s="200">
        <f t="shared" si="4"/>
        <v>0</v>
      </c>
    </row>
    <row r="31" spans="1:11" x14ac:dyDescent="0.2">
      <c r="A31" s="151"/>
      <c r="B31" s="152"/>
      <c r="C31" s="152"/>
      <c r="D31" s="152"/>
      <c r="E31" s="152"/>
      <c r="F31" s="200"/>
      <c r="G31" s="152"/>
      <c r="H31" s="152"/>
      <c r="I31" s="152"/>
    </row>
    <row r="32" spans="1:11" x14ac:dyDescent="0.2">
      <c r="A32" s="286" t="s">
        <v>105</v>
      </c>
      <c r="B32" s="287"/>
      <c r="C32" s="287"/>
      <c r="D32" s="287"/>
      <c r="E32" s="287"/>
      <c r="F32" s="288"/>
      <c r="G32" s="288"/>
      <c r="H32" s="288"/>
      <c r="I32" s="288"/>
    </row>
    <row r="33" spans="1:11" x14ac:dyDescent="0.2">
      <c r="A33" s="153" t="s">
        <v>102</v>
      </c>
      <c r="B33" s="152">
        <f>'TOT278'!H46</f>
        <v>459750</v>
      </c>
      <c r="C33" s="152">
        <f>'TOT278'!H47</f>
        <v>459750</v>
      </c>
      <c r="D33" s="152">
        <f>'TOT278'!H48</f>
        <v>459750</v>
      </c>
      <c r="E33" s="152">
        <f>'TOT278'!H49</f>
        <v>459750</v>
      </c>
      <c r="F33" s="200">
        <f>SUM(B33:E33)</f>
        <v>1839000</v>
      </c>
      <c r="G33" s="152">
        <f>'TOT278'!$C$26</f>
        <v>9195000</v>
      </c>
      <c r="H33" s="152">
        <f>SUM('TOT278'!H38:H49)</f>
        <v>5517000</v>
      </c>
      <c r="I33" s="252">
        <f>G33-H33</f>
        <v>3678000</v>
      </c>
      <c r="K33" s="208"/>
    </row>
    <row r="34" spans="1:11" x14ac:dyDescent="0.2">
      <c r="A34" s="153" t="s">
        <v>103</v>
      </c>
      <c r="B34" s="152">
        <f>'TOT278'!G46+'TOT278'!J46</f>
        <v>50189.871636929296</v>
      </c>
      <c r="C34" s="152">
        <f>'TOT278'!G47+'TOT278'!J47</f>
        <v>46917.513175475127</v>
      </c>
      <c r="D34" s="152">
        <f>'TOT278'!G48+'TOT278'!J48</f>
        <v>43562.310196009465</v>
      </c>
      <c r="E34" s="152">
        <f>'TOT278'!G49+'TOT278'!J49</f>
        <v>39751.462367480541</v>
      </c>
      <c r="F34" s="200">
        <f t="shared" ref="F34:F35" si="5">SUM(B34:E34)</f>
        <v>180421.15737589443</v>
      </c>
    </row>
    <row r="35" spans="1:11" x14ac:dyDescent="0.2">
      <c r="A35" s="153" t="s">
        <v>104</v>
      </c>
      <c r="B35" s="152">
        <v>0</v>
      </c>
      <c r="C35" s="152">
        <v>0</v>
      </c>
      <c r="D35" s="152">
        <v>0</v>
      </c>
      <c r="E35" s="152">
        <v>0</v>
      </c>
      <c r="F35" s="200">
        <f t="shared" si="5"/>
        <v>0</v>
      </c>
    </row>
    <row r="36" spans="1:11" x14ac:dyDescent="0.2">
      <c r="A36" s="151"/>
      <c r="B36" s="152"/>
      <c r="C36" s="152"/>
      <c r="D36" s="152"/>
      <c r="E36" s="152"/>
      <c r="F36" s="200"/>
      <c r="G36" s="152"/>
      <c r="H36" s="152"/>
      <c r="I36" s="152"/>
    </row>
    <row r="37" spans="1:11" x14ac:dyDescent="0.2">
      <c r="A37" s="286" t="s">
        <v>92</v>
      </c>
      <c r="B37" s="287"/>
      <c r="C37" s="287"/>
      <c r="D37" s="287"/>
      <c r="E37" s="287"/>
      <c r="F37" s="288"/>
      <c r="G37" s="288"/>
      <c r="H37" s="288"/>
      <c r="I37" s="288"/>
    </row>
    <row r="38" spans="1:11" x14ac:dyDescent="0.2">
      <c r="A38" s="153" t="s">
        <v>102</v>
      </c>
      <c r="B38" s="152">
        <f>'TOT455'!H49</f>
        <v>37319.25</v>
      </c>
      <c r="C38" s="152">
        <f>'TOT455'!H50</f>
        <v>37319.25</v>
      </c>
      <c r="D38" s="152">
        <f>'TOT455'!H51</f>
        <v>37319.25</v>
      </c>
      <c r="E38" s="152">
        <f>'TOT455'!H52</f>
        <v>37319.25</v>
      </c>
      <c r="F38" s="200">
        <f>SUM(B38:E38)</f>
        <v>149277</v>
      </c>
      <c r="G38" s="152">
        <f>'TOT455'!$C$26</f>
        <v>746385</v>
      </c>
      <c r="H38" s="152">
        <f>SUM('TOT455'!H43:H52)</f>
        <v>335873.25</v>
      </c>
      <c r="I38" s="252">
        <f>G38-H38</f>
        <v>410511.75</v>
      </c>
      <c r="K38" s="208"/>
    </row>
    <row r="39" spans="1:11" x14ac:dyDescent="0.2">
      <c r="A39" s="153" t="s">
        <v>103</v>
      </c>
      <c r="B39" s="152">
        <f>'TOT455'!G49+'TOT455'!J49</f>
        <v>6934.6947777391542</v>
      </c>
      <c r="C39" s="152">
        <f>'TOT455'!G50+'TOT455'!J50</f>
        <v>6672.7496820719898</v>
      </c>
      <c r="D39" s="152">
        <f>'TOT455'!G51+'TOT455'!J51</f>
        <v>6403.819383853699</v>
      </c>
      <c r="E39" s="152">
        <f>'TOT455'!G52+'TOT455'!J52</f>
        <v>6082.5000665019743</v>
      </c>
      <c r="F39" s="200">
        <f t="shared" ref="F39:F40" si="6">SUM(B39:E39)</f>
        <v>26093.763910166817</v>
      </c>
    </row>
    <row r="40" spans="1:11" x14ac:dyDescent="0.2">
      <c r="A40" s="153" t="s">
        <v>104</v>
      </c>
      <c r="B40" s="152">
        <v>0</v>
      </c>
      <c r="C40" s="152">
        <v>0</v>
      </c>
      <c r="D40" s="152">
        <v>0</v>
      </c>
      <c r="E40" s="152">
        <v>0</v>
      </c>
      <c r="F40" s="200">
        <f t="shared" si="6"/>
        <v>0</v>
      </c>
    </row>
    <row r="41" spans="1:11" x14ac:dyDescent="0.2">
      <c r="A41" s="151"/>
      <c r="B41" s="152"/>
      <c r="C41" s="152"/>
      <c r="D41" s="152"/>
      <c r="E41" s="152"/>
      <c r="F41" s="200"/>
      <c r="G41" s="152"/>
      <c r="H41" s="152"/>
      <c r="I41" s="152"/>
    </row>
    <row r="42" spans="1:11" x14ac:dyDescent="0.2">
      <c r="A42" s="286" t="s">
        <v>116</v>
      </c>
      <c r="B42" s="287"/>
      <c r="C42" s="287"/>
      <c r="D42" s="287"/>
      <c r="E42" s="287"/>
      <c r="F42" s="288"/>
      <c r="G42" s="288"/>
      <c r="H42" s="288"/>
      <c r="I42" s="288"/>
    </row>
    <row r="43" spans="1:11" x14ac:dyDescent="0.2">
      <c r="A43" s="153" t="s">
        <v>102</v>
      </c>
      <c r="B43" s="152">
        <v>0</v>
      </c>
      <c r="C43" s="152">
        <f>SUM('TOT508'!H37:H39)</f>
        <v>170250</v>
      </c>
      <c r="D43" s="152">
        <f>'TOT508'!H40</f>
        <v>56750</v>
      </c>
      <c r="E43" s="152">
        <f>'TOT508'!H41</f>
        <v>56750</v>
      </c>
      <c r="F43" s="200">
        <f>SUM(B43:E43)</f>
        <v>283750</v>
      </c>
      <c r="G43" s="152">
        <f>'TOT508'!$C$26</f>
        <v>1135000</v>
      </c>
      <c r="H43" s="152">
        <f>SUM('TOT508'!H37:H41)</f>
        <v>283750</v>
      </c>
      <c r="I43" s="252">
        <f>G43-H43</f>
        <v>851250</v>
      </c>
      <c r="K43" s="208"/>
    </row>
    <row r="44" spans="1:11" x14ac:dyDescent="0.2">
      <c r="A44" s="153" t="s">
        <v>103</v>
      </c>
      <c r="B44" s="152">
        <v>0</v>
      </c>
      <c r="C44" s="152">
        <f>SUM('TOT508'!G37:G39)+SUM('TOT508'!J37:J39)</f>
        <v>19215.497552308123</v>
      </c>
      <c r="D44" s="152">
        <f>'TOT508'!G40+'TOT508'!J40</f>
        <v>8219.6432170669905</v>
      </c>
      <c r="E44" s="152">
        <f>'TOT508'!G41+'TOT508'!J41</f>
        <v>7752.4829996246945</v>
      </c>
      <c r="F44" s="200">
        <f t="shared" ref="F44:F45" si="7">SUM(B44:E44)</f>
        <v>35187.623768999809</v>
      </c>
      <c r="G44" s="198"/>
    </row>
    <row r="45" spans="1:11" x14ac:dyDescent="0.2">
      <c r="A45" s="153" t="s">
        <v>104</v>
      </c>
      <c r="B45" s="152">
        <v>0</v>
      </c>
      <c r="C45" s="152">
        <v>0</v>
      </c>
      <c r="D45" s="152">
        <v>0</v>
      </c>
      <c r="E45" s="152">
        <v>0</v>
      </c>
      <c r="F45" s="200">
        <f t="shared" si="7"/>
        <v>0</v>
      </c>
    </row>
    <row r="46" spans="1:11" x14ac:dyDescent="0.2">
      <c r="A46" s="151"/>
      <c r="B46" s="152"/>
      <c r="C46" s="152"/>
      <c r="D46" s="152"/>
      <c r="E46" s="152"/>
      <c r="F46" s="200"/>
      <c r="G46" s="152"/>
      <c r="H46" s="152"/>
      <c r="I46" s="152"/>
    </row>
    <row r="47" spans="1:11" x14ac:dyDescent="0.2">
      <c r="A47" s="286" t="s">
        <v>89</v>
      </c>
      <c r="B47" s="287"/>
      <c r="C47" s="287"/>
      <c r="D47" s="287"/>
      <c r="E47" s="287"/>
      <c r="F47" s="288"/>
      <c r="G47" s="288"/>
      <c r="H47" s="288"/>
      <c r="I47" s="288"/>
    </row>
    <row r="48" spans="1:11" x14ac:dyDescent="0.2">
      <c r="A48" s="153" t="s">
        <v>102</v>
      </c>
      <c r="B48" s="152">
        <f>'TOT522'!H12</f>
        <v>29050</v>
      </c>
      <c r="C48" s="152">
        <f>'TOT522'!H13</f>
        <v>29050</v>
      </c>
      <c r="D48" s="152">
        <f>'TOT522'!H14</f>
        <v>29050</v>
      </c>
      <c r="E48" s="152">
        <f>'TOT522'!H15</f>
        <v>29050</v>
      </c>
      <c r="F48" s="200">
        <f>SUM(B48:E48)</f>
        <v>116200</v>
      </c>
      <c r="G48" s="152">
        <f>'TOT522'!$C$3</f>
        <v>581000</v>
      </c>
      <c r="H48" s="152">
        <f>SUM('TOT522'!H11:H15)</f>
        <v>145250</v>
      </c>
      <c r="I48" s="252">
        <f>G48-H48</f>
        <v>435750</v>
      </c>
      <c r="K48" s="208"/>
    </row>
    <row r="49" spans="1:11" x14ac:dyDescent="0.2">
      <c r="A49" s="153" t="s">
        <v>103</v>
      </c>
      <c r="B49" s="152">
        <f>'TOT522'!G12+'TOT522'!J12</f>
        <v>4581.1267664430479</v>
      </c>
      <c r="C49" s="152">
        <f>'TOT522'!G13+'TOT522'!J13</f>
        <v>4394.0095183101903</v>
      </c>
      <c r="D49" s="152">
        <f>'TOT522'!G14+'TOT522'!J14</f>
        <v>4201.6945688403093</v>
      </c>
      <c r="E49" s="152">
        <f>'TOT522'!G15+'TOT522'!J15</f>
        <v>3962.6003073372126</v>
      </c>
      <c r="F49" s="200">
        <f t="shared" ref="F49:F50" si="8">SUM(B49:E49)</f>
        <v>17139.431160930759</v>
      </c>
    </row>
    <row r="50" spans="1:11" x14ac:dyDescent="0.2">
      <c r="A50" s="153" t="s">
        <v>104</v>
      </c>
      <c r="B50" s="152">
        <v>0</v>
      </c>
      <c r="C50" s="152">
        <v>0</v>
      </c>
      <c r="D50" s="152">
        <v>0</v>
      </c>
      <c r="E50" s="152">
        <v>0</v>
      </c>
      <c r="F50" s="200">
        <f t="shared" si="8"/>
        <v>0</v>
      </c>
    </row>
    <row r="51" spans="1:11" x14ac:dyDescent="0.2">
      <c r="A51" s="151"/>
      <c r="B51" s="152"/>
      <c r="C51" s="152"/>
      <c r="D51" s="152"/>
      <c r="E51" s="152"/>
      <c r="F51" s="200"/>
      <c r="G51" s="152"/>
      <c r="H51" s="152"/>
      <c r="I51" s="152"/>
    </row>
    <row r="52" spans="1:11" x14ac:dyDescent="0.2">
      <c r="A52" s="286" t="s">
        <v>117</v>
      </c>
      <c r="B52" s="287"/>
      <c r="C52" s="287"/>
      <c r="D52" s="287"/>
      <c r="E52" s="287"/>
      <c r="F52" s="288"/>
      <c r="G52" s="288"/>
      <c r="H52" s="288"/>
      <c r="I52" s="288"/>
    </row>
    <row r="53" spans="1:11" x14ac:dyDescent="0.2">
      <c r="A53" s="153" t="s">
        <v>102</v>
      </c>
      <c r="B53" s="152">
        <f>SUM('WDT1007'!H38:H39)</f>
        <v>126620.1</v>
      </c>
      <c r="C53" s="152">
        <f>'WDT1007'!H40</f>
        <v>63310.05</v>
      </c>
      <c r="D53" s="152">
        <f>'WDT1007'!H41</f>
        <v>63310.05</v>
      </c>
      <c r="E53" s="152">
        <f>'WDT1007'!H42</f>
        <v>63310.05</v>
      </c>
      <c r="F53" s="200">
        <f>SUM(B53:E53)</f>
        <v>316550.25</v>
      </c>
      <c r="G53" s="152">
        <f>'WDT1007'!$C$26</f>
        <v>1266201</v>
      </c>
      <c r="H53" s="152">
        <f>SUM('WDT1007'!H37:H42)</f>
        <v>316550.25</v>
      </c>
      <c r="I53" s="252">
        <f>G53-H53</f>
        <v>949650.75</v>
      </c>
      <c r="K53" s="208"/>
    </row>
    <row r="54" spans="1:11" x14ac:dyDescent="0.2">
      <c r="A54" s="153" t="s">
        <v>103</v>
      </c>
      <c r="B54" s="152">
        <f>SUM('WDT1007'!G38:G39)+SUM('WDT1007'!J38:J39)</f>
        <v>10336.734411168245</v>
      </c>
      <c r="C54" s="152">
        <f>'WDT1007'!G40+'WDT1007'!J40</f>
        <v>9511.480659473038</v>
      </c>
      <c r="D54" s="152">
        <f>'WDT1007'!G41+'WDT1007'!J41</f>
        <v>9092.7309583814676</v>
      </c>
      <c r="E54" s="152">
        <f>'WDT1007'!G42+'WDT1007'!J42</f>
        <v>8572.1232218892455</v>
      </c>
      <c r="F54" s="200">
        <f t="shared" ref="F54:F55" si="9">SUM(B54:E54)</f>
        <v>37513.069250911998</v>
      </c>
      <c r="G54" s="198"/>
    </row>
    <row r="55" spans="1:11" x14ac:dyDescent="0.2">
      <c r="A55" s="153" t="s">
        <v>104</v>
      </c>
      <c r="B55" s="152">
        <v>0</v>
      </c>
      <c r="C55" s="152">
        <v>0</v>
      </c>
      <c r="D55" s="152">
        <v>0</v>
      </c>
      <c r="E55" s="152">
        <v>0</v>
      </c>
      <c r="F55" s="200">
        <f t="shared" si="9"/>
        <v>0</v>
      </c>
    </row>
    <row r="56" spans="1:11" x14ac:dyDescent="0.2">
      <c r="A56" s="151"/>
      <c r="B56" s="152"/>
      <c r="C56" s="152"/>
      <c r="D56" s="152"/>
      <c r="E56" s="152"/>
      <c r="F56" s="200"/>
      <c r="G56" s="152"/>
      <c r="H56" s="152"/>
      <c r="I56" s="152"/>
    </row>
    <row r="57" spans="1:11" x14ac:dyDescent="0.2">
      <c r="A57" s="283" t="str">
        <f>CONCATENATE(A2," Total")</f>
        <v xml:space="preserve"> Total</v>
      </c>
      <c r="B57" s="284"/>
      <c r="C57" s="284"/>
      <c r="D57" s="284"/>
      <c r="E57" s="284"/>
      <c r="F57" s="285"/>
      <c r="G57" s="285"/>
      <c r="H57" s="285"/>
      <c r="I57" s="285"/>
    </row>
    <row r="58" spans="1:11" x14ac:dyDescent="0.2">
      <c r="A58" s="199" t="s">
        <v>102</v>
      </c>
      <c r="B58" s="200">
        <f t="shared" ref="B58:E60" si="10">SUMPRODUCT((($A$6:$A$57)=$A58)*1,B$6:B$57)</f>
        <v>3862053.8253333331</v>
      </c>
      <c r="C58" s="200">
        <f t="shared" si="10"/>
        <v>2786841.0999999996</v>
      </c>
      <c r="D58" s="200">
        <f t="shared" si="10"/>
        <v>2673341.0999999996</v>
      </c>
      <c r="E58" s="200">
        <f t="shared" si="10"/>
        <v>2673341.0999999996</v>
      </c>
      <c r="F58" s="200">
        <f>SUM(B58:E58)</f>
        <v>11995577.125333332</v>
      </c>
      <c r="G58" s="200">
        <f>SUM(G5:G57)</f>
        <v>79918822</v>
      </c>
      <c r="H58" s="200">
        <f>SUM(H5:H57)</f>
        <v>52784295.649999991</v>
      </c>
      <c r="I58" s="253">
        <f>SUM(I5:I57)</f>
        <v>27134526.349999998</v>
      </c>
    </row>
    <row r="59" spans="1:11" x14ac:dyDescent="0.2">
      <c r="A59" s="199" t="s">
        <v>103</v>
      </c>
      <c r="B59" s="200">
        <f t="shared" si="10"/>
        <v>380651.84477641422</v>
      </c>
      <c r="C59" s="200">
        <f t="shared" si="10"/>
        <v>366040.00006532215</v>
      </c>
      <c r="D59" s="200">
        <f t="shared" si="10"/>
        <v>336210.17773843714</v>
      </c>
      <c r="E59" s="200">
        <f t="shared" si="10"/>
        <v>313791.41413315275</v>
      </c>
      <c r="F59" s="200">
        <f>SUM(B59:E59)</f>
        <v>1396693.4367133263</v>
      </c>
      <c r="G59" s="201"/>
      <c r="H59" s="201"/>
      <c r="I59" s="201"/>
    </row>
    <row r="60" spans="1:11" x14ac:dyDescent="0.2">
      <c r="A60" s="199" t="s">
        <v>104</v>
      </c>
      <c r="B60" s="200">
        <f t="shared" si="10"/>
        <v>1867.2240202422811</v>
      </c>
      <c r="C60" s="200">
        <f t="shared" si="10"/>
        <v>1780.0875071502792</v>
      </c>
      <c r="D60" s="200">
        <f t="shared" si="10"/>
        <v>1703.6106225374533</v>
      </c>
      <c r="E60" s="200">
        <f t="shared" si="10"/>
        <v>1615.6622052327034</v>
      </c>
      <c r="F60" s="200">
        <f>SUM(B60:E60)</f>
        <v>6966.5843551627167</v>
      </c>
      <c r="G60" s="182"/>
      <c r="H60" s="201"/>
      <c r="I60" s="201"/>
    </row>
    <row r="61" spans="1:11" ht="12.75" x14ac:dyDescent="0.2">
      <c r="G61" s="62"/>
      <c r="H61" s="62"/>
      <c r="I61" s="62"/>
    </row>
    <row r="62" spans="1:11" ht="12.75" x14ac:dyDescent="0.2">
      <c r="A62" s="155" t="s">
        <v>31</v>
      </c>
      <c r="G62" s="62"/>
      <c r="H62" s="75"/>
      <c r="I62" s="62"/>
    </row>
    <row r="63" spans="1:11" ht="12.75" x14ac:dyDescent="0.2">
      <c r="A63" s="189" t="s">
        <v>108</v>
      </c>
      <c r="G63" s="282"/>
      <c r="H63" s="71"/>
      <c r="I63" s="62"/>
    </row>
    <row r="64" spans="1:11" s="154" customFormat="1" ht="12.75" x14ac:dyDescent="0.2">
      <c r="A64" s="303" t="s">
        <v>106</v>
      </c>
      <c r="B64" s="303"/>
      <c r="C64" s="303"/>
      <c r="D64" s="303"/>
      <c r="E64" s="303"/>
      <c r="F64" s="303"/>
      <c r="G64" s="281"/>
      <c r="H64" s="75"/>
      <c r="I64" s="62"/>
    </row>
    <row r="65" spans="1:6" s="154" customFormat="1" x14ac:dyDescent="0.2">
      <c r="A65" s="303" t="s">
        <v>118</v>
      </c>
      <c r="B65" s="303"/>
      <c r="C65" s="303"/>
      <c r="D65" s="303"/>
      <c r="E65" s="303"/>
      <c r="F65" s="303"/>
    </row>
    <row r="66" spans="1:6" s="154" customFormat="1" x14ac:dyDescent="0.2">
      <c r="A66" s="303" t="s">
        <v>107</v>
      </c>
      <c r="B66" s="303"/>
      <c r="C66" s="303"/>
      <c r="D66" s="303"/>
      <c r="E66" s="303"/>
      <c r="F66" s="303"/>
    </row>
    <row r="67" spans="1:6" s="154" customFormat="1" x14ac:dyDescent="0.2">
      <c r="A67" s="299" t="s">
        <v>119</v>
      </c>
      <c r="B67" s="299"/>
      <c r="C67" s="299"/>
      <c r="D67" s="299"/>
      <c r="E67" s="299"/>
      <c r="F67" s="299"/>
    </row>
    <row r="68" spans="1:6" s="154" customFormat="1" x14ac:dyDescent="0.2">
      <c r="A68" s="299"/>
      <c r="B68" s="299"/>
      <c r="C68" s="299"/>
      <c r="D68" s="299"/>
      <c r="E68" s="299"/>
      <c r="F68" s="299"/>
    </row>
    <row r="69" spans="1:6" s="154" customFormat="1" ht="11.25" customHeight="1" x14ac:dyDescent="0.2">
      <c r="A69" s="300" t="s">
        <v>109</v>
      </c>
      <c r="B69" s="300"/>
      <c r="C69" s="300"/>
      <c r="D69" s="300"/>
      <c r="E69" s="300"/>
      <c r="F69" s="300"/>
    </row>
    <row r="70" spans="1:6" s="154" customFormat="1" x14ac:dyDescent="0.2">
      <c r="A70" s="300"/>
      <c r="B70" s="300"/>
      <c r="C70" s="300"/>
      <c r="D70" s="300"/>
      <c r="E70" s="300"/>
      <c r="F70" s="300"/>
    </row>
  </sheetData>
  <mergeCells count="7">
    <mergeCell ref="A67:F68"/>
    <mergeCell ref="A69:F70"/>
    <mergeCell ref="A1:F1"/>
    <mergeCell ref="B4:E4"/>
    <mergeCell ref="A64:F64"/>
    <mergeCell ref="A65:F65"/>
    <mergeCell ref="A66:F66"/>
  </mergeCells>
  <printOptions horizontalCentered="1"/>
  <pageMargins left="0.7" right="0.7" top="0.75" bottom="0.75" header="0.3" footer="0.3"/>
  <pageSetup scale="62" orientation="landscape" cellComments="asDisplayed" r:id="rId1"/>
  <headerFooter alignWithMargins="0">
    <oddHeader>&amp;RTO11 Draft Annual Update
Attachment 4
WP Schedule 22
Page &amp;P of &amp;N</oddHeader>
    <oddFooter>&amp;C2015 - Quarterly</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2060"/>
    <pageSetUpPr fitToPage="1"/>
  </sheetPr>
  <dimension ref="A1:I65"/>
  <sheetViews>
    <sheetView zoomScale="115" zoomScaleNormal="115" zoomScaleSheetLayoutView="115" workbookViewId="0">
      <selection sqref="A1:F1"/>
    </sheetView>
  </sheetViews>
  <sheetFormatPr defaultColWidth="9.140625" defaultRowHeight="11.25" x14ac:dyDescent="0.2"/>
  <cols>
    <col min="1" max="1" width="33.7109375" style="153" customWidth="1"/>
    <col min="2" max="2" width="14.5703125" style="154" bestFit="1" customWidth="1"/>
    <col min="3" max="4" width="13.42578125" style="154" customWidth="1"/>
    <col min="5" max="5" width="13.7109375" style="154" customWidth="1"/>
    <col min="6" max="6" width="14.5703125" style="154" customWidth="1"/>
    <col min="7" max="7" width="13.7109375" style="154" customWidth="1"/>
    <col min="8" max="8" width="13.85546875" style="154" customWidth="1"/>
    <col min="9" max="9" width="14.28515625" style="154" customWidth="1"/>
    <col min="10" max="11" width="14" style="153" bestFit="1" customWidth="1"/>
    <col min="12" max="16384" width="9.140625" style="153"/>
  </cols>
  <sheetData>
    <row r="1" spans="1:9" s="150" customFormat="1" ht="12.75" x14ac:dyDescent="0.2">
      <c r="A1" s="301" t="s">
        <v>126</v>
      </c>
      <c r="B1" s="301"/>
      <c r="C1" s="301"/>
      <c r="D1" s="301"/>
      <c r="E1" s="301"/>
      <c r="F1" s="301"/>
      <c r="G1" s="170"/>
      <c r="H1" s="170"/>
      <c r="I1" s="170"/>
    </row>
    <row r="2" spans="1:9" ht="12.75" x14ac:dyDescent="0.2">
      <c r="A2" s="278"/>
      <c r="B2" s="278"/>
      <c r="C2" s="278"/>
      <c r="D2" s="278"/>
      <c r="E2" s="278"/>
      <c r="F2" s="278"/>
      <c r="G2" s="171"/>
      <c r="H2" s="171"/>
      <c r="I2" s="171"/>
    </row>
    <row r="3" spans="1:9" x14ac:dyDescent="0.2">
      <c r="A3" s="151"/>
      <c r="B3" s="152"/>
      <c r="C3" s="152"/>
      <c r="D3" s="152"/>
      <c r="E3" s="152"/>
      <c r="F3" s="152"/>
      <c r="G3" s="152"/>
      <c r="H3" s="152"/>
      <c r="I3" s="152"/>
    </row>
    <row r="4" spans="1:9" x14ac:dyDescent="0.2">
      <c r="A4" s="151"/>
      <c r="B4" s="302" t="s">
        <v>101</v>
      </c>
      <c r="C4" s="302"/>
      <c r="D4" s="302"/>
      <c r="E4" s="302"/>
      <c r="F4" s="182"/>
      <c r="G4" s="152"/>
      <c r="H4" s="152"/>
      <c r="I4" s="152"/>
    </row>
    <row r="5" spans="1:9" s="251" customFormat="1" ht="32.25" x14ac:dyDescent="0.2">
      <c r="A5" s="248"/>
      <c r="B5" s="249">
        <v>41729</v>
      </c>
      <c r="C5" s="249">
        <v>41820</v>
      </c>
      <c r="D5" s="249">
        <v>41912</v>
      </c>
      <c r="E5" s="249">
        <v>42004</v>
      </c>
      <c r="F5" s="250" t="s">
        <v>0</v>
      </c>
      <c r="G5" s="250" t="s">
        <v>98</v>
      </c>
      <c r="H5" s="250" t="s">
        <v>100</v>
      </c>
      <c r="I5" s="250" t="s">
        <v>99</v>
      </c>
    </row>
    <row r="6" spans="1:9" s="150" customFormat="1" x14ac:dyDescent="0.2">
      <c r="A6" s="183"/>
      <c r="B6" s="184"/>
      <c r="C6" s="184"/>
      <c r="D6" s="184"/>
      <c r="E6" s="184"/>
      <c r="F6" s="149"/>
      <c r="G6" s="149"/>
      <c r="H6" s="149"/>
      <c r="I6" s="149"/>
    </row>
    <row r="7" spans="1:9" x14ac:dyDescent="0.2">
      <c r="A7" s="179" t="s">
        <v>115</v>
      </c>
      <c r="B7" s="180"/>
      <c r="C7" s="180"/>
      <c r="D7" s="180"/>
      <c r="E7" s="180"/>
      <c r="F7" s="181"/>
      <c r="G7" s="181"/>
      <c r="H7" s="181"/>
      <c r="I7" s="181"/>
    </row>
    <row r="8" spans="1:9" x14ac:dyDescent="0.2">
      <c r="A8" s="153" t="s">
        <v>102</v>
      </c>
      <c r="B8" s="152">
        <f>'TOT032'!H43</f>
        <v>671684.15</v>
      </c>
      <c r="C8" s="152">
        <f>'TOT032'!H44</f>
        <v>671684.15</v>
      </c>
      <c r="D8" s="152">
        <f>'TOT032'!H45</f>
        <v>671684.15</v>
      </c>
      <c r="E8" s="152">
        <f>'TOT032'!H46</f>
        <v>671684.15</v>
      </c>
      <c r="F8" s="200">
        <f>SUM(B8:E8)</f>
        <v>2686736.6</v>
      </c>
      <c r="G8" s="152">
        <f>'TOT032'!$C$26</f>
        <v>13433683</v>
      </c>
      <c r="H8" s="152">
        <f>SUM('TOT032'!H38:H46)</f>
        <v>4701789.05</v>
      </c>
      <c r="I8" s="252">
        <f>G8-H8</f>
        <v>8731893.9499999993</v>
      </c>
    </row>
    <row r="9" spans="1:9" x14ac:dyDescent="0.2">
      <c r="A9" s="153" t="s">
        <v>103</v>
      </c>
      <c r="B9" s="152">
        <f>'TOT032'!G43+'TOT032'!J43</f>
        <v>109088.74772308093</v>
      </c>
      <c r="C9" s="152">
        <f>'TOT032'!G44+'TOT032'!J44</f>
        <v>104561.02738062748</v>
      </c>
      <c r="D9" s="152">
        <f>'TOT032'!G45+'TOT032'!J45</f>
        <v>99910.936218107701</v>
      </c>
      <c r="E9" s="152">
        <f>'TOT032'!G46+'TOT032'!J46</f>
        <v>94281.878495057448</v>
      </c>
      <c r="F9" s="200">
        <f t="shared" ref="F9:F10" si="0">SUM(B9:E9)</f>
        <v>407842.58981687354</v>
      </c>
    </row>
    <row r="10" spans="1:9" x14ac:dyDescent="0.2">
      <c r="A10" s="153" t="s">
        <v>104</v>
      </c>
      <c r="B10" s="152">
        <v>0</v>
      </c>
      <c r="C10" s="152">
        <v>0</v>
      </c>
      <c r="D10" s="152">
        <v>0</v>
      </c>
      <c r="E10" s="152">
        <v>0</v>
      </c>
      <c r="F10" s="200">
        <f t="shared" si="0"/>
        <v>0</v>
      </c>
    </row>
    <row r="11" spans="1:9" x14ac:dyDescent="0.2">
      <c r="A11" s="151"/>
      <c r="B11" s="152"/>
      <c r="C11" s="152"/>
      <c r="D11" s="152"/>
      <c r="E11" s="152"/>
      <c r="F11" s="200"/>
      <c r="G11" s="152"/>
      <c r="H11" s="152"/>
      <c r="I11" s="152"/>
    </row>
    <row r="12" spans="1:9" x14ac:dyDescent="0.2">
      <c r="A12" s="179" t="s">
        <v>120</v>
      </c>
      <c r="B12" s="180"/>
      <c r="C12" s="180"/>
      <c r="D12" s="180"/>
      <c r="E12" s="180"/>
      <c r="F12" s="181"/>
      <c r="G12" s="181"/>
      <c r="H12" s="181"/>
      <c r="I12" s="181"/>
    </row>
    <row r="13" spans="1:9" x14ac:dyDescent="0.2">
      <c r="A13" s="153" t="s">
        <v>102</v>
      </c>
      <c r="B13" s="152">
        <f>'TOT037'!H56</f>
        <v>249200</v>
      </c>
      <c r="C13" s="152">
        <f>'TOT037'!H57</f>
        <v>249200</v>
      </c>
      <c r="D13" s="152">
        <v>0</v>
      </c>
      <c r="E13" s="152">
        <v>0</v>
      </c>
      <c r="F13" s="200">
        <f>SUM(B13:E13)</f>
        <v>498400</v>
      </c>
      <c r="G13" s="152">
        <f>'TOT037'!$C$26</f>
        <v>4984000</v>
      </c>
      <c r="H13" s="152">
        <f>SUM('TOT037'!H37:H57)</f>
        <v>4984000</v>
      </c>
      <c r="I13" s="252">
        <f>G13-H13</f>
        <v>0</v>
      </c>
    </row>
    <row r="14" spans="1:9" x14ac:dyDescent="0.2">
      <c r="A14" s="153" t="s">
        <v>103</v>
      </c>
      <c r="B14" s="152">
        <f>'TOT037'!G56+'TOT037'!J56</f>
        <v>4087.5357668305496</v>
      </c>
      <c r="C14" s="152">
        <f>'TOT037'!G57+'TOT037'!J57</f>
        <v>2111.9817767926443</v>
      </c>
      <c r="D14" s="152">
        <v>0</v>
      </c>
      <c r="E14" s="152">
        <v>0</v>
      </c>
      <c r="F14" s="200">
        <f t="shared" ref="F14:F15" si="1">SUM(B14:E14)</f>
        <v>6199.5175436231939</v>
      </c>
    </row>
    <row r="15" spans="1:9" x14ac:dyDescent="0.2">
      <c r="A15" s="153" t="s">
        <v>104</v>
      </c>
      <c r="B15" s="152">
        <v>0</v>
      </c>
      <c r="C15" s="152">
        <v>0</v>
      </c>
      <c r="D15" s="152">
        <v>0</v>
      </c>
      <c r="E15" s="152">
        <v>0</v>
      </c>
      <c r="F15" s="200">
        <f t="shared" si="1"/>
        <v>0</v>
      </c>
    </row>
    <row r="16" spans="1:9" x14ac:dyDescent="0.2">
      <c r="A16" s="151"/>
      <c r="B16" s="152"/>
      <c r="C16" s="152"/>
      <c r="D16" s="152"/>
      <c r="E16" s="152"/>
      <c r="F16" s="200"/>
      <c r="G16" s="152"/>
      <c r="H16" s="152"/>
      <c r="I16" s="152"/>
    </row>
    <row r="17" spans="1:9" x14ac:dyDescent="0.2">
      <c r="A17" s="179" t="s">
        <v>112</v>
      </c>
      <c r="B17" s="180"/>
      <c r="C17" s="180"/>
      <c r="D17" s="180"/>
      <c r="E17" s="180"/>
      <c r="F17" s="181"/>
      <c r="G17" s="181"/>
      <c r="H17" s="181"/>
      <c r="I17" s="181"/>
    </row>
    <row r="18" spans="1:9" x14ac:dyDescent="0.2">
      <c r="A18" s="153" t="s">
        <v>102</v>
      </c>
      <c r="B18" s="152">
        <f>'TOT041'!H41</f>
        <v>844591.65</v>
      </c>
      <c r="C18" s="152">
        <f>'TOT041'!H42</f>
        <v>1044591.65</v>
      </c>
      <c r="D18" s="152">
        <f>'TOT041'!H43</f>
        <v>894591.65</v>
      </c>
      <c r="E18" s="152">
        <f>'TOT041'!H44</f>
        <v>894591.65</v>
      </c>
      <c r="F18" s="200">
        <f>SUM(B18:E18)</f>
        <v>3678366.6</v>
      </c>
      <c r="G18" s="152">
        <f>'TOT041'!$C$29</f>
        <v>17891833</v>
      </c>
      <c r="H18" s="152">
        <f>SUM('TOT041'!H37:H44)</f>
        <v>5367549.9000000004</v>
      </c>
      <c r="I18" s="252">
        <f>G18-H18</f>
        <v>12524283.1</v>
      </c>
    </row>
    <row r="19" spans="1:9" x14ac:dyDescent="0.2">
      <c r="A19" s="153" t="s">
        <v>103</v>
      </c>
      <c r="B19" s="152">
        <f>'TOT041'!G41+'TOT041'!J41</f>
        <v>145249.90762093561</v>
      </c>
      <c r="C19" s="152">
        <f>'TOT041'!G42+'TOT041'!J42</f>
        <v>139627.01980708269</v>
      </c>
      <c r="D19" s="152">
        <f>'TOT041'!G43+'TOT041'!J43</f>
        <v>140403.50492983655</v>
      </c>
      <c r="E19" s="152">
        <f>'TOT041'!G44+'TOT041'!J44</f>
        <v>132907.53672607671</v>
      </c>
      <c r="F19" s="200">
        <f t="shared" ref="F19:F20" si="2">SUM(B19:E19)</f>
        <v>558187.96908393153</v>
      </c>
    </row>
    <row r="20" spans="1:9" x14ac:dyDescent="0.2">
      <c r="A20" s="153" t="s">
        <v>104</v>
      </c>
      <c r="B20" s="152">
        <v>0</v>
      </c>
      <c r="C20" s="152">
        <v>0</v>
      </c>
      <c r="D20" s="152">
        <v>0</v>
      </c>
      <c r="E20" s="152">
        <v>0</v>
      </c>
      <c r="F20" s="200">
        <f t="shared" si="2"/>
        <v>0</v>
      </c>
    </row>
    <row r="21" spans="1:9" x14ac:dyDescent="0.2">
      <c r="A21" s="151"/>
      <c r="B21" s="152"/>
      <c r="C21" s="152"/>
      <c r="D21" s="152"/>
      <c r="E21" s="152"/>
      <c r="F21" s="200"/>
      <c r="G21" s="152"/>
      <c r="H21" s="152"/>
      <c r="I21" s="152"/>
    </row>
    <row r="22" spans="1:9" x14ac:dyDescent="0.2">
      <c r="A22" s="179" t="s">
        <v>97</v>
      </c>
      <c r="B22" s="180"/>
      <c r="C22" s="180"/>
      <c r="D22" s="180"/>
      <c r="E22" s="180"/>
      <c r="F22" s="181"/>
      <c r="G22" s="181"/>
      <c r="H22" s="181"/>
      <c r="I22" s="181"/>
    </row>
    <row r="23" spans="1:9" x14ac:dyDescent="0.2">
      <c r="A23" s="153" t="s">
        <v>102</v>
      </c>
      <c r="B23" s="152">
        <f>'TOT094'!H56</f>
        <v>1182152.6753333332</v>
      </c>
      <c r="C23" s="152">
        <f>'TOT094'!H57</f>
        <v>1182152.6753333332</v>
      </c>
      <c r="D23" s="152">
        <f>'TOT094'!H58</f>
        <v>1182152.6753333332</v>
      </c>
      <c r="E23" s="152">
        <f>'TOT094'!H59</f>
        <v>1182152.6753333332</v>
      </c>
      <c r="F23" s="200">
        <f>SUM(B23:E23)</f>
        <v>4728610.7013333328</v>
      </c>
      <c r="G23" s="152">
        <f>'TOT094'!$C$29</f>
        <v>26452000</v>
      </c>
      <c r="H23" s="152">
        <f>SUM('TOT094'!H41:H59)</f>
        <v>25269847.32466666</v>
      </c>
      <c r="I23" s="252">
        <f>G23-H23</f>
        <v>1182152.6753333397</v>
      </c>
    </row>
    <row r="24" spans="1:9" x14ac:dyDescent="0.2">
      <c r="A24" s="153" t="s">
        <v>103</v>
      </c>
      <c r="B24" s="152">
        <f>'TOT094'!G56+'TOT094'!J56</f>
        <v>53123.845510987077</v>
      </c>
      <c r="C24" s="152">
        <f>'TOT094'!G57+'TOT094'!J57</f>
        <v>44029.086536315037</v>
      </c>
      <c r="D24" s="152">
        <f>'TOT094'!G58+'TOT094'!J58</f>
        <v>34722.821538976197</v>
      </c>
      <c r="E24" s="152">
        <f>'TOT094'!G59+'TOT094'!J59</f>
        <v>24993.544496303777</v>
      </c>
      <c r="F24" s="200">
        <f t="shared" ref="F24:F25" si="3">SUM(B24:E24)</f>
        <v>156869.29808258207</v>
      </c>
    </row>
    <row r="25" spans="1:9" x14ac:dyDescent="0.2">
      <c r="A25" s="153" t="s">
        <v>104</v>
      </c>
      <c r="B25" s="152">
        <f>'TOT094'!G89+'TOT094'!J89</f>
        <v>16.946320294722366</v>
      </c>
      <c r="C25" s="152">
        <f>'TOT094'!G90+'TOT094'!J90</f>
        <v>15.901236421890628</v>
      </c>
      <c r="D25" s="152">
        <f>'TOT094'!G91+'TOT094'!J91</f>
        <v>14.831848272946523</v>
      </c>
      <c r="E25" s="152">
        <f>'TOT094'!G92+'TOT094'!J92</f>
        <v>13.713851571777685</v>
      </c>
      <c r="F25" s="200">
        <f t="shared" si="3"/>
        <v>61.393256561337196</v>
      </c>
    </row>
    <row r="26" spans="1:9" x14ac:dyDescent="0.2">
      <c r="A26" s="151"/>
      <c r="B26" s="152"/>
      <c r="C26" s="152"/>
      <c r="D26" s="152"/>
      <c r="E26" s="152"/>
      <c r="F26" s="200"/>
      <c r="G26" s="152"/>
      <c r="H26" s="152"/>
      <c r="I26" s="152"/>
    </row>
    <row r="27" spans="1:9" x14ac:dyDescent="0.2">
      <c r="A27" s="179" t="s">
        <v>113</v>
      </c>
      <c r="B27" s="180"/>
      <c r="C27" s="180"/>
      <c r="D27" s="180"/>
      <c r="E27" s="180"/>
      <c r="F27" s="181"/>
      <c r="G27" s="181"/>
      <c r="H27" s="181"/>
      <c r="I27" s="181"/>
    </row>
    <row r="28" spans="1:9" x14ac:dyDescent="0.2">
      <c r="A28" s="153" t="s">
        <v>102</v>
      </c>
      <c r="B28" s="152">
        <f>'TOT135'!H43</f>
        <v>730000</v>
      </c>
      <c r="C28" s="152">
        <f>'TOT135'!H44</f>
        <v>182500</v>
      </c>
      <c r="D28" s="152">
        <f>'TOT135'!H45</f>
        <v>182500</v>
      </c>
      <c r="E28" s="152">
        <f>'TOT135'!H46</f>
        <v>182500</v>
      </c>
      <c r="F28" s="200">
        <f>SUM(B28:E28)</f>
        <v>1277500</v>
      </c>
      <c r="G28" s="152">
        <f>'TOT135'!$C$30</f>
        <v>3650000</v>
      </c>
      <c r="H28" s="152">
        <f>SUM('TOT135'!H38:H46)</f>
        <v>1277500</v>
      </c>
      <c r="I28" s="252">
        <f>G28-H28</f>
        <v>2372500</v>
      </c>
    </row>
    <row r="29" spans="1:9" x14ac:dyDescent="0.2">
      <c r="A29" s="153" t="s">
        <v>103</v>
      </c>
      <c r="B29" s="152">
        <f>'TOT135'!G43+'TOT135'!J43</f>
        <v>35997.416734839542</v>
      </c>
      <c r="C29" s="152">
        <f>'TOT135'!G44+'TOT135'!J44</f>
        <v>33826.064978156879</v>
      </c>
      <c r="D29" s="152">
        <f>'TOT135'!G45+'TOT135'!J45</f>
        <v>32530.165238886297</v>
      </c>
      <c r="E29" s="152">
        <f>'TOT135'!G46+'TOT135'!J46</f>
        <v>30961.444501874539</v>
      </c>
      <c r="F29" s="200">
        <f t="shared" ref="F29:F30" si="4">SUM(B29:E29)</f>
        <v>133315.09145375725</v>
      </c>
    </row>
    <row r="30" spans="1:9" x14ac:dyDescent="0.2">
      <c r="A30" s="153" t="s">
        <v>104</v>
      </c>
      <c r="B30" s="152">
        <f>'TOT135'!F69</f>
        <v>2944.7121287408113</v>
      </c>
      <c r="C30" s="152">
        <f>'TOT135'!F70</f>
        <v>2128.0573321386382</v>
      </c>
      <c r="D30" s="152">
        <f>'TOT135'!F71</f>
        <v>2055.4042917564534</v>
      </c>
      <c r="E30" s="152">
        <f>'TOT135'!F72</f>
        <v>1967.455874451703</v>
      </c>
      <c r="F30" s="200">
        <f t="shared" si="4"/>
        <v>9095.6296270876064</v>
      </c>
    </row>
    <row r="31" spans="1:9" x14ac:dyDescent="0.2">
      <c r="A31" s="151"/>
      <c r="B31" s="152"/>
      <c r="C31" s="152"/>
      <c r="D31" s="152"/>
      <c r="E31" s="152"/>
      <c r="F31" s="200"/>
      <c r="G31" s="152"/>
      <c r="H31" s="152"/>
      <c r="I31" s="152"/>
    </row>
    <row r="32" spans="1:9" x14ac:dyDescent="0.2">
      <c r="A32" s="179" t="s">
        <v>114</v>
      </c>
      <c r="B32" s="180"/>
      <c r="C32" s="180"/>
      <c r="D32" s="180"/>
      <c r="E32" s="180"/>
      <c r="F32" s="181"/>
      <c r="G32" s="181"/>
      <c r="H32" s="181"/>
      <c r="I32" s="181"/>
    </row>
    <row r="33" spans="1:9" x14ac:dyDescent="0.2">
      <c r="A33" s="153" t="s">
        <v>102</v>
      </c>
      <c r="B33" s="152">
        <v>0</v>
      </c>
      <c r="C33" s="152">
        <v>0</v>
      </c>
      <c r="D33" s="152">
        <v>0</v>
      </c>
      <c r="E33" s="152">
        <f>'TOT175'!H41</f>
        <v>278386</v>
      </c>
      <c r="F33" s="200">
        <f>SUM(B33:E33)</f>
        <v>278386</v>
      </c>
      <c r="G33" s="152">
        <f>'TOT175'!$C$26</f>
        <v>5567720</v>
      </c>
      <c r="H33" s="152">
        <f>SUM('TOT175'!H37:H41)</f>
        <v>278386</v>
      </c>
      <c r="I33" s="252">
        <f>G33-H33</f>
        <v>5289334</v>
      </c>
    </row>
    <row r="34" spans="1:9" x14ac:dyDescent="0.2">
      <c r="A34" s="153" t="s">
        <v>103</v>
      </c>
      <c r="B34" s="152">
        <v>0</v>
      </c>
      <c r="C34" s="152">
        <v>0</v>
      </c>
      <c r="D34" s="152">
        <v>0</v>
      </c>
      <c r="E34" s="152">
        <f>'TOT175'!G41+'TOT175'!J41</f>
        <v>10438.570820289115</v>
      </c>
      <c r="F34" s="200">
        <f t="shared" ref="F34:F35" si="5">SUM(B34:E34)</f>
        <v>10438.570820289115</v>
      </c>
    </row>
    <row r="35" spans="1:9" x14ac:dyDescent="0.2">
      <c r="A35" s="153" t="s">
        <v>104</v>
      </c>
      <c r="B35" s="152">
        <v>0</v>
      </c>
      <c r="C35" s="152">
        <v>0</v>
      </c>
      <c r="D35" s="152">
        <v>0</v>
      </c>
      <c r="E35" s="152">
        <v>0</v>
      </c>
      <c r="F35" s="200">
        <f t="shared" si="5"/>
        <v>0</v>
      </c>
    </row>
    <row r="36" spans="1:9" x14ac:dyDescent="0.2">
      <c r="A36" s="151"/>
      <c r="B36" s="152"/>
      <c r="C36" s="152"/>
      <c r="D36" s="152"/>
      <c r="E36" s="152"/>
      <c r="F36" s="200"/>
      <c r="G36" s="152"/>
      <c r="H36" s="152"/>
      <c r="I36" s="152"/>
    </row>
    <row r="37" spans="1:9" x14ac:dyDescent="0.2">
      <c r="A37" s="179" t="s">
        <v>105</v>
      </c>
      <c r="B37" s="180"/>
      <c r="C37" s="180"/>
      <c r="D37" s="180"/>
      <c r="E37" s="180"/>
      <c r="F37" s="181"/>
      <c r="G37" s="181"/>
      <c r="H37" s="181"/>
      <c r="I37" s="181"/>
    </row>
    <row r="38" spans="1:9" x14ac:dyDescent="0.2">
      <c r="A38" s="153" t="s">
        <v>102</v>
      </c>
      <c r="B38" s="152">
        <f>'TOT278'!H42</f>
        <v>459750</v>
      </c>
      <c r="C38" s="152">
        <f>'TOT278'!H43</f>
        <v>459750</v>
      </c>
      <c r="D38" s="152">
        <f>'TOT278'!H44</f>
        <v>459750</v>
      </c>
      <c r="E38" s="152">
        <f>'TOT278'!H45</f>
        <v>459750</v>
      </c>
      <c r="F38" s="200">
        <f>SUM(B38:E38)</f>
        <v>1839000</v>
      </c>
      <c r="G38" s="152">
        <f>'TOT278'!$C$26</f>
        <v>9195000</v>
      </c>
      <c r="H38" s="152">
        <f>SUM('TOT278'!H37:H45)</f>
        <v>3678000</v>
      </c>
      <c r="I38" s="252">
        <f>G38-H38</f>
        <v>5517000</v>
      </c>
    </row>
    <row r="39" spans="1:9" x14ac:dyDescent="0.2">
      <c r="A39" s="153" t="s">
        <v>103</v>
      </c>
      <c r="B39" s="152">
        <f>'TOT278'!G42+'TOT278'!J42</f>
        <v>65101.884878998957</v>
      </c>
      <c r="C39" s="152">
        <f>'TOT278'!G43+'TOT278'!J43</f>
        <v>61995.215453567784</v>
      </c>
      <c r="D39" s="152">
        <f>'TOT278'!G44+'TOT278'!J44</f>
        <v>58805.701510125116</v>
      </c>
      <c r="E39" s="152">
        <f>'TOT278'!G45+'TOT278'!J45</f>
        <v>54994.8536815962</v>
      </c>
      <c r="F39" s="200">
        <f t="shared" ref="F39:F40" si="6">SUM(B39:E39)</f>
        <v>240897.65552428804</v>
      </c>
    </row>
    <row r="40" spans="1:9" x14ac:dyDescent="0.2">
      <c r="A40" s="153" t="s">
        <v>104</v>
      </c>
      <c r="B40" s="152">
        <v>0</v>
      </c>
      <c r="C40" s="152">
        <v>0</v>
      </c>
      <c r="D40" s="152">
        <v>0</v>
      </c>
      <c r="E40" s="152">
        <v>0</v>
      </c>
      <c r="F40" s="200">
        <f t="shared" si="6"/>
        <v>0</v>
      </c>
    </row>
    <row r="41" spans="1:9" x14ac:dyDescent="0.2">
      <c r="A41" s="151"/>
      <c r="B41" s="152"/>
      <c r="C41" s="152"/>
      <c r="D41" s="152"/>
      <c r="E41" s="152"/>
      <c r="F41" s="200"/>
      <c r="G41" s="152"/>
      <c r="H41" s="152"/>
      <c r="I41" s="152"/>
    </row>
    <row r="42" spans="1:9" x14ac:dyDescent="0.2">
      <c r="A42" s="179" t="s">
        <v>92</v>
      </c>
      <c r="B42" s="180"/>
      <c r="C42" s="180"/>
      <c r="D42" s="180"/>
      <c r="E42" s="180"/>
      <c r="F42" s="181"/>
      <c r="G42" s="181"/>
      <c r="H42" s="181"/>
      <c r="I42" s="181"/>
    </row>
    <row r="43" spans="1:9" x14ac:dyDescent="0.2">
      <c r="A43" s="153" t="s">
        <v>102</v>
      </c>
      <c r="B43" s="152">
        <f>'TOT455'!H44</f>
        <v>37319.25</v>
      </c>
      <c r="C43" s="152">
        <f>('TOT455'!H45)+('TOT455'!H46)</f>
        <v>74638.5</v>
      </c>
      <c r="D43" s="152">
        <f>'TOT455'!H47</f>
        <v>37319.25</v>
      </c>
      <c r="E43" s="152">
        <f>'TOT455'!H48</f>
        <v>37319.25</v>
      </c>
      <c r="F43" s="200">
        <f>SUM(B43:E43)</f>
        <v>186596.25</v>
      </c>
      <c r="G43" s="152">
        <f>'TOT455'!$C$26</f>
        <v>746385</v>
      </c>
      <c r="H43" s="152">
        <f>SUM('TOT455'!H37:H48)</f>
        <v>186596.25</v>
      </c>
      <c r="I43" s="252">
        <f>G43-H43</f>
        <v>559788.75</v>
      </c>
    </row>
    <row r="44" spans="1:9" x14ac:dyDescent="0.2">
      <c r="A44" s="153" t="s">
        <v>103</v>
      </c>
      <c r="B44" s="152">
        <f>'TOT455'!G44+'TOT455'!J44</f>
        <v>8192.0312369415533</v>
      </c>
      <c r="C44" s="152">
        <f>('TOT455'!G45+'TOT455'!J45)+('TOT455'!G46+'TOT455'!J46)</f>
        <v>9538.5639737811543</v>
      </c>
      <c r="D44" s="152">
        <f>'TOT455'!G47+'TOT455'!J47</f>
        <v>7689.0966532605944</v>
      </c>
      <c r="E44" s="152">
        <f>'TOT455'!G48+'TOT455'!J48</f>
        <v>7367.7773359088696</v>
      </c>
      <c r="F44" s="200">
        <f>SUM(B44:E44)</f>
        <v>32787.46919989217</v>
      </c>
      <c r="G44" s="198"/>
    </row>
    <row r="45" spans="1:9" x14ac:dyDescent="0.2">
      <c r="A45" s="153" t="s">
        <v>104</v>
      </c>
      <c r="B45" s="152">
        <v>0</v>
      </c>
      <c r="C45" s="152">
        <v>0</v>
      </c>
      <c r="D45" s="152">
        <v>0</v>
      </c>
      <c r="E45" s="152">
        <v>0</v>
      </c>
      <c r="F45" s="200">
        <f t="shared" ref="F45" si="7">SUM(B45:E45)</f>
        <v>0</v>
      </c>
    </row>
    <row r="46" spans="1:9" x14ac:dyDescent="0.2">
      <c r="A46" s="151"/>
      <c r="B46" s="152"/>
      <c r="C46" s="152"/>
      <c r="D46" s="152"/>
      <c r="E46" s="152"/>
      <c r="F46" s="200"/>
      <c r="G46" s="152"/>
      <c r="H46" s="152"/>
      <c r="I46" s="152"/>
    </row>
    <row r="47" spans="1:9" x14ac:dyDescent="0.2">
      <c r="A47" s="179" t="s">
        <v>89</v>
      </c>
      <c r="B47" s="180"/>
      <c r="C47" s="180"/>
      <c r="D47" s="180"/>
      <c r="E47" s="180"/>
      <c r="F47" s="181"/>
      <c r="G47" s="181"/>
      <c r="H47" s="181"/>
      <c r="I47" s="181"/>
    </row>
    <row r="48" spans="1:9" x14ac:dyDescent="0.2">
      <c r="A48" s="153" t="s">
        <v>102</v>
      </c>
      <c r="B48" s="152">
        <v>0</v>
      </c>
      <c r="C48" s="152">
        <v>0</v>
      </c>
      <c r="D48" s="152">
        <v>0</v>
      </c>
      <c r="E48" s="152">
        <f>'TOT522'!H11</f>
        <v>29050</v>
      </c>
      <c r="F48" s="200">
        <f>SUM(B48:E48)</f>
        <v>29050</v>
      </c>
      <c r="G48" s="152">
        <f>'TOT522'!$C$3</f>
        <v>581000</v>
      </c>
      <c r="H48" s="152">
        <f>SUM('TOT522'!H11:H11)</f>
        <v>29050</v>
      </c>
      <c r="I48" s="252">
        <f>G48-H48</f>
        <v>551950</v>
      </c>
    </row>
    <row r="49" spans="1:9" x14ac:dyDescent="0.2">
      <c r="A49" s="153" t="s">
        <v>103</v>
      </c>
      <c r="B49" s="152">
        <v>0</v>
      </c>
      <c r="C49" s="152">
        <v>0</v>
      </c>
      <c r="D49" s="152">
        <v>0</v>
      </c>
      <c r="E49" s="152">
        <f>'TOT522'!G11+'TOT522'!J11</f>
        <v>137.0921232876712</v>
      </c>
      <c r="F49" s="200">
        <f t="shared" ref="F49:F50" si="8">SUM(B49:E49)</f>
        <v>137.0921232876712</v>
      </c>
    </row>
    <row r="50" spans="1:9" x14ac:dyDescent="0.2">
      <c r="A50" s="153" t="s">
        <v>104</v>
      </c>
      <c r="B50" s="152">
        <v>0</v>
      </c>
      <c r="C50" s="152">
        <v>0</v>
      </c>
      <c r="D50" s="152">
        <v>0</v>
      </c>
      <c r="E50" s="152">
        <v>0</v>
      </c>
      <c r="F50" s="200">
        <f t="shared" si="8"/>
        <v>0</v>
      </c>
    </row>
    <row r="51" spans="1:9" x14ac:dyDescent="0.2">
      <c r="A51" s="151"/>
      <c r="B51" s="152"/>
      <c r="C51" s="152"/>
      <c r="D51" s="152"/>
      <c r="E51" s="152"/>
      <c r="F51" s="200"/>
      <c r="G51" s="152"/>
      <c r="H51" s="152"/>
      <c r="I51" s="152"/>
    </row>
    <row r="52" spans="1:9" x14ac:dyDescent="0.2">
      <c r="A52" s="202" t="str">
        <f>CONCATENATE(A2," Total")</f>
        <v xml:space="preserve"> Total</v>
      </c>
      <c r="B52" s="203"/>
      <c r="C52" s="203"/>
      <c r="D52" s="203"/>
      <c r="E52" s="203"/>
      <c r="F52" s="204"/>
      <c r="G52" s="204"/>
      <c r="H52" s="204"/>
      <c r="I52" s="204"/>
    </row>
    <row r="53" spans="1:9" x14ac:dyDescent="0.2">
      <c r="A53" s="199" t="s">
        <v>102</v>
      </c>
      <c r="B53" s="200">
        <f t="shared" ref="B53:E55" si="9">SUMPRODUCT((($A$6:$A$52)=$A53)*1,B$6:B$52)</f>
        <v>4174697.725333333</v>
      </c>
      <c r="C53" s="200">
        <f t="shared" si="9"/>
        <v>3864516.975333333</v>
      </c>
      <c r="D53" s="200">
        <f t="shared" si="9"/>
        <v>3427997.725333333</v>
      </c>
      <c r="E53" s="200">
        <f t="shared" si="9"/>
        <v>3735433.725333333</v>
      </c>
      <c r="F53" s="200">
        <f>SUM(B53:E53)</f>
        <v>15202646.151333332</v>
      </c>
      <c r="G53" s="152">
        <f>SUM(G5:G52)</f>
        <v>82501621</v>
      </c>
      <c r="H53" s="152">
        <f>SUM(H5:H52)</f>
        <v>45772718.52466666</v>
      </c>
      <c r="I53" s="252">
        <f>SUM(I5:I52)</f>
        <v>36728902.475333333</v>
      </c>
    </row>
    <row r="54" spans="1:9" x14ac:dyDescent="0.2">
      <c r="A54" s="199" t="s">
        <v>103</v>
      </c>
      <c r="B54" s="200">
        <f t="shared" si="9"/>
        <v>420841.36947261431</v>
      </c>
      <c r="C54" s="200">
        <f t="shared" si="9"/>
        <v>395688.95990632364</v>
      </c>
      <c r="D54" s="200">
        <f t="shared" si="9"/>
        <v>374062.2260891925</v>
      </c>
      <c r="E54" s="200">
        <f t="shared" si="9"/>
        <v>356082.69818039431</v>
      </c>
      <c r="F54" s="200">
        <f>SUM(B54:E54)</f>
        <v>1546675.2536485246</v>
      </c>
      <c r="G54" s="198"/>
    </row>
    <row r="55" spans="1:9" x14ac:dyDescent="0.2">
      <c r="A55" s="199" t="s">
        <v>104</v>
      </c>
      <c r="B55" s="200">
        <f t="shared" si="9"/>
        <v>2961.6584490355335</v>
      </c>
      <c r="C55" s="200">
        <f t="shared" si="9"/>
        <v>2143.9585685605289</v>
      </c>
      <c r="D55" s="200">
        <f t="shared" si="9"/>
        <v>2070.2361400293998</v>
      </c>
      <c r="E55" s="200">
        <f t="shared" si="9"/>
        <v>1981.1697260234807</v>
      </c>
      <c r="F55" s="200">
        <f>SUM(B55:E55)</f>
        <v>9157.0228836489441</v>
      </c>
    </row>
    <row r="56" spans="1:9" ht="12.75" x14ac:dyDescent="0.2">
      <c r="G56" s="62"/>
      <c r="H56" s="62"/>
      <c r="I56" s="62"/>
    </row>
    <row r="57" spans="1:9" ht="12.75" x14ac:dyDescent="0.2">
      <c r="A57" s="155" t="s">
        <v>31</v>
      </c>
      <c r="G57" s="62"/>
      <c r="H57" s="75"/>
      <c r="I57" s="62"/>
    </row>
    <row r="58" spans="1:9" ht="12.75" x14ac:dyDescent="0.2">
      <c r="A58" s="189" t="s">
        <v>108</v>
      </c>
      <c r="G58" s="282"/>
      <c r="H58" s="71"/>
      <c r="I58" s="62"/>
    </row>
    <row r="59" spans="1:9" s="154" customFormat="1" ht="12.75" x14ac:dyDescent="0.2">
      <c r="A59" s="303" t="s">
        <v>106</v>
      </c>
      <c r="B59" s="303"/>
      <c r="C59" s="303"/>
      <c r="D59" s="303"/>
      <c r="E59" s="303"/>
      <c r="F59" s="303"/>
      <c r="G59" s="281"/>
      <c r="H59" s="75"/>
      <c r="I59" s="62"/>
    </row>
    <row r="60" spans="1:9" s="154" customFormat="1" x14ac:dyDescent="0.2">
      <c r="A60" s="303" t="s">
        <v>118</v>
      </c>
      <c r="B60" s="303"/>
      <c r="C60" s="303"/>
      <c r="D60" s="303"/>
      <c r="E60" s="303"/>
      <c r="F60" s="303"/>
    </row>
    <row r="61" spans="1:9" s="154" customFormat="1" x14ac:dyDescent="0.2">
      <c r="A61" s="303" t="s">
        <v>107</v>
      </c>
      <c r="B61" s="303"/>
      <c r="C61" s="303"/>
      <c r="D61" s="303"/>
      <c r="E61" s="303"/>
      <c r="F61" s="303"/>
    </row>
    <row r="62" spans="1:9" s="154" customFormat="1" x14ac:dyDescent="0.2">
      <c r="A62" s="299" t="s">
        <v>119</v>
      </c>
      <c r="B62" s="299"/>
      <c r="C62" s="299"/>
      <c r="D62" s="299"/>
      <c r="E62" s="299"/>
      <c r="F62" s="299"/>
    </row>
    <row r="63" spans="1:9" s="154" customFormat="1" x14ac:dyDescent="0.2">
      <c r="A63" s="299"/>
      <c r="B63" s="299"/>
      <c r="C63" s="299"/>
      <c r="D63" s="299"/>
      <c r="E63" s="299"/>
      <c r="F63" s="299"/>
    </row>
    <row r="64" spans="1:9" s="154" customFormat="1" ht="11.25" customHeight="1" x14ac:dyDescent="0.2">
      <c r="A64" s="300" t="s">
        <v>109</v>
      </c>
      <c r="B64" s="300"/>
      <c r="C64" s="300"/>
      <c r="D64" s="300"/>
      <c r="E64" s="300"/>
      <c r="F64" s="300"/>
    </row>
    <row r="65" spans="1:6" s="154" customFormat="1" x14ac:dyDescent="0.2">
      <c r="A65" s="300"/>
      <c r="B65" s="300"/>
      <c r="C65" s="300"/>
      <c r="D65" s="300"/>
      <c r="E65" s="300"/>
      <c r="F65" s="300"/>
    </row>
  </sheetData>
  <mergeCells count="7">
    <mergeCell ref="A62:F63"/>
    <mergeCell ref="A64:F65"/>
    <mergeCell ref="A1:F1"/>
    <mergeCell ref="B4:E4"/>
    <mergeCell ref="A59:F59"/>
    <mergeCell ref="A60:F60"/>
    <mergeCell ref="A61:F61"/>
  </mergeCells>
  <printOptions horizontalCentered="1"/>
  <pageMargins left="0.7" right="0.7" top="0.75" bottom="0.75" header="0.3" footer="0.3"/>
  <pageSetup scale="66" orientation="landscape" cellComments="asDisplayed" r:id="rId1"/>
  <headerFooter alignWithMargins="0">
    <oddHeader xml:space="preserve">&amp;RTO11 Draft Annual Update
Attachment 4
WP Schedule 22
Page &amp;P of &amp;N
</oddHeader>
    <oddFooter>&amp;C2014 - Quarterly</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3"/>
  <sheetViews>
    <sheetView zoomScale="85" zoomScaleNormal="85" workbookViewId="0"/>
  </sheetViews>
  <sheetFormatPr defaultColWidth="9.140625" defaultRowHeight="12.75" x14ac:dyDescent="0.2"/>
  <cols>
    <col min="1" max="1" width="12.28515625" style="19" customWidth="1"/>
    <col min="2" max="2" width="11" style="19" customWidth="1"/>
    <col min="3" max="3" width="15.28515625" style="19" bestFit="1" customWidth="1"/>
    <col min="4" max="7" width="16.28515625" style="19" customWidth="1"/>
    <col min="8" max="8" width="19.85546875" style="19" bestFit="1" customWidth="1"/>
    <col min="9" max="9" width="19.85546875" style="19" customWidth="1"/>
    <col min="10" max="10" width="21.7109375" style="19" customWidth="1"/>
    <col min="11" max="11" width="19.85546875" style="19" bestFit="1" customWidth="1"/>
    <col min="12" max="12" width="9.140625" style="19"/>
    <col min="13" max="13" width="15.28515625" style="19" bestFit="1" customWidth="1"/>
    <col min="14" max="16384" width="9.140625" style="19"/>
  </cols>
  <sheetData>
    <row r="1" spans="1:11" ht="51" x14ac:dyDescent="0.2">
      <c r="A1" s="187" t="s">
        <v>18</v>
      </c>
      <c r="B1" s="3" t="s">
        <v>8</v>
      </c>
      <c r="C1" s="187" t="s">
        <v>7</v>
      </c>
      <c r="D1" s="187" t="s">
        <v>1</v>
      </c>
      <c r="E1" s="187" t="s">
        <v>24</v>
      </c>
      <c r="F1" s="3" t="s">
        <v>0</v>
      </c>
      <c r="H1"/>
      <c r="I1"/>
      <c r="J1"/>
      <c r="K1"/>
    </row>
    <row r="2" spans="1:11" ht="12.75" customHeight="1" x14ac:dyDescent="0.2">
      <c r="A2" s="4">
        <v>1</v>
      </c>
      <c r="B2" s="9">
        <v>40689</v>
      </c>
      <c r="C2" s="10">
        <v>13433683</v>
      </c>
      <c r="D2" s="10">
        <v>0</v>
      </c>
      <c r="E2" s="10">
        <v>0</v>
      </c>
      <c r="F2" s="29">
        <f>SUM(C2:E2)</f>
        <v>13433683</v>
      </c>
      <c r="H2"/>
      <c r="I2"/>
      <c r="J2"/>
      <c r="K2"/>
    </row>
    <row r="3" spans="1:11" ht="12.75" customHeight="1" x14ac:dyDescent="0.2">
      <c r="A3" s="4">
        <v>2</v>
      </c>
      <c r="B3" s="137" t="s">
        <v>93</v>
      </c>
      <c r="C3" s="10">
        <v>0</v>
      </c>
      <c r="D3" s="10">
        <v>0</v>
      </c>
      <c r="E3" s="10">
        <v>0</v>
      </c>
      <c r="F3" s="29">
        <f t="shared" ref="F3:F25" si="0">SUM(C3:E3)</f>
        <v>0</v>
      </c>
      <c r="H3"/>
      <c r="I3"/>
      <c r="J3"/>
      <c r="K3"/>
    </row>
    <row r="4" spans="1:11" ht="13.15" customHeight="1" x14ac:dyDescent="0.2">
      <c r="A4" s="4">
        <v>3</v>
      </c>
      <c r="B4" s="137" t="s">
        <v>93</v>
      </c>
      <c r="C4" s="10">
        <v>0</v>
      </c>
      <c r="D4" s="10">
        <v>0</v>
      </c>
      <c r="E4" s="10">
        <v>0</v>
      </c>
      <c r="F4" s="29">
        <f t="shared" si="0"/>
        <v>0</v>
      </c>
      <c r="H4"/>
      <c r="I4"/>
      <c r="J4"/>
      <c r="K4"/>
    </row>
    <row r="5" spans="1:11" ht="12.75" customHeight="1" x14ac:dyDescent="0.2">
      <c r="A5" s="4">
        <v>4</v>
      </c>
      <c r="B5" s="137" t="s">
        <v>93</v>
      </c>
      <c r="C5" s="10">
        <v>0</v>
      </c>
      <c r="D5" s="10">
        <v>0</v>
      </c>
      <c r="E5" s="10">
        <v>0</v>
      </c>
      <c r="F5" s="29">
        <f t="shared" si="0"/>
        <v>0</v>
      </c>
      <c r="H5" s="197"/>
      <c r="I5" s="197"/>
      <c r="J5" s="197"/>
      <c r="K5" s="197"/>
    </row>
    <row r="6" spans="1:11" ht="12.75" customHeight="1" x14ac:dyDescent="0.2">
      <c r="A6" s="4">
        <v>5</v>
      </c>
      <c r="B6" s="137" t="s">
        <v>93</v>
      </c>
      <c r="C6" s="10">
        <v>0</v>
      </c>
      <c r="D6" s="10">
        <v>0</v>
      </c>
      <c r="E6" s="10">
        <v>0</v>
      </c>
      <c r="F6" s="29">
        <f t="shared" si="0"/>
        <v>0</v>
      </c>
      <c r="H6" s="196"/>
      <c r="I6" s="196"/>
      <c r="J6" s="196"/>
      <c r="K6" s="196"/>
    </row>
    <row r="7" spans="1:11" x14ac:dyDescent="0.2">
      <c r="A7" s="4">
        <v>6</v>
      </c>
      <c r="B7" s="137" t="s">
        <v>93</v>
      </c>
      <c r="C7" s="10">
        <v>0</v>
      </c>
      <c r="D7" s="10">
        <v>0</v>
      </c>
      <c r="E7" s="10">
        <v>0</v>
      </c>
      <c r="F7" s="29">
        <f t="shared" si="0"/>
        <v>0</v>
      </c>
      <c r="H7" s="196"/>
      <c r="I7" s="196"/>
      <c r="J7" s="196"/>
      <c r="K7" s="196"/>
    </row>
    <row r="8" spans="1:11" x14ac:dyDescent="0.2">
      <c r="A8" s="4">
        <v>7</v>
      </c>
      <c r="B8" s="137" t="s">
        <v>93</v>
      </c>
      <c r="C8" s="10">
        <v>0</v>
      </c>
      <c r="D8" s="10">
        <v>0</v>
      </c>
      <c r="E8" s="10">
        <v>0</v>
      </c>
      <c r="F8" s="29">
        <f t="shared" si="0"/>
        <v>0</v>
      </c>
      <c r="H8" s="2"/>
    </row>
    <row r="9" spans="1:11" x14ac:dyDescent="0.2">
      <c r="A9" s="4">
        <v>8</v>
      </c>
      <c r="B9" s="137" t="s">
        <v>93</v>
      </c>
      <c r="C9" s="10">
        <v>0</v>
      </c>
      <c r="D9" s="10">
        <v>0</v>
      </c>
      <c r="E9" s="10">
        <v>0</v>
      </c>
      <c r="F9" s="29">
        <f t="shared" si="0"/>
        <v>0</v>
      </c>
      <c r="H9" s="196"/>
    </row>
    <row r="10" spans="1:11" x14ac:dyDescent="0.2">
      <c r="A10" s="4">
        <v>9</v>
      </c>
      <c r="B10" s="137" t="s">
        <v>93</v>
      </c>
      <c r="C10" s="10">
        <v>0</v>
      </c>
      <c r="D10" s="10">
        <v>0</v>
      </c>
      <c r="E10" s="10">
        <v>0</v>
      </c>
      <c r="F10" s="29">
        <f t="shared" si="0"/>
        <v>0</v>
      </c>
      <c r="H10" s="196"/>
    </row>
    <row r="11" spans="1:11" x14ac:dyDescent="0.2">
      <c r="A11" s="4">
        <v>10</v>
      </c>
      <c r="B11" s="137" t="s">
        <v>93</v>
      </c>
      <c r="C11" s="10">
        <v>0</v>
      </c>
      <c r="D11" s="10">
        <v>0</v>
      </c>
      <c r="E11" s="10">
        <v>0</v>
      </c>
      <c r="F11" s="29">
        <f t="shared" si="0"/>
        <v>0</v>
      </c>
      <c r="H11" s="196"/>
    </row>
    <row r="12" spans="1:11" x14ac:dyDescent="0.2">
      <c r="A12" s="4">
        <v>11</v>
      </c>
      <c r="B12" s="137" t="s">
        <v>93</v>
      </c>
      <c r="C12" s="10">
        <v>0</v>
      </c>
      <c r="D12" s="10">
        <v>0</v>
      </c>
      <c r="E12" s="10">
        <v>0</v>
      </c>
      <c r="F12" s="29">
        <f t="shared" si="0"/>
        <v>0</v>
      </c>
      <c r="H12" s="196"/>
    </row>
    <row r="13" spans="1:11" x14ac:dyDescent="0.2">
      <c r="A13" s="4">
        <v>12</v>
      </c>
      <c r="B13" s="137" t="s">
        <v>93</v>
      </c>
      <c r="C13" s="10">
        <v>0</v>
      </c>
      <c r="D13" s="10">
        <v>0</v>
      </c>
      <c r="E13" s="10">
        <v>0</v>
      </c>
      <c r="F13" s="29">
        <f t="shared" si="0"/>
        <v>0</v>
      </c>
      <c r="H13" s="196"/>
    </row>
    <row r="14" spans="1:11" x14ac:dyDescent="0.2">
      <c r="A14" s="4">
        <v>13</v>
      </c>
      <c r="B14" s="137" t="s">
        <v>93</v>
      </c>
      <c r="C14" s="10">
        <v>0</v>
      </c>
      <c r="D14" s="10">
        <v>0</v>
      </c>
      <c r="E14" s="10">
        <v>0</v>
      </c>
      <c r="F14" s="29">
        <f t="shared" si="0"/>
        <v>0</v>
      </c>
      <c r="H14" s="196"/>
    </row>
    <row r="15" spans="1:11" x14ac:dyDescent="0.2">
      <c r="A15" s="4">
        <v>14</v>
      </c>
      <c r="B15" s="137" t="s">
        <v>93</v>
      </c>
      <c r="C15" s="10">
        <v>0</v>
      </c>
      <c r="D15" s="10">
        <v>0</v>
      </c>
      <c r="E15" s="10">
        <v>0</v>
      </c>
      <c r="F15" s="29">
        <f t="shared" si="0"/>
        <v>0</v>
      </c>
      <c r="H15" s="64"/>
    </row>
    <row r="16" spans="1:11" x14ac:dyDescent="0.2">
      <c r="A16" s="4">
        <v>15</v>
      </c>
      <c r="B16" s="137" t="s">
        <v>93</v>
      </c>
      <c r="C16" s="10">
        <v>0</v>
      </c>
      <c r="D16" s="10">
        <v>0</v>
      </c>
      <c r="E16" s="10">
        <v>0</v>
      </c>
      <c r="F16" s="29">
        <f t="shared" si="0"/>
        <v>0</v>
      </c>
      <c r="H16" s="64"/>
    </row>
    <row r="17" spans="1:11" x14ac:dyDescent="0.2">
      <c r="A17" s="4">
        <v>16</v>
      </c>
      <c r="B17" s="137" t="s">
        <v>93</v>
      </c>
      <c r="C17" s="10">
        <v>0</v>
      </c>
      <c r="D17" s="10">
        <v>0</v>
      </c>
      <c r="E17" s="10">
        <v>0</v>
      </c>
      <c r="F17" s="29">
        <f t="shared" si="0"/>
        <v>0</v>
      </c>
      <c r="H17" s="64"/>
    </row>
    <row r="18" spans="1:11" x14ac:dyDescent="0.2">
      <c r="A18" s="4">
        <v>17</v>
      </c>
      <c r="B18" s="137" t="s">
        <v>93</v>
      </c>
      <c r="C18" s="10">
        <v>0</v>
      </c>
      <c r="D18" s="10">
        <v>0</v>
      </c>
      <c r="E18" s="10">
        <v>0</v>
      </c>
      <c r="F18" s="29">
        <f t="shared" si="0"/>
        <v>0</v>
      </c>
      <c r="H18" s="64"/>
    </row>
    <row r="19" spans="1:11" x14ac:dyDescent="0.2">
      <c r="A19" s="4">
        <v>18</v>
      </c>
      <c r="B19" s="137" t="s">
        <v>93</v>
      </c>
      <c r="C19" s="10">
        <v>0</v>
      </c>
      <c r="D19" s="10">
        <v>0</v>
      </c>
      <c r="E19" s="10">
        <v>0</v>
      </c>
      <c r="F19" s="29">
        <f t="shared" si="0"/>
        <v>0</v>
      </c>
    </row>
    <row r="20" spans="1:11" x14ac:dyDescent="0.2">
      <c r="A20" s="4">
        <v>19</v>
      </c>
      <c r="B20" s="137" t="s">
        <v>93</v>
      </c>
      <c r="C20" s="10">
        <v>0</v>
      </c>
      <c r="D20" s="10">
        <v>0</v>
      </c>
      <c r="E20" s="10">
        <v>0</v>
      </c>
      <c r="F20" s="29">
        <f t="shared" si="0"/>
        <v>0</v>
      </c>
    </row>
    <row r="21" spans="1:11" x14ac:dyDescent="0.2">
      <c r="A21" s="4">
        <v>20</v>
      </c>
      <c r="B21" s="137" t="s">
        <v>93</v>
      </c>
      <c r="C21" s="10">
        <v>0</v>
      </c>
      <c r="D21" s="10">
        <v>0</v>
      </c>
      <c r="E21" s="10">
        <v>0</v>
      </c>
      <c r="F21" s="29">
        <f t="shared" si="0"/>
        <v>0</v>
      </c>
    </row>
    <row r="22" spans="1:11" x14ac:dyDescent="0.2">
      <c r="A22" s="4">
        <v>21</v>
      </c>
      <c r="B22" s="137" t="s">
        <v>93</v>
      </c>
      <c r="C22" s="10">
        <v>0</v>
      </c>
      <c r="D22" s="10">
        <v>0</v>
      </c>
      <c r="E22" s="10">
        <v>0</v>
      </c>
      <c r="F22" s="29">
        <f t="shared" si="0"/>
        <v>0</v>
      </c>
    </row>
    <row r="23" spans="1:11" x14ac:dyDescent="0.2">
      <c r="A23" s="4">
        <v>22</v>
      </c>
      <c r="B23" s="137" t="s">
        <v>93</v>
      </c>
      <c r="C23" s="10">
        <v>0</v>
      </c>
      <c r="D23" s="10">
        <v>0</v>
      </c>
      <c r="E23" s="10">
        <v>0</v>
      </c>
      <c r="F23" s="29">
        <f t="shared" si="0"/>
        <v>0</v>
      </c>
    </row>
    <row r="24" spans="1:11" x14ac:dyDescent="0.2">
      <c r="A24" s="4">
        <v>23</v>
      </c>
      <c r="B24" s="137" t="s">
        <v>93</v>
      </c>
      <c r="C24" s="10">
        <v>0</v>
      </c>
      <c r="D24" s="10">
        <v>0</v>
      </c>
      <c r="E24" s="10">
        <v>0</v>
      </c>
      <c r="F24" s="29">
        <f t="shared" si="0"/>
        <v>0</v>
      </c>
    </row>
    <row r="25" spans="1:11" x14ac:dyDescent="0.2">
      <c r="A25" s="4">
        <v>24</v>
      </c>
      <c r="B25" s="137" t="s">
        <v>93</v>
      </c>
      <c r="C25" s="10">
        <v>0</v>
      </c>
      <c r="D25" s="10">
        <v>0</v>
      </c>
      <c r="E25" s="10">
        <v>0</v>
      </c>
      <c r="F25" s="29">
        <f t="shared" si="0"/>
        <v>0</v>
      </c>
    </row>
    <row r="26" spans="1:11" x14ac:dyDescent="0.2">
      <c r="B26" s="187" t="s">
        <v>0</v>
      </c>
      <c r="C26" s="57">
        <f>SUM(C2:C25)</f>
        <v>13433683</v>
      </c>
      <c r="D26" s="57">
        <f>SUM(D2:D25)</f>
        <v>0</v>
      </c>
      <c r="E26" s="57">
        <f>SUM(E2:E25)</f>
        <v>0</v>
      </c>
      <c r="F26" s="57">
        <f>SUM(F2:F25)</f>
        <v>13433683</v>
      </c>
    </row>
    <row r="27" spans="1:11" x14ac:dyDescent="0.2">
      <c r="B27" s="187"/>
      <c r="C27" s="57"/>
      <c r="D27" s="57"/>
      <c r="E27" s="57"/>
      <c r="F27" s="57"/>
    </row>
    <row r="28" spans="1:11" x14ac:dyDescent="0.2">
      <c r="A28" s="187" t="s">
        <v>90</v>
      </c>
      <c r="B28" s="137" t="s">
        <v>93</v>
      </c>
      <c r="C28" s="30">
        <v>0</v>
      </c>
      <c r="D28" s="30">
        <v>0</v>
      </c>
      <c r="E28" s="30">
        <v>0</v>
      </c>
      <c r="F28" s="57">
        <f>SUM(C28:E28)</f>
        <v>0</v>
      </c>
    </row>
    <row r="29" spans="1:11" x14ac:dyDescent="0.2">
      <c r="A29" s="187" t="s">
        <v>91</v>
      </c>
      <c r="B29" s="137" t="s">
        <v>93</v>
      </c>
      <c r="C29" s="30">
        <v>0</v>
      </c>
      <c r="D29" s="30">
        <v>0</v>
      </c>
      <c r="E29" s="30">
        <v>0</v>
      </c>
      <c r="F29" s="57">
        <f>SUM(C29:E29)</f>
        <v>0</v>
      </c>
    </row>
    <row r="30" spans="1:11" ht="13.5" thickBot="1" x14ac:dyDescent="0.25">
      <c r="A30" s="187"/>
      <c r="B30" s="271" t="s">
        <v>124</v>
      </c>
      <c r="C30" s="270">
        <f>+SUM(C26:C29)</f>
        <v>13433683</v>
      </c>
      <c r="D30" s="270">
        <f t="shared" ref="D30:F30" si="1">+SUM(D26:D29)</f>
        <v>0</v>
      </c>
      <c r="E30" s="270">
        <f t="shared" si="1"/>
        <v>0</v>
      </c>
      <c r="F30" s="270">
        <f t="shared" si="1"/>
        <v>13433683</v>
      </c>
    </row>
    <row r="31" spans="1:11" ht="13.5" thickTop="1" x14ac:dyDescent="0.2">
      <c r="B31" s="187"/>
      <c r="C31" s="57"/>
      <c r="D31" s="57"/>
      <c r="E31" s="57"/>
      <c r="F31" s="57"/>
    </row>
    <row r="32" spans="1:11" x14ac:dyDescent="0.2">
      <c r="C32" s="187" t="s">
        <v>43</v>
      </c>
      <c r="D32" s="187" t="s">
        <v>42</v>
      </c>
      <c r="G32"/>
      <c r="H32"/>
      <c r="I32"/>
      <c r="J32"/>
      <c r="K32"/>
    </row>
    <row r="33" spans="1:13" x14ac:dyDescent="0.2">
      <c r="B33" s="186" t="s">
        <v>26</v>
      </c>
      <c r="C33" s="188">
        <v>41214</v>
      </c>
      <c r="D33" s="188">
        <v>41199</v>
      </c>
      <c r="G33"/>
      <c r="H33"/>
      <c r="I33"/>
      <c r="J33"/>
      <c r="K33"/>
    </row>
    <row r="34" spans="1:13" x14ac:dyDescent="0.2">
      <c r="B34" s="186" t="s">
        <v>84</v>
      </c>
      <c r="C34" s="188">
        <v>41958</v>
      </c>
      <c r="D34" s="188">
        <v>41395</v>
      </c>
      <c r="G34"/>
      <c r="H34"/>
      <c r="I34"/>
      <c r="J34"/>
      <c r="K34"/>
    </row>
    <row r="35" spans="1:13" ht="13.5" thickBot="1" x14ac:dyDescent="0.25">
      <c r="B35" s="186"/>
      <c r="C35" s="17"/>
      <c r="D35" s="127"/>
    </row>
    <row r="36" spans="1:13" ht="13.5" thickBot="1" x14ac:dyDescent="0.25">
      <c r="A36" s="304" t="s">
        <v>25</v>
      </c>
      <c r="B36" s="305"/>
      <c r="C36" s="305"/>
      <c r="D36" s="305"/>
      <c r="E36" s="305"/>
      <c r="F36" s="305"/>
      <c r="G36" s="305"/>
      <c r="H36" s="305"/>
      <c r="I36" s="305"/>
      <c r="J36" s="305"/>
      <c r="K36" s="306"/>
    </row>
    <row r="37" spans="1:13" ht="51.75" thickBot="1" x14ac:dyDescent="0.25">
      <c r="A37" s="163" t="s">
        <v>9</v>
      </c>
      <c r="B37" s="164" t="s">
        <v>10</v>
      </c>
      <c r="C37" s="164" t="s">
        <v>11</v>
      </c>
      <c r="D37" s="164" t="s">
        <v>12</v>
      </c>
      <c r="E37" s="164" t="s">
        <v>13</v>
      </c>
      <c r="F37" s="164" t="s">
        <v>14</v>
      </c>
      <c r="G37" s="164" t="s">
        <v>32</v>
      </c>
      <c r="H37" s="164" t="s">
        <v>16</v>
      </c>
      <c r="I37" s="164" t="s">
        <v>85</v>
      </c>
      <c r="J37" s="164" t="s">
        <v>33</v>
      </c>
      <c r="K37" s="165" t="s">
        <v>15</v>
      </c>
    </row>
    <row r="38" spans="1:13" x14ac:dyDescent="0.2">
      <c r="A38" s="266"/>
      <c r="B38" s="267">
        <f>$D$33</f>
        <v>41199</v>
      </c>
      <c r="C38" s="267">
        <f>DATE(YEAR(B38),IF(MONTH(B38)&lt;=3,3,IF(MONTH(B38)&lt;=6,6,IF(MONTH(B38)&lt;=9,9,12))),IF(OR(MONTH(B38)&lt;=3,MONTH(B38)&gt;=10),31,30))</f>
        <v>41274</v>
      </c>
      <c r="D38" s="268">
        <f>C38-B38+1</f>
        <v>76</v>
      </c>
      <c r="E38" s="259">
        <f>VLOOKUP(C38,'FERC Interest Rate'!$A:$B,2,TRUE)</f>
        <v>3.2500000000000001E-2</v>
      </c>
      <c r="F38" s="254">
        <f>$C$26</f>
        <v>13433683</v>
      </c>
      <c r="G38" s="147">
        <v>0</v>
      </c>
      <c r="H38" s="273">
        <v>0</v>
      </c>
      <c r="I38" s="254">
        <f>F38*E38*(D38/(DATE(YEAR(C38),12,31)-DATE(YEAR(C38),1,1)+1))</f>
        <v>90659.008224043719</v>
      </c>
      <c r="J38" s="254">
        <v>0</v>
      </c>
      <c r="K38" s="255">
        <f>(F38+I38)-(H38-J38)</f>
        <v>13524342.008224044</v>
      </c>
    </row>
    <row r="39" spans="1:13" x14ac:dyDescent="0.2">
      <c r="A39" s="256"/>
      <c r="B39" s="257">
        <f>C38+1</f>
        <v>41275</v>
      </c>
      <c r="C39" s="257">
        <f>EOMONTH(C38,3)</f>
        <v>41364</v>
      </c>
      <c r="D39" s="258">
        <f t="shared" ref="D39:D59" si="2">C39-B39+1</f>
        <v>90</v>
      </c>
      <c r="E39" s="259">
        <f>VLOOKUP(C39,'FERC Interest Rate'!$A:$B,2,TRUE)</f>
        <v>3.2500000000000001E-2</v>
      </c>
      <c r="F39" s="260">
        <f>K38</f>
        <v>13524342.008224044</v>
      </c>
      <c r="G39" s="147">
        <v>0</v>
      </c>
      <c r="H39" s="272">
        <v>0</v>
      </c>
      <c r="I39" s="254">
        <f t="shared" ref="I39:I40" si="3">F39*E39*(D39/(DATE(YEAR(C39),12,31)-DATE(YEAR(C39),1,1)+1))</f>
        <v>108380.00102480911</v>
      </c>
      <c r="J39" s="260">
        <v>0</v>
      </c>
      <c r="K39" s="255">
        <f>(F39+I39)-(H39-J39)</f>
        <v>13632722.009248853</v>
      </c>
    </row>
    <row r="40" spans="1:13" x14ac:dyDescent="0.2">
      <c r="A40" s="156"/>
      <c r="B40" s="167">
        <f t="shared" ref="B40:B47" si="4">C39+1</f>
        <v>41365</v>
      </c>
      <c r="C40" s="167">
        <f t="shared" ref="C40:C47" si="5">EOMONTH(C39,3)</f>
        <v>41455</v>
      </c>
      <c r="D40" s="142">
        <f t="shared" ref="D40:D47" si="6">C40-B40+1</f>
        <v>91</v>
      </c>
      <c r="E40" s="160">
        <f>VLOOKUP(C40,'FERC Interest Rate'!$A:$B,2,TRUE)</f>
        <v>3.2500000000000001E-2</v>
      </c>
      <c r="F40" s="148">
        <f t="shared" ref="F40:F47" si="7">K39</f>
        <v>13632722.009248853</v>
      </c>
      <c r="G40" s="147">
        <v>0</v>
      </c>
      <c r="H40" s="147">
        <f>$C$26/20</f>
        <v>671684.15</v>
      </c>
      <c r="I40" s="254">
        <f t="shared" si="3"/>
        <v>110462.39819822872</v>
      </c>
      <c r="J40" s="148">
        <f>SUM($I$38:$I$60)/20</f>
        <v>15475.070372354079</v>
      </c>
      <c r="K40" s="130">
        <f t="shared" ref="K40:K47" si="8">F40+I40-H40-J40</f>
        <v>13056025.187074726</v>
      </c>
      <c r="M40" s="30"/>
    </row>
    <row r="41" spans="1:13" x14ac:dyDescent="0.2">
      <c r="A41" s="156"/>
      <c r="B41" s="167">
        <f t="shared" si="4"/>
        <v>41456</v>
      </c>
      <c r="C41" s="167">
        <f t="shared" si="5"/>
        <v>41547</v>
      </c>
      <c r="D41" s="142">
        <f t="shared" si="6"/>
        <v>92</v>
      </c>
      <c r="E41" s="160">
        <f>VLOOKUP(C41,'FERC Interest Rate'!$A:$B,2,TRUE)</f>
        <v>3.2500000000000001E-2</v>
      </c>
      <c r="F41" s="148">
        <f t="shared" si="7"/>
        <v>13056025.187074726</v>
      </c>
      <c r="G41" s="147">
        <f t="shared" ref="G41:G47" si="9">F41*E41*(D41/(DATE(YEAR(C41),12,31)-DATE(YEAR(C41),1,1)+1))</f>
        <v>106952.09673795462</v>
      </c>
      <c r="H41" s="147">
        <f t="shared" ref="H41:H47" si="10">$C$26/20</f>
        <v>671684.15</v>
      </c>
      <c r="I41" s="148">
        <v>0</v>
      </c>
      <c r="J41" s="148">
        <f t="shared" ref="J41:J59" si="11">SUM($I$38:$I$60)/20</f>
        <v>15475.070372354079</v>
      </c>
      <c r="K41" s="130">
        <f t="shared" si="8"/>
        <v>12368865.966702372</v>
      </c>
    </row>
    <row r="42" spans="1:13" x14ac:dyDescent="0.2">
      <c r="A42" s="156"/>
      <c r="B42" s="167">
        <f t="shared" si="4"/>
        <v>41548</v>
      </c>
      <c r="C42" s="167">
        <f t="shared" si="5"/>
        <v>41639</v>
      </c>
      <c r="D42" s="142">
        <f t="shared" si="6"/>
        <v>92</v>
      </c>
      <c r="E42" s="160">
        <f>VLOOKUP(C42,'FERC Interest Rate'!$A:$B,2,TRUE)</f>
        <v>3.2500000000000001E-2</v>
      </c>
      <c r="F42" s="148">
        <f t="shared" si="7"/>
        <v>12368865.966702372</v>
      </c>
      <c r="G42" s="147">
        <f t="shared" si="9"/>
        <v>101323.03901490438</v>
      </c>
      <c r="H42" s="147">
        <f t="shared" si="10"/>
        <v>671684.15</v>
      </c>
      <c r="I42" s="148">
        <v>0</v>
      </c>
      <c r="J42" s="148">
        <f t="shared" si="11"/>
        <v>15475.070372354079</v>
      </c>
      <c r="K42" s="130">
        <f t="shared" si="8"/>
        <v>11681706.746330017</v>
      </c>
    </row>
    <row r="43" spans="1:13" x14ac:dyDescent="0.2">
      <c r="A43" s="156"/>
      <c r="B43" s="167">
        <f t="shared" si="4"/>
        <v>41640</v>
      </c>
      <c r="C43" s="167">
        <f t="shared" si="5"/>
        <v>41729</v>
      </c>
      <c r="D43" s="142">
        <f t="shared" si="6"/>
        <v>90</v>
      </c>
      <c r="E43" s="160">
        <f>VLOOKUP(C43,'FERC Interest Rate'!$A:$B,2,TRUE)</f>
        <v>3.2500000000000001E-2</v>
      </c>
      <c r="F43" s="148">
        <f t="shared" si="7"/>
        <v>11681706.746330017</v>
      </c>
      <c r="G43" s="147">
        <f t="shared" si="9"/>
        <v>93613.677350726852</v>
      </c>
      <c r="H43" s="147">
        <f t="shared" si="10"/>
        <v>671684.15</v>
      </c>
      <c r="I43" s="148">
        <v>0</v>
      </c>
      <c r="J43" s="148">
        <f t="shared" si="11"/>
        <v>15475.070372354079</v>
      </c>
      <c r="K43" s="130">
        <f t="shared" si="8"/>
        <v>10994547.525957663</v>
      </c>
    </row>
    <row r="44" spans="1:13" x14ac:dyDescent="0.2">
      <c r="A44" s="156"/>
      <c r="B44" s="167">
        <f t="shared" si="4"/>
        <v>41730</v>
      </c>
      <c r="C44" s="167">
        <f t="shared" si="5"/>
        <v>41820</v>
      </c>
      <c r="D44" s="142">
        <f t="shared" si="6"/>
        <v>91</v>
      </c>
      <c r="E44" s="160">
        <f>VLOOKUP(C44,'FERC Interest Rate'!$A:$B,2,TRUE)</f>
        <v>3.2500000000000001E-2</v>
      </c>
      <c r="F44" s="148">
        <f t="shared" si="7"/>
        <v>10994547.525957663</v>
      </c>
      <c r="G44" s="147">
        <f t="shared" si="9"/>
        <v>89085.957008273399</v>
      </c>
      <c r="H44" s="147">
        <f t="shared" si="10"/>
        <v>671684.15</v>
      </c>
      <c r="I44" s="148">
        <v>0</v>
      </c>
      <c r="J44" s="148">
        <f t="shared" si="11"/>
        <v>15475.070372354079</v>
      </c>
      <c r="K44" s="130">
        <f t="shared" si="8"/>
        <v>10307388.305585308</v>
      </c>
    </row>
    <row r="45" spans="1:13" x14ac:dyDescent="0.2">
      <c r="A45" s="156"/>
      <c r="B45" s="167">
        <f t="shared" si="4"/>
        <v>41821</v>
      </c>
      <c r="C45" s="167">
        <f t="shared" si="5"/>
        <v>41912</v>
      </c>
      <c r="D45" s="142">
        <f t="shared" si="6"/>
        <v>92</v>
      </c>
      <c r="E45" s="160">
        <f>VLOOKUP(C45,'FERC Interest Rate'!$A:$B,2,TRUE)</f>
        <v>3.2500000000000001E-2</v>
      </c>
      <c r="F45" s="148">
        <f t="shared" si="7"/>
        <v>10307388.305585308</v>
      </c>
      <c r="G45" s="147">
        <f t="shared" si="9"/>
        <v>84435.865845753622</v>
      </c>
      <c r="H45" s="147">
        <f t="shared" si="10"/>
        <v>671684.15</v>
      </c>
      <c r="I45" s="148">
        <v>0</v>
      </c>
      <c r="J45" s="148">
        <f t="shared" si="11"/>
        <v>15475.070372354079</v>
      </c>
      <c r="K45" s="130">
        <f t="shared" si="8"/>
        <v>9620229.0852129534</v>
      </c>
    </row>
    <row r="46" spans="1:13" x14ac:dyDescent="0.2">
      <c r="A46" s="156"/>
      <c r="B46" s="167">
        <f t="shared" si="4"/>
        <v>41913</v>
      </c>
      <c r="C46" s="167">
        <f t="shared" si="5"/>
        <v>42004</v>
      </c>
      <c r="D46" s="142">
        <f t="shared" si="6"/>
        <v>92</v>
      </c>
      <c r="E46" s="160">
        <f>VLOOKUP(C46,'FERC Interest Rate'!$A:$B,2,TRUE)</f>
        <v>3.2500000000000001E-2</v>
      </c>
      <c r="F46" s="148">
        <f t="shared" si="7"/>
        <v>9620229.0852129534</v>
      </c>
      <c r="G46" s="147">
        <f t="shared" si="9"/>
        <v>78806.808122703369</v>
      </c>
      <c r="H46" s="147">
        <f t="shared" si="10"/>
        <v>671684.15</v>
      </c>
      <c r="I46" s="148">
        <v>0</v>
      </c>
      <c r="J46" s="148">
        <f t="shared" si="11"/>
        <v>15475.070372354079</v>
      </c>
      <c r="K46" s="130">
        <f t="shared" si="8"/>
        <v>8933069.8648405988</v>
      </c>
    </row>
    <row r="47" spans="1:13" x14ac:dyDescent="0.2">
      <c r="A47" s="156"/>
      <c r="B47" s="167">
        <f t="shared" si="4"/>
        <v>42005</v>
      </c>
      <c r="C47" s="167">
        <f t="shared" si="5"/>
        <v>42094</v>
      </c>
      <c r="D47" s="142">
        <f t="shared" si="6"/>
        <v>90</v>
      </c>
      <c r="E47" s="160">
        <f>VLOOKUP(C47,'FERC Interest Rate'!$A:$B,2,TRUE)</f>
        <v>3.2500000000000001E-2</v>
      </c>
      <c r="F47" s="148">
        <f t="shared" si="7"/>
        <v>8933069.8648405988</v>
      </c>
      <c r="G47" s="147">
        <f t="shared" si="9"/>
        <v>71586.929738791107</v>
      </c>
      <c r="H47" s="147">
        <f t="shared" si="10"/>
        <v>671684.15</v>
      </c>
      <c r="I47" s="148">
        <v>0</v>
      </c>
      <c r="J47" s="148">
        <f t="shared" si="11"/>
        <v>15475.070372354079</v>
      </c>
      <c r="K47" s="130">
        <f t="shared" si="8"/>
        <v>8245910.6444682442</v>
      </c>
    </row>
    <row r="48" spans="1:13" x14ac:dyDescent="0.2">
      <c r="A48" s="156"/>
      <c r="B48" s="167">
        <f t="shared" ref="B48:B59" si="12">C47+1</f>
        <v>42095</v>
      </c>
      <c r="C48" s="167">
        <f t="shared" ref="C48:C59" si="13">EOMONTH(C47,3)</f>
        <v>42185</v>
      </c>
      <c r="D48" s="142">
        <f t="shared" si="2"/>
        <v>91</v>
      </c>
      <c r="E48" s="160">
        <f>VLOOKUP(C48,'FERC Interest Rate'!$A:$B,2,TRUE)</f>
        <v>3.2500000000000001E-2</v>
      </c>
      <c r="F48" s="148">
        <f t="shared" ref="F48:F59" si="14">K47</f>
        <v>8245910.6444682442</v>
      </c>
      <c r="G48" s="147">
        <f t="shared" ref="G48:G59" si="15">F48*E48*(D48/(DATE(YEAR(C48),12,31)-DATE(YEAR(C48),1,1)+1))</f>
        <v>66814.46775620502</v>
      </c>
      <c r="H48" s="147">
        <f t="shared" ref="H48:H59" si="16">$C$26/20</f>
        <v>671684.15</v>
      </c>
      <c r="I48" s="148">
        <v>0</v>
      </c>
      <c r="J48" s="148">
        <f t="shared" si="11"/>
        <v>15475.070372354079</v>
      </c>
      <c r="K48" s="130">
        <f t="shared" ref="K48:K59" si="17">F48+I48-H48-J48</f>
        <v>7558751.4240958896</v>
      </c>
    </row>
    <row r="49" spans="1:11" x14ac:dyDescent="0.2">
      <c r="A49" s="156"/>
      <c r="B49" s="167">
        <f t="shared" si="12"/>
        <v>42186</v>
      </c>
      <c r="C49" s="167">
        <f t="shared" si="13"/>
        <v>42277</v>
      </c>
      <c r="D49" s="142">
        <f t="shared" si="2"/>
        <v>92</v>
      </c>
      <c r="E49" s="160">
        <f>VLOOKUP(C49,'FERC Interest Rate'!$A:$B,2,TRUE)</f>
        <v>3.2500000000000001E-2</v>
      </c>
      <c r="F49" s="148">
        <f t="shared" si="14"/>
        <v>7558751.4240958896</v>
      </c>
      <c r="G49" s="147">
        <f t="shared" si="15"/>
        <v>61919.634953552639</v>
      </c>
      <c r="H49" s="147">
        <f t="shared" si="16"/>
        <v>671684.15</v>
      </c>
      <c r="I49" s="148">
        <v>0</v>
      </c>
      <c r="J49" s="148">
        <f t="shared" si="11"/>
        <v>15475.070372354079</v>
      </c>
      <c r="K49" s="130">
        <f t="shared" si="17"/>
        <v>6871592.2037235349</v>
      </c>
    </row>
    <row r="50" spans="1:11" x14ac:dyDescent="0.2">
      <c r="A50" s="156"/>
      <c r="B50" s="167">
        <f t="shared" si="12"/>
        <v>42278</v>
      </c>
      <c r="C50" s="167">
        <f t="shared" si="13"/>
        <v>42369</v>
      </c>
      <c r="D50" s="142">
        <f t="shared" si="2"/>
        <v>92</v>
      </c>
      <c r="E50" s="160">
        <f>VLOOKUP(C50,'FERC Interest Rate'!$A:$B,2,TRUE)</f>
        <v>3.2500000000000001E-2</v>
      </c>
      <c r="F50" s="148">
        <f t="shared" si="14"/>
        <v>6871592.2037235349</v>
      </c>
      <c r="G50" s="147">
        <f t="shared" si="15"/>
        <v>56290.577230502393</v>
      </c>
      <c r="H50" s="147">
        <f t="shared" si="16"/>
        <v>671684.15</v>
      </c>
      <c r="I50" s="148">
        <v>0</v>
      </c>
      <c r="J50" s="148">
        <f t="shared" si="11"/>
        <v>15475.070372354079</v>
      </c>
      <c r="K50" s="130">
        <f t="shared" si="17"/>
        <v>6184432.9833511803</v>
      </c>
    </row>
    <row r="51" spans="1:11" x14ac:dyDescent="0.2">
      <c r="A51" s="156"/>
      <c r="B51" s="167">
        <f t="shared" si="12"/>
        <v>42370</v>
      </c>
      <c r="C51" s="167">
        <f t="shared" si="13"/>
        <v>42460</v>
      </c>
      <c r="D51" s="142">
        <f t="shared" si="2"/>
        <v>91</v>
      </c>
      <c r="E51" s="160">
        <f>VLOOKUP(C51,'FERC Interest Rate'!$A:$B,2,TRUE)</f>
        <v>3.2500000000000001E-2</v>
      </c>
      <c r="F51" s="148">
        <f t="shared" si="14"/>
        <v>6184432.9833511803</v>
      </c>
      <c r="G51" s="147">
        <f t="shared" si="15"/>
        <v>49973.935924210702</v>
      </c>
      <c r="H51" s="147">
        <f t="shared" si="16"/>
        <v>671684.15</v>
      </c>
      <c r="I51" s="148">
        <v>0</v>
      </c>
      <c r="J51" s="148">
        <f t="shared" si="11"/>
        <v>15475.070372354079</v>
      </c>
      <c r="K51" s="130">
        <f t="shared" si="17"/>
        <v>5497273.7629788257</v>
      </c>
    </row>
    <row r="52" spans="1:11" x14ac:dyDescent="0.2">
      <c r="A52" s="156"/>
      <c r="B52" s="167">
        <f t="shared" si="12"/>
        <v>42461</v>
      </c>
      <c r="C52" s="167">
        <f t="shared" si="13"/>
        <v>42551</v>
      </c>
      <c r="D52" s="142">
        <f t="shared" si="2"/>
        <v>91</v>
      </c>
      <c r="E52" s="160">
        <f>VLOOKUP(C52,'FERC Interest Rate'!$A:$B,2,TRUE)</f>
        <v>3.2500000000000001E-2</v>
      </c>
      <c r="F52" s="148">
        <f t="shared" si="14"/>
        <v>5497273.7629788257</v>
      </c>
      <c r="G52" s="147">
        <f t="shared" si="15"/>
        <v>44421.276377076167</v>
      </c>
      <c r="H52" s="147">
        <f t="shared" si="16"/>
        <v>671684.15</v>
      </c>
      <c r="I52" s="148">
        <v>0</v>
      </c>
      <c r="J52" s="148">
        <f t="shared" si="11"/>
        <v>15475.070372354079</v>
      </c>
      <c r="K52" s="130">
        <f t="shared" si="17"/>
        <v>4810114.5426064711</v>
      </c>
    </row>
    <row r="53" spans="1:11" x14ac:dyDescent="0.2">
      <c r="A53" s="156"/>
      <c r="B53" s="167">
        <f t="shared" si="12"/>
        <v>42552</v>
      </c>
      <c r="C53" s="167">
        <f t="shared" si="13"/>
        <v>42643</v>
      </c>
      <c r="D53" s="142">
        <f t="shared" si="2"/>
        <v>92</v>
      </c>
      <c r="E53" s="160">
        <f>VLOOKUP(C53,'FERC Interest Rate'!$A:$B,2,TRUE)</f>
        <v>4.0333330000000001E-2</v>
      </c>
      <c r="F53" s="148">
        <f t="shared" si="14"/>
        <v>4810114.5426064711</v>
      </c>
      <c r="G53" s="147">
        <f t="shared" si="15"/>
        <v>48767.022461739398</v>
      </c>
      <c r="H53" s="147">
        <f t="shared" si="16"/>
        <v>671684.15</v>
      </c>
      <c r="I53" s="148">
        <v>0</v>
      </c>
      <c r="J53" s="148">
        <f t="shared" si="11"/>
        <v>15475.070372354079</v>
      </c>
      <c r="K53" s="130">
        <f t="shared" si="17"/>
        <v>4122955.322234117</v>
      </c>
    </row>
    <row r="54" spans="1:11" x14ac:dyDescent="0.2">
      <c r="A54" s="156"/>
      <c r="B54" s="167">
        <f t="shared" si="12"/>
        <v>42644</v>
      </c>
      <c r="C54" s="167">
        <f t="shared" si="13"/>
        <v>42735</v>
      </c>
      <c r="D54" s="142">
        <f t="shared" si="2"/>
        <v>92</v>
      </c>
      <c r="E54" s="160">
        <f>VLOOKUP(C54,'FERC Interest Rate'!$A:$B,2,TRUE)</f>
        <v>4.2833329999999996E-2</v>
      </c>
      <c r="F54" s="148">
        <f t="shared" si="14"/>
        <v>4122955.322234117</v>
      </c>
      <c r="G54" s="147">
        <f t="shared" si="15"/>
        <v>44391.233175166512</v>
      </c>
      <c r="H54" s="147">
        <f t="shared" si="16"/>
        <v>671684.15</v>
      </c>
      <c r="I54" s="148">
        <v>0</v>
      </c>
      <c r="J54" s="148">
        <f t="shared" si="11"/>
        <v>15475.070372354079</v>
      </c>
      <c r="K54" s="130">
        <f t="shared" si="17"/>
        <v>3435796.1018617628</v>
      </c>
    </row>
    <row r="55" spans="1:11" x14ac:dyDescent="0.2">
      <c r="A55" s="156"/>
      <c r="B55" s="167">
        <f t="shared" si="12"/>
        <v>42736</v>
      </c>
      <c r="C55" s="167">
        <f t="shared" si="13"/>
        <v>42825</v>
      </c>
      <c r="D55" s="142">
        <f t="shared" si="2"/>
        <v>90</v>
      </c>
      <c r="E55" s="160">
        <f>VLOOKUP(C55,'FERC Interest Rate'!$A:$B,2,TRUE)</f>
        <v>4.7066670000000005E-2</v>
      </c>
      <c r="F55" s="148">
        <f t="shared" si="14"/>
        <v>3435796.1018617628</v>
      </c>
      <c r="G55" s="147">
        <f t="shared" si="15"/>
        <v>39874.063885548654</v>
      </c>
      <c r="H55" s="147">
        <f t="shared" si="16"/>
        <v>671684.15</v>
      </c>
      <c r="I55" s="148">
        <v>0</v>
      </c>
      <c r="J55" s="148">
        <f t="shared" si="11"/>
        <v>15475.070372354079</v>
      </c>
      <c r="K55" s="130">
        <f t="shared" si="17"/>
        <v>2748636.8814894087</v>
      </c>
    </row>
    <row r="56" spans="1:11" x14ac:dyDescent="0.2">
      <c r="A56" s="156"/>
      <c r="B56" s="167">
        <f t="shared" si="12"/>
        <v>42826</v>
      </c>
      <c r="C56" s="167">
        <f t="shared" si="13"/>
        <v>42916</v>
      </c>
      <c r="D56" s="142">
        <f t="shared" si="2"/>
        <v>91</v>
      </c>
      <c r="E56" s="160">
        <f>VLOOKUP(C56,'FERC Interest Rate'!$A:$B,2,TRUE)</f>
        <v>5.21E-2</v>
      </c>
      <c r="F56" s="148">
        <f t="shared" si="14"/>
        <v>2748636.8814894087</v>
      </c>
      <c r="G56" s="147">
        <f t="shared" si="15"/>
        <v>35702.910462546395</v>
      </c>
      <c r="H56" s="147">
        <f t="shared" si="16"/>
        <v>671684.15</v>
      </c>
      <c r="I56" s="148">
        <v>0</v>
      </c>
      <c r="J56" s="148">
        <f t="shared" si="11"/>
        <v>15475.070372354079</v>
      </c>
      <c r="K56" s="130">
        <f t="shared" si="17"/>
        <v>2061477.6611170548</v>
      </c>
    </row>
    <row r="57" spans="1:11" x14ac:dyDescent="0.2">
      <c r="A57" s="156"/>
      <c r="B57" s="167">
        <f t="shared" si="12"/>
        <v>42917</v>
      </c>
      <c r="C57" s="167">
        <f t="shared" si="13"/>
        <v>43008</v>
      </c>
      <c r="D57" s="142">
        <f t="shared" si="2"/>
        <v>92</v>
      </c>
      <c r="E57" s="160">
        <f>VLOOKUP(C57,'FERC Interest Rate'!$A:$B,2,TRUE)</f>
        <v>5.7066670000000007E-2</v>
      </c>
      <c r="F57" s="148">
        <f t="shared" si="14"/>
        <v>2061477.6611170548</v>
      </c>
      <c r="G57" s="147">
        <f t="shared" si="15"/>
        <v>29652.145799285398</v>
      </c>
      <c r="H57" s="147">
        <f t="shared" si="16"/>
        <v>671684.15</v>
      </c>
      <c r="I57" s="148">
        <v>0</v>
      </c>
      <c r="J57" s="148">
        <f t="shared" si="11"/>
        <v>15475.070372354079</v>
      </c>
      <c r="K57" s="130">
        <f t="shared" si="17"/>
        <v>1374318.4407447006</v>
      </c>
    </row>
    <row r="58" spans="1:11" x14ac:dyDescent="0.2">
      <c r="A58" s="169"/>
      <c r="B58" s="167">
        <f t="shared" si="12"/>
        <v>43009</v>
      </c>
      <c r="C58" s="167">
        <f t="shared" si="13"/>
        <v>43100</v>
      </c>
      <c r="D58" s="142">
        <f t="shared" si="2"/>
        <v>92</v>
      </c>
      <c r="E58" s="160">
        <f>VLOOKUP(C58,'FERC Interest Rate'!$A:$B,2,TRUE)</f>
        <v>6.2033329999999998E-2</v>
      </c>
      <c r="F58" s="148">
        <f t="shared" si="14"/>
        <v>1374318.4407447006</v>
      </c>
      <c r="G58" s="147">
        <f t="shared" si="15"/>
        <v>21488.56586603215</v>
      </c>
      <c r="H58" s="147">
        <f t="shared" si="16"/>
        <v>671684.15</v>
      </c>
      <c r="I58" s="148">
        <v>0</v>
      </c>
      <c r="J58" s="148">
        <f t="shared" si="11"/>
        <v>15475.070372354079</v>
      </c>
      <c r="K58" s="130">
        <f t="shared" si="17"/>
        <v>687159.22037234646</v>
      </c>
    </row>
    <row r="59" spans="1:11" x14ac:dyDescent="0.2">
      <c r="A59" s="169"/>
      <c r="B59" s="167">
        <f t="shared" si="12"/>
        <v>43101</v>
      </c>
      <c r="C59" s="167">
        <f t="shared" si="13"/>
        <v>43190</v>
      </c>
      <c r="D59" s="142">
        <f t="shared" si="2"/>
        <v>90</v>
      </c>
      <c r="E59" s="160">
        <f>VLOOKUP(C59,'FERC Interest Rate'!$A:$B,2,TRUE)</f>
        <v>6.6699999999999995E-2</v>
      </c>
      <c r="F59" s="148">
        <f t="shared" si="14"/>
        <v>687159.22037234646</v>
      </c>
      <c r="G59" s="147">
        <f t="shared" si="15"/>
        <v>11301.415890123824</v>
      </c>
      <c r="H59" s="147">
        <f t="shared" si="16"/>
        <v>671684.15</v>
      </c>
      <c r="I59" s="148">
        <v>0</v>
      </c>
      <c r="J59" s="148">
        <f t="shared" si="11"/>
        <v>15475.070372354079</v>
      </c>
      <c r="K59" s="130">
        <f t="shared" si="17"/>
        <v>-7.6397554948925972E-9</v>
      </c>
    </row>
    <row r="60" spans="1:11" ht="13.5" thickBot="1" x14ac:dyDescent="0.25">
      <c r="A60" s="129"/>
      <c r="B60" s="144"/>
      <c r="C60" s="144"/>
      <c r="D60" s="121"/>
      <c r="E60" s="122"/>
      <c r="F60" s="145"/>
      <c r="G60" s="145"/>
      <c r="H60" s="146"/>
      <c r="I60" s="123"/>
      <c r="J60" s="123"/>
      <c r="K60" s="128"/>
    </row>
    <row r="61" spans="1:11" x14ac:dyDescent="0.2">
      <c r="A61" s="5"/>
      <c r="B61" s="41"/>
      <c r="C61" s="41"/>
      <c r="D61" s="42"/>
      <c r="E61" s="43"/>
      <c r="F61" s="126"/>
      <c r="G61" s="126"/>
      <c r="H61" s="58"/>
      <c r="I61" s="58"/>
      <c r="J61" s="44"/>
    </row>
    <row r="62" spans="1:11" ht="13.5" thickBot="1" x14ac:dyDescent="0.25"/>
    <row r="63" spans="1:11" ht="13.5" thickBot="1" x14ac:dyDescent="0.25">
      <c r="A63" s="304" t="s">
        <v>71</v>
      </c>
      <c r="B63" s="305"/>
      <c r="C63" s="305"/>
      <c r="D63" s="305"/>
      <c r="E63" s="305"/>
      <c r="F63" s="305"/>
      <c r="G63" s="305"/>
      <c r="H63" s="305"/>
      <c r="I63" s="305"/>
      <c r="J63" s="305"/>
      <c r="K63" s="306"/>
    </row>
    <row r="64" spans="1:11" ht="51.75" thickBot="1" x14ac:dyDescent="0.25">
      <c r="A64" s="163" t="s">
        <v>9</v>
      </c>
      <c r="B64" s="164" t="s">
        <v>10</v>
      </c>
      <c r="C64" s="164" t="s">
        <v>11</v>
      </c>
      <c r="D64" s="164" t="s">
        <v>12</v>
      </c>
      <c r="E64" s="164" t="s">
        <v>13</v>
      </c>
      <c r="F64" s="164" t="s">
        <v>14</v>
      </c>
      <c r="G64" s="164" t="s">
        <v>32</v>
      </c>
      <c r="H64" s="164" t="s">
        <v>16</v>
      </c>
      <c r="I64" s="164" t="s">
        <v>85</v>
      </c>
      <c r="J64" s="164" t="s">
        <v>33</v>
      </c>
      <c r="K64" s="165" t="s">
        <v>15</v>
      </c>
    </row>
    <row r="65" spans="1:11" x14ac:dyDescent="0.2">
      <c r="A65" s="157"/>
      <c r="B65" s="166">
        <f>$B$2</f>
        <v>40689</v>
      </c>
      <c r="C65" s="166">
        <f>DATE(YEAR(B65),IF(MONTH(B65)&lt;=3,3,IF(MONTH(B65)&lt;=6,6,IF(MONTH(B65)&lt;=9,9,12))),IF(OR(MONTH(B65)&lt;=3,MONTH(B65)&gt;=10),31,30))</f>
        <v>40724</v>
      </c>
      <c r="D65" s="159">
        <f>C65-B65+1</f>
        <v>36</v>
      </c>
      <c r="E65" s="160">
        <f>VLOOKUP(C65,'FERC Interest Rate'!$A:$B,2,TRUE)</f>
        <v>3.2500000000000001E-2</v>
      </c>
      <c r="F65" s="161">
        <f>$E$2</f>
        <v>0</v>
      </c>
      <c r="G65" s="147">
        <v>0</v>
      </c>
      <c r="H65" s="162">
        <v>0</v>
      </c>
      <c r="I65" s="161">
        <f>F65*E65*(D65/(DATE(YEAR(C65),12,31)-DATE(YEAR(C65),1,1)+1))</f>
        <v>0</v>
      </c>
      <c r="J65" s="161">
        <v>0</v>
      </c>
      <c r="K65" s="130">
        <f>F65+I65-H65-J65</f>
        <v>0</v>
      </c>
    </row>
    <row r="66" spans="1:11" x14ac:dyDescent="0.2">
      <c r="A66" s="156"/>
      <c r="B66" s="167">
        <f>C65+1</f>
        <v>40725</v>
      </c>
      <c r="C66" s="167">
        <f>EOMONTH(C65,3)</f>
        <v>40816</v>
      </c>
      <c r="D66" s="142">
        <f t="shared" ref="D66:D92" si="18">C66-B66+1</f>
        <v>92</v>
      </c>
      <c r="E66" s="160">
        <f>VLOOKUP(C66,'FERC Interest Rate'!$A:$B,2,TRUE)</f>
        <v>3.2500000000000001E-2</v>
      </c>
      <c r="F66" s="148">
        <f>K65</f>
        <v>0</v>
      </c>
      <c r="G66" s="147">
        <v>0</v>
      </c>
      <c r="H66" s="147">
        <v>0</v>
      </c>
      <c r="I66" s="161">
        <f t="shared" ref="I66:I72" si="19">F66*E66*(D66/(DATE(YEAR(C66),12,31)-DATE(YEAR(C66),1,1)+1))</f>
        <v>0</v>
      </c>
      <c r="J66" s="148">
        <v>0</v>
      </c>
      <c r="K66" s="130">
        <f t="shared" ref="K66:K92" si="20">F66+I66-H66-J66</f>
        <v>0</v>
      </c>
    </row>
    <row r="67" spans="1:11" x14ac:dyDescent="0.2">
      <c r="A67" s="156"/>
      <c r="B67" s="167">
        <f t="shared" ref="B67:B92" si="21">C66+1</f>
        <v>40817</v>
      </c>
      <c r="C67" s="167">
        <f t="shared" ref="C67:C92" si="22">EOMONTH(C66,3)</f>
        <v>40908</v>
      </c>
      <c r="D67" s="142">
        <f t="shared" si="18"/>
        <v>92</v>
      </c>
      <c r="E67" s="160">
        <f>VLOOKUP(C67,'FERC Interest Rate'!$A:$B,2,TRUE)</f>
        <v>3.2500000000000001E-2</v>
      </c>
      <c r="F67" s="148">
        <f t="shared" ref="F67:F92" si="23">K66</f>
        <v>0</v>
      </c>
      <c r="G67" s="147">
        <v>0</v>
      </c>
      <c r="H67" s="147">
        <v>0</v>
      </c>
      <c r="I67" s="161">
        <f t="shared" si="19"/>
        <v>0</v>
      </c>
      <c r="J67" s="148">
        <v>0</v>
      </c>
      <c r="K67" s="130">
        <f t="shared" si="20"/>
        <v>0</v>
      </c>
    </row>
    <row r="68" spans="1:11" x14ac:dyDescent="0.2">
      <c r="A68" s="156"/>
      <c r="B68" s="167">
        <f t="shared" si="21"/>
        <v>40909</v>
      </c>
      <c r="C68" s="167">
        <f t="shared" si="22"/>
        <v>40999</v>
      </c>
      <c r="D68" s="142">
        <f t="shared" si="18"/>
        <v>91</v>
      </c>
      <c r="E68" s="160">
        <f>VLOOKUP(C68,'FERC Interest Rate'!$A:$B,2,TRUE)</f>
        <v>3.2500000000000001E-2</v>
      </c>
      <c r="F68" s="148">
        <f t="shared" si="23"/>
        <v>0</v>
      </c>
      <c r="G68" s="147">
        <v>0</v>
      </c>
      <c r="H68" s="147">
        <v>0</v>
      </c>
      <c r="I68" s="161">
        <f t="shared" si="19"/>
        <v>0</v>
      </c>
      <c r="J68" s="148">
        <v>0</v>
      </c>
      <c r="K68" s="130">
        <f t="shared" si="20"/>
        <v>0</v>
      </c>
    </row>
    <row r="69" spans="1:11" x14ac:dyDescent="0.2">
      <c r="A69" s="156"/>
      <c r="B69" s="167">
        <f t="shared" si="21"/>
        <v>41000</v>
      </c>
      <c r="C69" s="167">
        <f t="shared" si="22"/>
        <v>41090</v>
      </c>
      <c r="D69" s="142">
        <f t="shared" si="18"/>
        <v>91</v>
      </c>
      <c r="E69" s="160">
        <f>VLOOKUP(C69,'FERC Interest Rate'!$A:$B,2,TRUE)</f>
        <v>3.2500000000000001E-2</v>
      </c>
      <c r="F69" s="148">
        <f t="shared" si="23"/>
        <v>0</v>
      </c>
      <c r="G69" s="147">
        <v>0</v>
      </c>
      <c r="H69" s="147">
        <v>0</v>
      </c>
      <c r="I69" s="161">
        <f t="shared" si="19"/>
        <v>0</v>
      </c>
      <c r="J69" s="148">
        <v>0</v>
      </c>
      <c r="K69" s="130">
        <f t="shared" si="20"/>
        <v>0</v>
      </c>
    </row>
    <row r="70" spans="1:11" x14ac:dyDescent="0.2">
      <c r="A70" s="156"/>
      <c r="B70" s="167">
        <f t="shared" si="21"/>
        <v>41091</v>
      </c>
      <c r="C70" s="167">
        <f t="shared" si="22"/>
        <v>41182</v>
      </c>
      <c r="D70" s="142">
        <f t="shared" si="18"/>
        <v>92</v>
      </c>
      <c r="E70" s="160">
        <f>VLOOKUP(C70,'FERC Interest Rate'!$A:$B,2,TRUE)</f>
        <v>3.2500000000000001E-2</v>
      </c>
      <c r="F70" s="148">
        <f t="shared" si="23"/>
        <v>0</v>
      </c>
      <c r="G70" s="147">
        <v>0</v>
      </c>
      <c r="H70" s="147">
        <v>0</v>
      </c>
      <c r="I70" s="161">
        <f t="shared" si="19"/>
        <v>0</v>
      </c>
      <c r="J70" s="148">
        <v>0</v>
      </c>
      <c r="K70" s="130">
        <f t="shared" si="20"/>
        <v>0</v>
      </c>
    </row>
    <row r="71" spans="1:11" x14ac:dyDescent="0.2">
      <c r="A71" s="156"/>
      <c r="B71" s="167">
        <f t="shared" si="21"/>
        <v>41183</v>
      </c>
      <c r="C71" s="167">
        <f t="shared" si="22"/>
        <v>41274</v>
      </c>
      <c r="D71" s="142">
        <f t="shared" si="18"/>
        <v>92</v>
      </c>
      <c r="E71" s="160">
        <f>VLOOKUP(C71,'FERC Interest Rate'!$A:$B,2,TRUE)</f>
        <v>3.2500000000000001E-2</v>
      </c>
      <c r="F71" s="148">
        <f t="shared" si="23"/>
        <v>0</v>
      </c>
      <c r="G71" s="147">
        <v>0</v>
      </c>
      <c r="H71" s="147">
        <v>0</v>
      </c>
      <c r="I71" s="161">
        <f t="shared" si="19"/>
        <v>0</v>
      </c>
      <c r="J71" s="148">
        <v>0</v>
      </c>
      <c r="K71" s="130">
        <f t="shared" si="20"/>
        <v>0</v>
      </c>
    </row>
    <row r="72" spans="1:11" x14ac:dyDescent="0.2">
      <c r="A72" s="156"/>
      <c r="B72" s="167">
        <f t="shared" si="21"/>
        <v>41275</v>
      </c>
      <c r="C72" s="167">
        <f t="shared" si="22"/>
        <v>41364</v>
      </c>
      <c r="D72" s="142">
        <f t="shared" si="18"/>
        <v>90</v>
      </c>
      <c r="E72" s="160">
        <f>VLOOKUP(C72,'FERC Interest Rate'!$A:$B,2,TRUE)</f>
        <v>3.2500000000000001E-2</v>
      </c>
      <c r="F72" s="148">
        <f t="shared" si="23"/>
        <v>0</v>
      </c>
      <c r="G72" s="147">
        <v>0</v>
      </c>
      <c r="H72" s="147">
        <v>0</v>
      </c>
      <c r="I72" s="161">
        <f t="shared" si="19"/>
        <v>0</v>
      </c>
      <c r="J72" s="148">
        <v>0</v>
      </c>
      <c r="K72" s="130">
        <f t="shared" si="20"/>
        <v>0</v>
      </c>
    </row>
    <row r="73" spans="1:11" x14ac:dyDescent="0.2">
      <c r="A73" s="156"/>
      <c r="B73" s="167">
        <f t="shared" si="21"/>
        <v>41365</v>
      </c>
      <c r="C73" s="167">
        <f t="shared" si="22"/>
        <v>41455</v>
      </c>
      <c r="D73" s="142">
        <f t="shared" si="18"/>
        <v>91</v>
      </c>
      <c r="E73" s="160">
        <f>VLOOKUP(C73,'FERC Interest Rate'!$A:$B,2,TRUE)</f>
        <v>3.2500000000000001E-2</v>
      </c>
      <c r="F73" s="148">
        <f>K72</f>
        <v>0</v>
      </c>
      <c r="G73" s="147">
        <f t="shared" ref="G73:G90" si="24">F73*E73*(D73/(DATE(YEAR(C73),12,31)-DATE(YEAR(C73),1,1)+1))</f>
        <v>0</v>
      </c>
      <c r="H73" s="147">
        <f>$F$65/20</f>
        <v>0</v>
      </c>
      <c r="I73" s="148">
        <v>0</v>
      </c>
      <c r="J73" s="148">
        <f>SUM($I$65:$I$93)/20</f>
        <v>0</v>
      </c>
      <c r="K73" s="130">
        <f t="shared" si="20"/>
        <v>0</v>
      </c>
    </row>
    <row r="74" spans="1:11" x14ac:dyDescent="0.2">
      <c r="A74" s="156"/>
      <c r="B74" s="167">
        <f t="shared" si="21"/>
        <v>41456</v>
      </c>
      <c r="C74" s="167">
        <f t="shared" si="22"/>
        <v>41547</v>
      </c>
      <c r="D74" s="142">
        <f t="shared" si="18"/>
        <v>92</v>
      </c>
      <c r="E74" s="160">
        <f>VLOOKUP(C74,'FERC Interest Rate'!$A:$B,2,TRUE)</f>
        <v>3.2500000000000001E-2</v>
      </c>
      <c r="F74" s="148">
        <f>K73</f>
        <v>0</v>
      </c>
      <c r="G74" s="147">
        <f t="shared" si="24"/>
        <v>0</v>
      </c>
      <c r="H74" s="147">
        <f t="shared" ref="H74:H92" si="25">$F$65/20</f>
        <v>0</v>
      </c>
      <c r="I74" s="148">
        <v>0</v>
      </c>
      <c r="J74" s="148">
        <f t="shared" ref="J74:J92" si="26">SUM($I$65:$I$93)/20</f>
        <v>0</v>
      </c>
      <c r="K74" s="130">
        <f t="shared" si="20"/>
        <v>0</v>
      </c>
    </row>
    <row r="75" spans="1:11" x14ac:dyDescent="0.2">
      <c r="A75" s="156"/>
      <c r="B75" s="167">
        <f t="shared" si="21"/>
        <v>41548</v>
      </c>
      <c r="C75" s="167">
        <f t="shared" si="22"/>
        <v>41639</v>
      </c>
      <c r="D75" s="142">
        <f t="shared" si="18"/>
        <v>92</v>
      </c>
      <c r="E75" s="160">
        <f>VLOOKUP(C75,'FERC Interest Rate'!$A:$B,2,TRUE)</f>
        <v>3.2500000000000001E-2</v>
      </c>
      <c r="F75" s="148">
        <f t="shared" si="23"/>
        <v>0</v>
      </c>
      <c r="G75" s="147">
        <f t="shared" si="24"/>
        <v>0</v>
      </c>
      <c r="H75" s="147">
        <f t="shared" si="25"/>
        <v>0</v>
      </c>
      <c r="I75" s="148">
        <v>0</v>
      </c>
      <c r="J75" s="148">
        <f t="shared" si="26"/>
        <v>0</v>
      </c>
      <c r="K75" s="130">
        <f t="shared" si="20"/>
        <v>0</v>
      </c>
    </row>
    <row r="76" spans="1:11" x14ac:dyDescent="0.2">
      <c r="A76" s="156"/>
      <c r="B76" s="167">
        <f t="shared" si="21"/>
        <v>41640</v>
      </c>
      <c r="C76" s="167">
        <f t="shared" si="22"/>
        <v>41729</v>
      </c>
      <c r="D76" s="142">
        <f t="shared" si="18"/>
        <v>90</v>
      </c>
      <c r="E76" s="160">
        <f>VLOOKUP(C76,'FERC Interest Rate'!$A:$B,2,TRUE)</f>
        <v>3.2500000000000001E-2</v>
      </c>
      <c r="F76" s="148">
        <f t="shared" si="23"/>
        <v>0</v>
      </c>
      <c r="G76" s="147">
        <f t="shared" si="24"/>
        <v>0</v>
      </c>
      <c r="H76" s="147">
        <f t="shared" si="25"/>
        <v>0</v>
      </c>
      <c r="I76" s="148">
        <v>0</v>
      </c>
      <c r="J76" s="148">
        <f t="shared" si="26"/>
        <v>0</v>
      </c>
      <c r="K76" s="130">
        <f t="shared" si="20"/>
        <v>0</v>
      </c>
    </row>
    <row r="77" spans="1:11" x14ac:dyDescent="0.2">
      <c r="A77" s="156"/>
      <c r="B77" s="167">
        <f t="shared" si="21"/>
        <v>41730</v>
      </c>
      <c r="C77" s="167">
        <f t="shared" si="22"/>
        <v>41820</v>
      </c>
      <c r="D77" s="142">
        <f t="shared" si="18"/>
        <v>91</v>
      </c>
      <c r="E77" s="160">
        <f>VLOOKUP(C77,'FERC Interest Rate'!$A:$B,2,TRUE)</f>
        <v>3.2500000000000001E-2</v>
      </c>
      <c r="F77" s="148">
        <f t="shared" si="23"/>
        <v>0</v>
      </c>
      <c r="G77" s="147">
        <f t="shared" si="24"/>
        <v>0</v>
      </c>
      <c r="H77" s="147">
        <f t="shared" si="25"/>
        <v>0</v>
      </c>
      <c r="I77" s="148">
        <v>0</v>
      </c>
      <c r="J77" s="148">
        <f t="shared" si="26"/>
        <v>0</v>
      </c>
      <c r="K77" s="130">
        <f t="shared" si="20"/>
        <v>0</v>
      </c>
    </row>
    <row r="78" spans="1:11" x14ac:dyDescent="0.2">
      <c r="A78" s="156"/>
      <c r="B78" s="167">
        <f t="shared" si="21"/>
        <v>41821</v>
      </c>
      <c r="C78" s="167">
        <f t="shared" si="22"/>
        <v>41912</v>
      </c>
      <c r="D78" s="142">
        <f t="shared" si="18"/>
        <v>92</v>
      </c>
      <c r="E78" s="160">
        <f>VLOOKUP(C78,'FERC Interest Rate'!$A:$B,2,TRUE)</f>
        <v>3.2500000000000001E-2</v>
      </c>
      <c r="F78" s="148">
        <f t="shared" si="23"/>
        <v>0</v>
      </c>
      <c r="G78" s="147">
        <f t="shared" si="24"/>
        <v>0</v>
      </c>
      <c r="H78" s="147">
        <f t="shared" si="25"/>
        <v>0</v>
      </c>
      <c r="I78" s="148">
        <v>0</v>
      </c>
      <c r="J78" s="148">
        <f t="shared" si="26"/>
        <v>0</v>
      </c>
      <c r="K78" s="130">
        <f t="shared" si="20"/>
        <v>0</v>
      </c>
    </row>
    <row r="79" spans="1:11" x14ac:dyDescent="0.2">
      <c r="A79" s="156"/>
      <c r="B79" s="167">
        <f t="shared" si="21"/>
        <v>41913</v>
      </c>
      <c r="C79" s="167">
        <f t="shared" si="22"/>
        <v>42004</v>
      </c>
      <c r="D79" s="142">
        <f t="shared" si="18"/>
        <v>92</v>
      </c>
      <c r="E79" s="160">
        <f>VLOOKUP(C79,'FERC Interest Rate'!$A:$B,2,TRUE)</f>
        <v>3.2500000000000001E-2</v>
      </c>
      <c r="F79" s="148">
        <f t="shared" si="23"/>
        <v>0</v>
      </c>
      <c r="G79" s="147">
        <f t="shared" si="24"/>
        <v>0</v>
      </c>
      <c r="H79" s="147">
        <f t="shared" si="25"/>
        <v>0</v>
      </c>
      <c r="I79" s="148">
        <v>0</v>
      </c>
      <c r="J79" s="148">
        <f t="shared" si="26"/>
        <v>0</v>
      </c>
      <c r="K79" s="130">
        <f t="shared" si="20"/>
        <v>0</v>
      </c>
    </row>
    <row r="80" spans="1:11" x14ac:dyDescent="0.2">
      <c r="A80" s="156"/>
      <c r="B80" s="167">
        <f t="shared" si="21"/>
        <v>42005</v>
      </c>
      <c r="C80" s="167">
        <f t="shared" si="22"/>
        <v>42094</v>
      </c>
      <c r="D80" s="142">
        <f t="shared" si="18"/>
        <v>90</v>
      </c>
      <c r="E80" s="160">
        <f>VLOOKUP(C80,'FERC Interest Rate'!$A:$B,2,TRUE)</f>
        <v>3.2500000000000001E-2</v>
      </c>
      <c r="F80" s="148">
        <f t="shared" si="23"/>
        <v>0</v>
      </c>
      <c r="G80" s="147">
        <f t="shared" si="24"/>
        <v>0</v>
      </c>
      <c r="H80" s="147">
        <f t="shared" si="25"/>
        <v>0</v>
      </c>
      <c r="I80" s="148">
        <v>0</v>
      </c>
      <c r="J80" s="148">
        <f t="shared" si="26"/>
        <v>0</v>
      </c>
      <c r="K80" s="130">
        <f t="shared" si="20"/>
        <v>0</v>
      </c>
    </row>
    <row r="81" spans="1:11" x14ac:dyDescent="0.2">
      <c r="A81" s="156"/>
      <c r="B81" s="167">
        <f t="shared" si="21"/>
        <v>42095</v>
      </c>
      <c r="C81" s="167">
        <f t="shared" si="22"/>
        <v>42185</v>
      </c>
      <c r="D81" s="142">
        <f t="shared" si="18"/>
        <v>91</v>
      </c>
      <c r="E81" s="160">
        <f>VLOOKUP(C81,'FERC Interest Rate'!$A:$B,2,TRUE)</f>
        <v>3.2500000000000001E-2</v>
      </c>
      <c r="F81" s="148">
        <f t="shared" si="23"/>
        <v>0</v>
      </c>
      <c r="G81" s="147">
        <f t="shared" si="24"/>
        <v>0</v>
      </c>
      <c r="H81" s="147">
        <f t="shared" si="25"/>
        <v>0</v>
      </c>
      <c r="I81" s="148">
        <v>0</v>
      </c>
      <c r="J81" s="148">
        <f t="shared" si="26"/>
        <v>0</v>
      </c>
      <c r="K81" s="130">
        <f t="shared" si="20"/>
        <v>0</v>
      </c>
    </row>
    <row r="82" spans="1:11" x14ac:dyDescent="0.2">
      <c r="A82" s="156"/>
      <c r="B82" s="167">
        <f t="shared" si="21"/>
        <v>42186</v>
      </c>
      <c r="C82" s="167">
        <f t="shared" si="22"/>
        <v>42277</v>
      </c>
      <c r="D82" s="142">
        <f t="shared" si="18"/>
        <v>92</v>
      </c>
      <c r="E82" s="160">
        <f>VLOOKUP(C82,'FERC Interest Rate'!$A:$B,2,TRUE)</f>
        <v>3.2500000000000001E-2</v>
      </c>
      <c r="F82" s="148">
        <f t="shared" si="23"/>
        <v>0</v>
      </c>
      <c r="G82" s="147">
        <f t="shared" si="24"/>
        <v>0</v>
      </c>
      <c r="H82" s="147">
        <f t="shared" si="25"/>
        <v>0</v>
      </c>
      <c r="I82" s="148">
        <v>0</v>
      </c>
      <c r="J82" s="148">
        <f t="shared" si="26"/>
        <v>0</v>
      </c>
      <c r="K82" s="130">
        <f t="shared" si="20"/>
        <v>0</v>
      </c>
    </row>
    <row r="83" spans="1:11" x14ac:dyDescent="0.2">
      <c r="A83" s="156"/>
      <c r="B83" s="167">
        <f t="shared" si="21"/>
        <v>42278</v>
      </c>
      <c r="C83" s="167">
        <f t="shared" si="22"/>
        <v>42369</v>
      </c>
      <c r="D83" s="142">
        <f t="shared" si="18"/>
        <v>92</v>
      </c>
      <c r="E83" s="160">
        <f>VLOOKUP(C83,'FERC Interest Rate'!$A:$B,2,TRUE)</f>
        <v>3.2500000000000001E-2</v>
      </c>
      <c r="F83" s="148">
        <f t="shared" si="23"/>
        <v>0</v>
      </c>
      <c r="G83" s="147">
        <f t="shared" si="24"/>
        <v>0</v>
      </c>
      <c r="H83" s="147">
        <f t="shared" si="25"/>
        <v>0</v>
      </c>
      <c r="I83" s="148">
        <v>0</v>
      </c>
      <c r="J83" s="148">
        <f t="shared" si="26"/>
        <v>0</v>
      </c>
      <c r="K83" s="130">
        <f t="shared" si="20"/>
        <v>0</v>
      </c>
    </row>
    <row r="84" spans="1:11" x14ac:dyDescent="0.2">
      <c r="A84" s="156"/>
      <c r="B84" s="167">
        <f t="shared" si="21"/>
        <v>42370</v>
      </c>
      <c r="C84" s="167">
        <f t="shared" si="22"/>
        <v>42460</v>
      </c>
      <c r="D84" s="142">
        <f t="shared" si="18"/>
        <v>91</v>
      </c>
      <c r="E84" s="160">
        <f>VLOOKUP(C84,'FERC Interest Rate'!$A:$B,2,TRUE)</f>
        <v>3.2500000000000001E-2</v>
      </c>
      <c r="F84" s="148">
        <f t="shared" si="23"/>
        <v>0</v>
      </c>
      <c r="G84" s="147">
        <f t="shared" si="24"/>
        <v>0</v>
      </c>
      <c r="H84" s="147">
        <f t="shared" si="25"/>
        <v>0</v>
      </c>
      <c r="I84" s="148">
        <v>0</v>
      </c>
      <c r="J84" s="148">
        <f t="shared" si="26"/>
        <v>0</v>
      </c>
      <c r="K84" s="130">
        <f t="shared" si="20"/>
        <v>0</v>
      </c>
    </row>
    <row r="85" spans="1:11" x14ac:dyDescent="0.2">
      <c r="A85" s="169"/>
      <c r="B85" s="167">
        <f t="shared" si="21"/>
        <v>42461</v>
      </c>
      <c r="C85" s="167">
        <f t="shared" si="22"/>
        <v>42551</v>
      </c>
      <c r="D85" s="142">
        <f t="shared" si="18"/>
        <v>91</v>
      </c>
      <c r="E85" s="160">
        <f>VLOOKUP(C85,'FERC Interest Rate'!$A:$B,2,TRUE)</f>
        <v>3.2500000000000001E-2</v>
      </c>
      <c r="F85" s="148">
        <f t="shared" si="23"/>
        <v>0</v>
      </c>
      <c r="G85" s="147">
        <f t="shared" si="24"/>
        <v>0</v>
      </c>
      <c r="H85" s="147">
        <f t="shared" si="25"/>
        <v>0</v>
      </c>
      <c r="I85" s="148">
        <v>0</v>
      </c>
      <c r="J85" s="148">
        <f t="shared" si="26"/>
        <v>0</v>
      </c>
      <c r="K85" s="130">
        <f t="shared" si="20"/>
        <v>0</v>
      </c>
    </row>
    <row r="86" spans="1:11" x14ac:dyDescent="0.2">
      <c r="A86" s="169"/>
      <c r="B86" s="167">
        <f t="shared" si="21"/>
        <v>42552</v>
      </c>
      <c r="C86" s="167">
        <f t="shared" si="22"/>
        <v>42643</v>
      </c>
      <c r="D86" s="142">
        <f t="shared" si="18"/>
        <v>92</v>
      </c>
      <c r="E86" s="160">
        <f>VLOOKUP(C86,'FERC Interest Rate'!$A:$B,2,TRUE)</f>
        <v>4.0333330000000001E-2</v>
      </c>
      <c r="F86" s="148">
        <f t="shared" si="23"/>
        <v>0</v>
      </c>
      <c r="G86" s="147">
        <f t="shared" si="24"/>
        <v>0</v>
      </c>
      <c r="H86" s="147">
        <f t="shared" si="25"/>
        <v>0</v>
      </c>
      <c r="I86" s="148">
        <v>0</v>
      </c>
      <c r="J86" s="148">
        <f t="shared" si="26"/>
        <v>0</v>
      </c>
      <c r="K86" s="130">
        <f t="shared" si="20"/>
        <v>0</v>
      </c>
    </row>
    <row r="87" spans="1:11" x14ac:dyDescent="0.2">
      <c r="A87" s="169"/>
      <c r="B87" s="167">
        <f t="shared" si="21"/>
        <v>42644</v>
      </c>
      <c r="C87" s="167">
        <f t="shared" si="22"/>
        <v>42735</v>
      </c>
      <c r="D87" s="142">
        <f t="shared" si="18"/>
        <v>92</v>
      </c>
      <c r="E87" s="160">
        <f>VLOOKUP(C87,'FERC Interest Rate'!$A:$B,2,TRUE)</f>
        <v>4.2833329999999996E-2</v>
      </c>
      <c r="F87" s="148">
        <f t="shared" si="23"/>
        <v>0</v>
      </c>
      <c r="G87" s="147">
        <f t="shared" si="24"/>
        <v>0</v>
      </c>
      <c r="H87" s="147">
        <f t="shared" si="25"/>
        <v>0</v>
      </c>
      <c r="I87" s="148">
        <v>0</v>
      </c>
      <c r="J87" s="148">
        <f t="shared" si="26"/>
        <v>0</v>
      </c>
      <c r="K87" s="130">
        <f t="shared" si="20"/>
        <v>0</v>
      </c>
    </row>
    <row r="88" spans="1:11" x14ac:dyDescent="0.2">
      <c r="A88" s="169"/>
      <c r="B88" s="167">
        <f t="shared" si="21"/>
        <v>42736</v>
      </c>
      <c r="C88" s="167">
        <f t="shared" si="22"/>
        <v>42825</v>
      </c>
      <c r="D88" s="142">
        <f t="shared" si="18"/>
        <v>90</v>
      </c>
      <c r="E88" s="160">
        <f>VLOOKUP(C88,'FERC Interest Rate'!$A:$B,2,TRUE)</f>
        <v>4.7066670000000005E-2</v>
      </c>
      <c r="F88" s="148">
        <f t="shared" si="23"/>
        <v>0</v>
      </c>
      <c r="G88" s="147">
        <f t="shared" si="24"/>
        <v>0</v>
      </c>
      <c r="H88" s="147">
        <f t="shared" si="25"/>
        <v>0</v>
      </c>
      <c r="I88" s="148">
        <v>0</v>
      </c>
      <c r="J88" s="148">
        <f t="shared" si="26"/>
        <v>0</v>
      </c>
      <c r="K88" s="130">
        <f t="shared" si="20"/>
        <v>0</v>
      </c>
    </row>
    <row r="89" spans="1:11" x14ac:dyDescent="0.2">
      <c r="A89" s="169"/>
      <c r="B89" s="167">
        <f t="shared" si="21"/>
        <v>42826</v>
      </c>
      <c r="C89" s="167">
        <f t="shared" si="22"/>
        <v>42916</v>
      </c>
      <c r="D89" s="142">
        <f t="shared" si="18"/>
        <v>91</v>
      </c>
      <c r="E89" s="160">
        <f>VLOOKUP(C89,'FERC Interest Rate'!$A:$B,2,TRUE)</f>
        <v>5.21E-2</v>
      </c>
      <c r="F89" s="148">
        <f t="shared" si="23"/>
        <v>0</v>
      </c>
      <c r="G89" s="147">
        <f t="shared" si="24"/>
        <v>0</v>
      </c>
      <c r="H89" s="147">
        <f t="shared" si="25"/>
        <v>0</v>
      </c>
      <c r="I89" s="148">
        <v>0</v>
      </c>
      <c r="J89" s="148">
        <f t="shared" si="26"/>
        <v>0</v>
      </c>
      <c r="K89" s="130">
        <f t="shared" si="20"/>
        <v>0</v>
      </c>
    </row>
    <row r="90" spans="1:11" x14ac:dyDescent="0.2">
      <c r="A90" s="169"/>
      <c r="B90" s="167">
        <f t="shared" si="21"/>
        <v>42917</v>
      </c>
      <c r="C90" s="167">
        <f t="shared" si="22"/>
        <v>43008</v>
      </c>
      <c r="D90" s="142">
        <f t="shared" si="18"/>
        <v>92</v>
      </c>
      <c r="E90" s="160">
        <f>VLOOKUP(C90,'FERC Interest Rate'!$A:$B,2,TRUE)</f>
        <v>5.7066670000000007E-2</v>
      </c>
      <c r="F90" s="148">
        <f t="shared" si="23"/>
        <v>0</v>
      </c>
      <c r="G90" s="147">
        <f t="shared" si="24"/>
        <v>0</v>
      </c>
      <c r="H90" s="147">
        <f t="shared" si="25"/>
        <v>0</v>
      </c>
      <c r="I90" s="148">
        <v>0</v>
      </c>
      <c r="J90" s="148">
        <f t="shared" si="26"/>
        <v>0</v>
      </c>
      <c r="K90" s="130">
        <f t="shared" si="20"/>
        <v>0</v>
      </c>
    </row>
    <row r="91" spans="1:11" x14ac:dyDescent="0.2">
      <c r="A91" s="169"/>
      <c r="B91" s="167">
        <f t="shared" si="21"/>
        <v>43009</v>
      </c>
      <c r="C91" s="167">
        <f t="shared" si="22"/>
        <v>43100</v>
      </c>
      <c r="D91" s="142">
        <f t="shared" si="18"/>
        <v>92</v>
      </c>
      <c r="E91" s="160">
        <f>VLOOKUP(C91,'FERC Interest Rate'!$A:$B,2,TRUE)</f>
        <v>6.2033329999999998E-2</v>
      </c>
      <c r="F91" s="148">
        <f t="shared" si="23"/>
        <v>0</v>
      </c>
      <c r="G91" s="147">
        <f>F91*E91*(D91/(DATE(YEAR(C91),12,31)-DATE(YEAR(C91),1,1)+1))</f>
        <v>0</v>
      </c>
      <c r="H91" s="147">
        <f t="shared" si="25"/>
        <v>0</v>
      </c>
      <c r="I91" s="148">
        <v>0</v>
      </c>
      <c r="J91" s="148">
        <f t="shared" si="26"/>
        <v>0</v>
      </c>
      <c r="K91" s="130">
        <f t="shared" si="20"/>
        <v>0</v>
      </c>
    </row>
    <row r="92" spans="1:11" x14ac:dyDescent="0.2">
      <c r="A92" s="169"/>
      <c r="B92" s="167">
        <f t="shared" si="21"/>
        <v>43101</v>
      </c>
      <c r="C92" s="167">
        <f t="shared" si="22"/>
        <v>43190</v>
      </c>
      <c r="D92" s="142">
        <f t="shared" si="18"/>
        <v>90</v>
      </c>
      <c r="E92" s="160">
        <f>VLOOKUP(C92,'FERC Interest Rate'!$A:$B,2,TRUE)</f>
        <v>6.6699999999999995E-2</v>
      </c>
      <c r="F92" s="148">
        <f t="shared" si="23"/>
        <v>0</v>
      </c>
      <c r="G92" s="147">
        <f>F92*E92*(D92/(DATE(YEAR(C92),12,31)-DATE(YEAR(C92),1,1)+1))</f>
        <v>0</v>
      </c>
      <c r="H92" s="147">
        <f t="shared" si="25"/>
        <v>0</v>
      </c>
      <c r="I92" s="148">
        <v>0</v>
      </c>
      <c r="J92" s="148">
        <f t="shared" si="26"/>
        <v>0</v>
      </c>
      <c r="K92" s="130">
        <f t="shared" si="20"/>
        <v>0</v>
      </c>
    </row>
    <row r="93" spans="1:11" ht="13.5" thickBot="1" x14ac:dyDescent="0.25">
      <c r="A93" s="129"/>
      <c r="B93" s="168"/>
      <c r="C93" s="168"/>
      <c r="D93" s="121"/>
      <c r="E93" s="122"/>
      <c r="F93" s="145"/>
      <c r="G93" s="145"/>
      <c r="H93" s="146"/>
      <c r="I93" s="123"/>
      <c r="J93" s="123"/>
      <c r="K93" s="128"/>
    </row>
  </sheetData>
  <mergeCells count="2">
    <mergeCell ref="A36:K36"/>
    <mergeCell ref="A63:K63"/>
  </mergeCells>
  <printOptions horizontalCentered="1"/>
  <pageMargins left="0.7" right="0.7" top="0.75" bottom="0.75" header="0.3" footer="0.3"/>
  <pageSetup scale="61" fitToHeight="0" orientation="landscape" cellComments="asDisplayed" r:id="rId1"/>
  <headerFooter alignWithMargins="0">
    <oddHeader>&amp;RTO11 Draft Annual Update
Attachment 4
WP Schedule 22
Page &amp;P of &amp;N</oddHeader>
    <oddFooter>&amp;R&amp;A</oddFooter>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18</vt:i4>
      </vt:variant>
    </vt:vector>
  </HeadingPairs>
  <TitlesOfParts>
    <vt:vector size="38" baseType="lpstr">
      <vt:lpstr>2013 Quarterly</vt:lpstr>
      <vt:lpstr>2012 Quarterly</vt:lpstr>
      <vt:lpstr>2011 Quarterly </vt:lpstr>
      <vt:lpstr>2010 Quarterly</vt:lpstr>
      <vt:lpstr>2009 Quarterly</vt:lpstr>
      <vt:lpstr>2008 Quarterly</vt:lpstr>
      <vt:lpstr>2015 Summary</vt:lpstr>
      <vt:lpstr>2014 Summary</vt:lpstr>
      <vt:lpstr>TOT032</vt:lpstr>
      <vt:lpstr>TOT041</vt:lpstr>
      <vt:lpstr>TOT094</vt:lpstr>
      <vt:lpstr>TOT135</vt:lpstr>
      <vt:lpstr>TOT175</vt:lpstr>
      <vt:lpstr>TOT278</vt:lpstr>
      <vt:lpstr>TOT455</vt:lpstr>
      <vt:lpstr>TOT508</vt:lpstr>
      <vt:lpstr>TOT522</vt:lpstr>
      <vt:lpstr>WDT1007</vt:lpstr>
      <vt:lpstr>FERC Interest Rate</vt:lpstr>
      <vt:lpstr>TOT037</vt:lpstr>
      <vt:lpstr>'2008 Quarterly'!Print_Area</vt:lpstr>
      <vt:lpstr>'2009 Quarterly'!Print_Area</vt:lpstr>
      <vt:lpstr>'2010 Quarterly'!Print_Area</vt:lpstr>
      <vt:lpstr>'2011 Quarterly '!Print_Area</vt:lpstr>
      <vt:lpstr>'2012 Quarterly'!Print_Area</vt:lpstr>
      <vt:lpstr>'2013 Quarterly'!Print_Area</vt:lpstr>
      <vt:lpstr>'2014 Summary'!Print_Area</vt:lpstr>
      <vt:lpstr>'2015 Summary'!Print_Area</vt:lpstr>
      <vt:lpstr>'FERC Interest Rate'!Print_Area</vt:lpstr>
      <vt:lpstr>'TOT032'!Print_Area</vt:lpstr>
      <vt:lpstr>'2008 Quarterly'!Print_Titles</vt:lpstr>
      <vt:lpstr>'2009 Quarterly'!Print_Titles</vt:lpstr>
      <vt:lpstr>'2010 Quarterly'!Print_Titles</vt:lpstr>
      <vt:lpstr>'2011 Quarterly '!Print_Titles</vt:lpstr>
      <vt:lpstr>'2012 Quarterly'!Print_Titles</vt:lpstr>
      <vt:lpstr>'2013 Quarterly'!Print_Titles</vt:lpstr>
      <vt:lpstr>'2014 Summary'!Print_Titles</vt:lpstr>
      <vt:lpstr>'2015 Summary'!Print_Titles</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Transmission Credit 2006 Interest Refunds</dc:title>
  <dc:creator>Mauleon, Gregory A</dc:creator>
  <cp:lastModifiedBy>Kim, Jee Young</cp:lastModifiedBy>
  <cp:lastPrinted>2016-06-14T17:13:44Z</cp:lastPrinted>
  <dcterms:created xsi:type="dcterms:W3CDTF">2006-03-16T23:48:07Z</dcterms:created>
  <dcterms:modified xsi:type="dcterms:W3CDTF">2016-06-14T17:19:12Z</dcterms:modified>
</cp:coreProperties>
</file>